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RICK\x\MGMI\17 Trabajo de Graduación (Tesis)\Articulo de Tesis\"/>
    </mc:Choice>
  </mc:AlternateContent>
  <xr:revisionPtr revIDLastSave="0" documentId="13_ncr:1_{1E450B3F-CA99-4EE8-9B18-4ECFB30A5A30}" xr6:coauthVersionLast="47" xr6:coauthVersionMax="47" xr10:uidLastSave="{00000000-0000-0000-0000-000000000000}"/>
  <bookViews>
    <workbookView xWindow="-108" yWindow="-108" windowWidth="23256" windowHeight="12456" tabRatio="939" firstSheet="3" activeTab="20" xr2:uid="{B68923D3-25D6-4FA6-947F-6D694883B548}"/>
  </bookViews>
  <sheets>
    <sheet name="Matriz AMFEC" sheetId="1" r:id="rId1"/>
    <sheet name="Criticidad de componentes" sheetId="15" r:id="rId2"/>
    <sheet name="Tareas de Mantenimiento" sheetId="16" r:id="rId3"/>
    <sheet name="Plan de Mantenimiento" sheetId="27" r:id="rId4"/>
    <sheet name="Intervalos de mantenimiento" sheetId="17" r:id="rId5"/>
    <sheet name="Weibull" sheetId="19" r:id="rId6"/>
    <sheet name="Costos Plan de Mantenimiento" sheetId="28" r:id="rId7"/>
    <sheet name="Gráfico costos mensuales" sheetId="36" r:id="rId8"/>
    <sheet name="MO" sheetId="25" r:id="rId9"/>
    <sheet name="CM" sheetId="11" r:id="rId10"/>
    <sheet name="CMI" sheetId="47" r:id="rId11"/>
    <sheet name="MTTF OREDA" sheetId="43" r:id="rId12"/>
    <sheet name="Grafica CM" sheetId="30" r:id="rId13"/>
    <sheet name="Grafica CMI" sheetId="46" r:id="rId14"/>
    <sheet name="R(t) actual" sheetId="23" r:id="rId15"/>
    <sheet name="R(t) propuesto" sheetId="35" r:id="rId16"/>
    <sheet name="Grafica R(t)" sheetId="34" r:id="rId17"/>
    <sheet name="Grafica R(t) ingles" sheetId="48" r:id="rId18"/>
    <sheet name="RDB" sheetId="29" r:id="rId19"/>
    <sheet name="Variable Indisponibilidad" sheetId="42" r:id="rId20"/>
    <sheet name="Confiabilidad" sheetId="24" r:id="rId21"/>
  </sheets>
  <definedNames>
    <definedName name="_xlnm._FilterDatabase" localSheetId="9" hidden="1">CM!$B$2:$H$33</definedName>
    <definedName name="_xlnm._FilterDatabase" localSheetId="10" hidden="1">CMI!$B$2:$H$33</definedName>
    <definedName name="_xlnm._FilterDatabase" localSheetId="6" hidden="1">'Costos Plan de Mantenimiento'!$A$1:$Q$49</definedName>
    <definedName name="_xlnm._FilterDatabase" localSheetId="1" hidden="1">'Criticidad de componentes'!$A$1:$H$3</definedName>
    <definedName name="_xlnm._FilterDatabase" localSheetId="4" hidden="1">'Intervalos de mantenimiento'!$B$2:$H$33</definedName>
    <definedName name="_xlnm._FilterDatabase" localSheetId="0" hidden="1">'Matriz AMFEC'!$A$6:$AA$8</definedName>
    <definedName name="_xlnm._FilterDatabase" localSheetId="3" hidden="1">'Plan de Mantenimiento'!$A$1:$H$47</definedName>
    <definedName name="_xlnm._FilterDatabase" localSheetId="2" hidden="1">'Tareas de Mantenimiento'!$A$1:$K$57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5" i="47" l="1"/>
  <c r="I55" i="47"/>
  <c r="G55" i="47"/>
  <c r="F55" i="47"/>
  <c r="T55" i="47" s="1"/>
  <c r="T54" i="47"/>
  <c r="X54" i="47" s="1"/>
  <c r="K54" i="47"/>
  <c r="F54" i="47"/>
  <c r="G54" i="47" s="1"/>
  <c r="I54" i="47" s="1"/>
  <c r="T33" i="47"/>
  <c r="O33" i="47"/>
  <c r="R33" i="47" s="1"/>
  <c r="K33" i="47"/>
  <c r="J33" i="47"/>
  <c r="H33" i="47"/>
  <c r="G33" i="47"/>
  <c r="D33" i="47"/>
  <c r="M33" i="47" s="1"/>
  <c r="O32" i="47"/>
  <c r="R32" i="47" s="1"/>
  <c r="M32" i="47"/>
  <c r="N32" i="47" s="1"/>
  <c r="F32" i="47"/>
  <c r="G32" i="47" s="1"/>
  <c r="D32" i="47"/>
  <c r="R31" i="47"/>
  <c r="O31" i="47"/>
  <c r="G31" i="47"/>
  <c r="H31" i="47" s="1"/>
  <c r="K31" i="47" s="1"/>
  <c r="F31" i="47"/>
  <c r="T31" i="47" s="1"/>
  <c r="D31" i="47"/>
  <c r="M31" i="47" s="1"/>
  <c r="T30" i="47"/>
  <c r="X30" i="47" s="1"/>
  <c r="O30" i="47"/>
  <c r="R30" i="47" s="1"/>
  <c r="G30" i="47"/>
  <c r="H30" i="47" s="1"/>
  <c r="K30" i="47" s="1"/>
  <c r="D30" i="47"/>
  <c r="I30" i="47" s="1"/>
  <c r="O29" i="47"/>
  <c r="R29" i="47" s="1"/>
  <c r="M29" i="47"/>
  <c r="AB29" i="47" s="1"/>
  <c r="F29" i="47"/>
  <c r="G29" i="47" s="1"/>
  <c r="D29" i="47"/>
  <c r="O28" i="47"/>
  <c r="R28" i="47" s="1"/>
  <c r="M28" i="47"/>
  <c r="AB28" i="47" s="1"/>
  <c r="G28" i="47"/>
  <c r="J28" i="47" s="1"/>
  <c r="F28" i="47"/>
  <c r="T28" i="47" s="1"/>
  <c r="E28" i="47"/>
  <c r="AF28" i="47" s="1"/>
  <c r="D28" i="47"/>
  <c r="O27" i="47"/>
  <c r="G27" i="47"/>
  <c r="H27" i="47" s="1"/>
  <c r="K27" i="47" s="1"/>
  <c r="F27" i="47"/>
  <c r="T27" i="47" s="1"/>
  <c r="E27" i="47"/>
  <c r="R27" i="47" s="1"/>
  <c r="D27" i="47"/>
  <c r="M27" i="47" s="1"/>
  <c r="O26" i="47"/>
  <c r="G26" i="47"/>
  <c r="J26" i="47" s="1"/>
  <c r="F26" i="47"/>
  <c r="T26" i="47" s="1"/>
  <c r="E26" i="47"/>
  <c r="X26" i="47" s="1"/>
  <c r="D26" i="47"/>
  <c r="O25" i="47"/>
  <c r="R25" i="47" s="1"/>
  <c r="M25" i="47"/>
  <c r="AB25" i="47" s="1"/>
  <c r="G25" i="47"/>
  <c r="J25" i="47" s="1"/>
  <c r="F25" i="47"/>
  <c r="T25" i="47" s="1"/>
  <c r="E25" i="47"/>
  <c r="D25" i="47"/>
  <c r="O24" i="47"/>
  <c r="R24" i="47" s="1"/>
  <c r="G24" i="47"/>
  <c r="H24" i="47" s="1"/>
  <c r="K24" i="47" s="1"/>
  <c r="F24" i="47"/>
  <c r="T24" i="47" s="1"/>
  <c r="E24" i="47"/>
  <c r="X24" i="47" s="1"/>
  <c r="D24" i="47"/>
  <c r="M24" i="47" s="1"/>
  <c r="V23" i="47"/>
  <c r="O23" i="47"/>
  <c r="G23" i="47"/>
  <c r="F23" i="47"/>
  <c r="T23" i="47" s="1"/>
  <c r="E23" i="47"/>
  <c r="X23" i="47" s="1"/>
  <c r="D23" i="47"/>
  <c r="O22" i="47"/>
  <c r="R22" i="47" s="1"/>
  <c r="M22" i="47"/>
  <c r="AB22" i="47" s="1"/>
  <c r="G22" i="47"/>
  <c r="J22" i="47" s="1"/>
  <c r="F22" i="47"/>
  <c r="T22" i="47" s="1"/>
  <c r="E22" i="47"/>
  <c r="AF22" i="47" s="1"/>
  <c r="D22" i="47"/>
  <c r="O21" i="47"/>
  <c r="R21" i="47" s="1"/>
  <c r="G21" i="47"/>
  <c r="H21" i="47" s="1"/>
  <c r="K21" i="47" s="1"/>
  <c r="F21" i="47"/>
  <c r="T21" i="47" s="1"/>
  <c r="D21" i="47"/>
  <c r="M21" i="47" s="1"/>
  <c r="O20" i="47"/>
  <c r="R20" i="47" s="1"/>
  <c r="F20" i="47"/>
  <c r="G20" i="47" s="1"/>
  <c r="H20" i="47" s="1"/>
  <c r="K20" i="47" s="1"/>
  <c r="E20" i="47"/>
  <c r="D20" i="47"/>
  <c r="O19" i="47"/>
  <c r="M19" i="47" s="1"/>
  <c r="F19" i="47"/>
  <c r="T19" i="47" s="1"/>
  <c r="D19" i="47"/>
  <c r="O18" i="47"/>
  <c r="M18" i="47" s="1"/>
  <c r="AB18" i="47" s="1"/>
  <c r="N18" i="47"/>
  <c r="K18" i="47"/>
  <c r="I18" i="47"/>
  <c r="H18" i="47"/>
  <c r="G18" i="47"/>
  <c r="F18" i="47"/>
  <c r="T18" i="47" s="1"/>
  <c r="D18" i="47"/>
  <c r="O17" i="47"/>
  <c r="F17" i="47"/>
  <c r="G17" i="47" s="1"/>
  <c r="H17" i="47" s="1"/>
  <c r="K17" i="47" s="1"/>
  <c r="E17" i="47"/>
  <c r="D17" i="47"/>
  <c r="O16" i="47"/>
  <c r="R16" i="47" s="1"/>
  <c r="M16" i="47"/>
  <c r="AB16" i="47" s="1"/>
  <c r="H16" i="47"/>
  <c r="K16" i="47" s="1"/>
  <c r="F16" i="47"/>
  <c r="G16" i="47" s="1"/>
  <c r="D16" i="47"/>
  <c r="X15" i="47"/>
  <c r="V15" i="47"/>
  <c r="W15" i="47" s="1"/>
  <c r="Z15" i="47" s="1"/>
  <c r="T15" i="47"/>
  <c r="O15" i="47"/>
  <c r="R15" i="47" s="1"/>
  <c r="M15" i="47"/>
  <c r="AB15" i="47" s="1"/>
  <c r="G15" i="47"/>
  <c r="E15" i="47"/>
  <c r="AF15" i="47" s="1"/>
  <c r="D15" i="47"/>
  <c r="AN14" i="47"/>
  <c r="O14" i="47"/>
  <c r="R14" i="47" s="1"/>
  <c r="G14" i="47"/>
  <c r="H14" i="47" s="1"/>
  <c r="K14" i="47" s="1"/>
  <c r="F14" i="47"/>
  <c r="T14" i="47" s="1"/>
  <c r="D14" i="47"/>
  <c r="M14" i="47" s="1"/>
  <c r="T13" i="47"/>
  <c r="O13" i="47"/>
  <c r="R13" i="47" s="1"/>
  <c r="F13" i="47"/>
  <c r="G13" i="47" s="1"/>
  <c r="H13" i="47" s="1"/>
  <c r="K13" i="47" s="1"/>
  <c r="E13" i="47"/>
  <c r="X13" i="47" s="1"/>
  <c r="D13" i="47"/>
  <c r="I13" i="47" s="1"/>
  <c r="O12" i="47"/>
  <c r="M12" i="47" s="1"/>
  <c r="F12" i="47"/>
  <c r="G12" i="47" s="1"/>
  <c r="D12" i="47"/>
  <c r="AB11" i="47"/>
  <c r="O11" i="47"/>
  <c r="M11" i="47" s="1"/>
  <c r="N11" i="47"/>
  <c r="I11" i="47"/>
  <c r="G11" i="47"/>
  <c r="H11" i="47" s="1"/>
  <c r="K11" i="47" s="1"/>
  <c r="F11" i="47"/>
  <c r="T11" i="47" s="1"/>
  <c r="E11" i="47"/>
  <c r="AF11" i="47" s="1"/>
  <c r="D11" i="47"/>
  <c r="Q11" i="47" s="1"/>
  <c r="R10" i="47"/>
  <c r="O10" i="47"/>
  <c r="F10" i="47"/>
  <c r="G10" i="47" s="1"/>
  <c r="H10" i="47" s="1"/>
  <c r="K10" i="47" s="1"/>
  <c r="D10" i="47"/>
  <c r="O9" i="47"/>
  <c r="R9" i="47" s="1"/>
  <c r="M9" i="47"/>
  <c r="F9" i="47"/>
  <c r="G9" i="47" s="1"/>
  <c r="H9" i="47" s="1"/>
  <c r="K9" i="47" s="1"/>
  <c r="D9" i="47"/>
  <c r="V8" i="47"/>
  <c r="T8" i="47"/>
  <c r="R8" i="47"/>
  <c r="O8" i="47"/>
  <c r="G8" i="47"/>
  <c r="H8" i="47" s="1"/>
  <c r="K8" i="47" s="1"/>
  <c r="D8" i="47"/>
  <c r="J8" i="47" s="1"/>
  <c r="AB7" i="47"/>
  <c r="O7" i="47"/>
  <c r="M7" i="47" s="1"/>
  <c r="N7" i="47" s="1"/>
  <c r="F7" i="47"/>
  <c r="G7" i="47" s="1"/>
  <c r="H7" i="47" s="1"/>
  <c r="K7" i="47" s="1"/>
  <c r="D7" i="47"/>
  <c r="O6" i="47"/>
  <c r="H6" i="47"/>
  <c r="K6" i="47" s="1"/>
  <c r="G6" i="47"/>
  <c r="F6" i="47"/>
  <c r="T6" i="47" s="1"/>
  <c r="E6" i="47"/>
  <c r="E34" i="47" s="1"/>
  <c r="D6" i="47"/>
  <c r="R5" i="47"/>
  <c r="O5" i="47"/>
  <c r="M5" i="47"/>
  <c r="F5" i="47"/>
  <c r="G5" i="47" s="1"/>
  <c r="H5" i="47" s="1"/>
  <c r="K5" i="47" s="1"/>
  <c r="D5" i="47"/>
  <c r="AJ4" i="47"/>
  <c r="O4" i="47"/>
  <c r="R4" i="47" s="1"/>
  <c r="M4" i="47"/>
  <c r="F4" i="47"/>
  <c r="G4" i="47" s="1"/>
  <c r="D4" i="47"/>
  <c r="O3" i="47"/>
  <c r="R3" i="47" s="1"/>
  <c r="K3" i="47"/>
  <c r="G3" i="47"/>
  <c r="H3" i="47" s="1"/>
  <c r="F3" i="47"/>
  <c r="T3" i="47" s="1"/>
  <c r="D3" i="47"/>
  <c r="M3" i="47" s="1"/>
  <c r="AT3" i="23"/>
  <c r="AT4" i="23"/>
  <c r="AT5" i="23"/>
  <c r="AT6" i="23"/>
  <c r="AT7" i="23"/>
  <c r="AT8" i="23"/>
  <c r="AT9" i="23"/>
  <c r="AT10" i="23"/>
  <c r="AT11" i="23"/>
  <c r="AT12" i="23"/>
  <c r="AT13" i="23"/>
  <c r="AT14" i="23"/>
  <c r="AT15" i="23"/>
  <c r="AT16" i="23"/>
  <c r="AT17" i="23"/>
  <c r="AT18" i="23"/>
  <c r="AT19" i="23"/>
  <c r="AT20" i="23"/>
  <c r="AT21" i="23"/>
  <c r="AT22" i="23"/>
  <c r="AT23" i="23"/>
  <c r="AT24" i="23"/>
  <c r="AT25" i="23"/>
  <c r="AT26" i="23"/>
  <c r="AT27" i="23"/>
  <c r="AT28" i="23"/>
  <c r="AT29" i="23"/>
  <c r="AT30" i="23"/>
  <c r="AT31" i="23"/>
  <c r="AT32" i="23"/>
  <c r="AT33" i="23"/>
  <c r="AT34" i="23"/>
  <c r="AT35" i="23"/>
  <c r="AT36" i="23"/>
  <c r="AT37" i="23"/>
  <c r="AT38" i="23"/>
  <c r="AT39" i="23"/>
  <c r="AT40" i="23"/>
  <c r="AT41" i="23"/>
  <c r="AT42" i="23"/>
  <c r="AT43" i="23"/>
  <c r="AT44" i="23"/>
  <c r="AT45" i="23"/>
  <c r="AT46" i="23"/>
  <c r="AT47" i="23"/>
  <c r="AT48" i="23"/>
  <c r="AT49" i="23"/>
  <c r="AT50" i="23"/>
  <c r="AT51" i="23"/>
  <c r="AT52" i="23"/>
  <c r="AT53" i="23"/>
  <c r="AT54" i="23"/>
  <c r="AT55" i="23"/>
  <c r="AT56" i="23"/>
  <c r="AT57" i="23"/>
  <c r="AT58" i="23"/>
  <c r="AT59" i="23"/>
  <c r="AT60" i="23"/>
  <c r="AT61" i="23"/>
  <c r="AT62" i="23"/>
  <c r="AT63" i="23"/>
  <c r="AT64" i="23"/>
  <c r="AT65" i="23"/>
  <c r="AT66" i="23"/>
  <c r="AT67" i="23"/>
  <c r="AT68" i="23"/>
  <c r="AT69" i="23"/>
  <c r="AT70" i="23"/>
  <c r="AT71" i="23"/>
  <c r="AT72" i="23"/>
  <c r="AT73" i="23"/>
  <c r="AT74" i="23"/>
  <c r="AT75" i="23"/>
  <c r="AT76" i="23"/>
  <c r="AT77" i="23"/>
  <c r="AT2" i="23"/>
  <c r="AN4" i="11"/>
  <c r="V13" i="28"/>
  <c r="V11" i="28"/>
  <c r="V9" i="28"/>
  <c r="V7" i="28"/>
  <c r="V5" i="28"/>
  <c r="V3" i="28"/>
  <c r="V4" i="28"/>
  <c r="V6" i="28"/>
  <c r="V8" i="28"/>
  <c r="V10" i="28"/>
  <c r="V12" i="28"/>
  <c r="V2" i="28"/>
  <c r="AF18" i="47" l="1"/>
  <c r="AD18" i="47"/>
  <c r="AB21" i="47"/>
  <c r="N21" i="47"/>
  <c r="X20" i="47"/>
  <c r="AF7" i="47"/>
  <c r="AD7" i="47"/>
  <c r="I12" i="47"/>
  <c r="H12" i="47"/>
  <c r="K12" i="47" s="1"/>
  <c r="V22" i="47"/>
  <c r="X22" i="47"/>
  <c r="P32" i="47"/>
  <c r="Q32" i="47"/>
  <c r="AD25" i="47"/>
  <c r="N9" i="47"/>
  <c r="AB9" i="47"/>
  <c r="X14" i="47"/>
  <c r="V14" i="47"/>
  <c r="X55" i="47"/>
  <c r="V55" i="47"/>
  <c r="AD22" i="47"/>
  <c r="J4" i="47"/>
  <c r="I4" i="47"/>
  <c r="V11" i="47"/>
  <c r="H4" i="47"/>
  <c r="K4" i="47" s="1"/>
  <c r="Q19" i="47"/>
  <c r="AB31" i="47"/>
  <c r="N31" i="47"/>
  <c r="N4" i="47"/>
  <c r="AB4" i="47"/>
  <c r="X19" i="47"/>
  <c r="V19" i="47"/>
  <c r="AD28" i="47"/>
  <c r="X3" i="47"/>
  <c r="V3" i="47"/>
  <c r="J6" i="47"/>
  <c r="I6" i="47"/>
  <c r="M6" i="47"/>
  <c r="I7" i="47"/>
  <c r="W8" i="47"/>
  <c r="Y8" i="47" s="1"/>
  <c r="P16" i="47"/>
  <c r="Q18" i="47"/>
  <c r="AB19" i="47"/>
  <c r="N19" i="47"/>
  <c r="Q12" i="47"/>
  <c r="AF16" i="47"/>
  <c r="AD16" i="47"/>
  <c r="J32" i="47"/>
  <c r="H32" i="47"/>
  <c r="K32" i="47" s="1"/>
  <c r="I32" i="47"/>
  <c r="J9" i="47"/>
  <c r="I9" i="47"/>
  <c r="V27" i="47"/>
  <c r="J12" i="47"/>
  <c r="AB24" i="47"/>
  <c r="N24" i="47"/>
  <c r="P24" i="47" s="1"/>
  <c r="AB5" i="47"/>
  <c r="N5" i="47"/>
  <c r="Q5" i="47" s="1"/>
  <c r="AD15" i="47"/>
  <c r="T20" i="47"/>
  <c r="V24" i="47"/>
  <c r="AB33" i="47"/>
  <c r="N33" i="47"/>
  <c r="P33" i="47" s="1"/>
  <c r="X21" i="47"/>
  <c r="V21" i="47"/>
  <c r="V28" i="47"/>
  <c r="X28" i="47"/>
  <c r="Q7" i="47"/>
  <c r="AB3" i="47"/>
  <c r="N3" i="47"/>
  <c r="M10" i="47"/>
  <c r="J10" i="47"/>
  <c r="I10" i="47"/>
  <c r="X11" i="47"/>
  <c r="J16" i="47"/>
  <c r="I16" i="47"/>
  <c r="X18" i="47"/>
  <c r="V18" i="47"/>
  <c r="J23" i="47"/>
  <c r="I23" i="47"/>
  <c r="H23" i="47"/>
  <c r="K23" i="47" s="1"/>
  <c r="AF25" i="47"/>
  <c r="V26" i="47"/>
  <c r="P29" i="47"/>
  <c r="W23" i="47"/>
  <c r="Y23" i="47" s="1"/>
  <c r="Z23" i="47"/>
  <c r="AF29" i="47"/>
  <c r="AD29" i="47"/>
  <c r="J15" i="47"/>
  <c r="I15" i="47"/>
  <c r="H15" i="47"/>
  <c r="K15" i="47" s="1"/>
  <c r="AB14" i="47"/>
  <c r="N14" i="47"/>
  <c r="AB12" i="47"/>
  <c r="N12" i="47"/>
  <c r="M17" i="47"/>
  <c r="J17" i="47"/>
  <c r="I17" i="47"/>
  <c r="T12" i="47"/>
  <c r="X31" i="47"/>
  <c r="V31" i="47"/>
  <c r="Y15" i="47"/>
  <c r="AA15" i="47"/>
  <c r="V6" i="47"/>
  <c r="X6" i="47"/>
  <c r="AD11" i="47"/>
  <c r="V13" i="47"/>
  <c r="I20" i="47"/>
  <c r="V25" i="47"/>
  <c r="X25" i="47"/>
  <c r="AB27" i="47"/>
  <c r="N27" i="47"/>
  <c r="P27" i="47" s="1"/>
  <c r="J29" i="47"/>
  <c r="I29" i="47"/>
  <c r="H29" i="47"/>
  <c r="K29" i="47" s="1"/>
  <c r="R7" i="47"/>
  <c r="R11" i="47"/>
  <c r="J13" i="47"/>
  <c r="R18" i="47"/>
  <c r="J20" i="47"/>
  <c r="J30" i="47"/>
  <c r="R17" i="47"/>
  <c r="H26" i="47"/>
  <c r="K26" i="47" s="1"/>
  <c r="AB32" i="47"/>
  <c r="I5" i="47"/>
  <c r="T7" i="47"/>
  <c r="M8" i="47"/>
  <c r="P12" i="47"/>
  <c r="N16" i="47"/>
  <c r="Q16" i="47" s="1"/>
  <c r="P19" i="47"/>
  <c r="M23" i="47"/>
  <c r="M26" i="47"/>
  <c r="N29" i="47"/>
  <c r="Q29" i="47" s="1"/>
  <c r="V30" i="47"/>
  <c r="I3" i="47"/>
  <c r="T4" i="47"/>
  <c r="J5" i="47"/>
  <c r="T9" i="47"/>
  <c r="M13" i="47"/>
  <c r="I14" i="47"/>
  <c r="M20" i="47"/>
  <c r="I21" i="47"/>
  <c r="I24" i="47"/>
  <c r="I27" i="47"/>
  <c r="X27" i="47"/>
  <c r="M30" i="47"/>
  <c r="I31" i="47"/>
  <c r="T32" i="47"/>
  <c r="Q33" i="47"/>
  <c r="T10" i="47"/>
  <c r="J3" i="47"/>
  <c r="R12" i="47"/>
  <c r="J14" i="47"/>
  <c r="R19" i="47"/>
  <c r="J21" i="47"/>
  <c r="J24" i="47"/>
  <c r="J27" i="47"/>
  <c r="J31" i="47"/>
  <c r="R6" i="47"/>
  <c r="J7" i="47"/>
  <c r="J11" i="47"/>
  <c r="J18" i="47"/>
  <c r="G19" i="47"/>
  <c r="H22" i="47"/>
  <c r="K22" i="47" s="1"/>
  <c r="H25" i="47"/>
  <c r="K25" i="47" s="1"/>
  <c r="H28" i="47"/>
  <c r="K28" i="47" s="1"/>
  <c r="V33" i="47"/>
  <c r="T16" i="47"/>
  <c r="I22" i="47"/>
  <c r="R23" i="47"/>
  <c r="I25" i="47"/>
  <c r="R26" i="47"/>
  <c r="I28" i="47"/>
  <c r="T29" i="47"/>
  <c r="I33" i="47"/>
  <c r="X33" i="47"/>
  <c r="V54" i="47"/>
  <c r="T5" i="47"/>
  <c r="P7" i="47"/>
  <c r="I8" i="47"/>
  <c r="X8" i="47"/>
  <c r="P11" i="47"/>
  <c r="N15" i="47"/>
  <c r="P15" i="47" s="1"/>
  <c r="T17" i="47"/>
  <c r="P18" i="47"/>
  <c r="N22" i="47"/>
  <c r="P22" i="47" s="1"/>
  <c r="N25" i="47"/>
  <c r="P25" i="47" s="1"/>
  <c r="I26" i="47"/>
  <c r="N28" i="47"/>
  <c r="P28" i="47" s="1"/>
  <c r="AM8" i="11"/>
  <c r="AM7" i="11"/>
  <c r="AM6" i="11"/>
  <c r="AM5" i="11"/>
  <c r="AN14" i="11"/>
  <c r="G37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AA3" i="11"/>
  <c r="AA34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D8" i="43"/>
  <c r="E8" i="43" s="1"/>
  <c r="D33" i="43"/>
  <c r="E33" i="43" s="1"/>
  <c r="D31" i="43"/>
  <c r="E31" i="43" s="1"/>
  <c r="D30" i="43"/>
  <c r="E30" i="43" s="1"/>
  <c r="D32" i="43"/>
  <c r="D29" i="43"/>
  <c r="E29" i="43" s="1"/>
  <c r="D12" i="43"/>
  <c r="E12" i="43" s="1"/>
  <c r="D15" i="43"/>
  <c r="D13" i="43"/>
  <c r="E13" i="43" s="1"/>
  <c r="D14" i="43"/>
  <c r="E14" i="43" s="1"/>
  <c r="D11" i="43"/>
  <c r="E11" i="43" s="1"/>
  <c r="D10" i="43"/>
  <c r="D9" i="43"/>
  <c r="E9" i="43" s="1"/>
  <c r="D27" i="43"/>
  <c r="E27" i="43" s="1"/>
  <c r="D26" i="43"/>
  <c r="E26" i="43" s="1"/>
  <c r="D22" i="43"/>
  <c r="E22" i="43" s="1"/>
  <c r="D21" i="43"/>
  <c r="E21" i="43" s="1"/>
  <c r="D20" i="43"/>
  <c r="E20" i="43" s="1"/>
  <c r="D19" i="43"/>
  <c r="E19" i="43" s="1"/>
  <c r="D18" i="43"/>
  <c r="E18" i="43" s="1"/>
  <c r="D17" i="43"/>
  <c r="E17" i="43" s="1"/>
  <c r="D16" i="43"/>
  <c r="E16" i="43" s="1"/>
  <c r="D28" i="43"/>
  <c r="E28" i="43" s="1"/>
  <c r="D25" i="43"/>
  <c r="E25" i="43" s="1"/>
  <c r="D24" i="43"/>
  <c r="E24" i="43" s="1"/>
  <c r="D23" i="43"/>
  <c r="E23" i="43" s="1"/>
  <c r="D7" i="43"/>
  <c r="E7" i="43" s="1"/>
  <c r="E32" i="43"/>
  <c r="E10" i="43"/>
  <c r="G3" i="43"/>
  <c r="G28" i="43"/>
  <c r="G11" i="43"/>
  <c r="G9" i="43"/>
  <c r="G6" i="43"/>
  <c r="D5" i="43"/>
  <c r="E5" i="43" s="1"/>
  <c r="D4" i="43"/>
  <c r="E4" i="43" s="1"/>
  <c r="D3" i="43"/>
  <c r="D6" i="43"/>
  <c r="E6" i="43" s="1"/>
  <c r="F4" i="43"/>
  <c r="G4" i="43" s="1"/>
  <c r="H4" i="43" s="1"/>
  <c r="F5" i="43"/>
  <c r="G5" i="43" s="1"/>
  <c r="H5" i="43" s="1"/>
  <c r="F6" i="43"/>
  <c r="F7" i="43"/>
  <c r="G7" i="43" s="1"/>
  <c r="H7" i="43" s="1"/>
  <c r="F8" i="43"/>
  <c r="G8" i="43" s="1"/>
  <c r="H8" i="43" s="1"/>
  <c r="F9" i="43"/>
  <c r="F10" i="43"/>
  <c r="G10" i="43" s="1"/>
  <c r="H10" i="43" s="1"/>
  <c r="F11" i="43"/>
  <c r="F12" i="43"/>
  <c r="G12" i="43" s="1"/>
  <c r="H12" i="43" s="1"/>
  <c r="F13" i="43"/>
  <c r="G13" i="43" s="1"/>
  <c r="H13" i="43" s="1"/>
  <c r="F14" i="43"/>
  <c r="G14" i="43" s="1"/>
  <c r="H14" i="43" s="1"/>
  <c r="F15" i="43"/>
  <c r="G15" i="43" s="1"/>
  <c r="H15" i="43" s="1"/>
  <c r="F16" i="43"/>
  <c r="G16" i="43" s="1"/>
  <c r="H16" i="43" s="1"/>
  <c r="F17" i="43"/>
  <c r="G17" i="43" s="1"/>
  <c r="H17" i="43" s="1"/>
  <c r="F18" i="43"/>
  <c r="G18" i="43" s="1"/>
  <c r="H18" i="43" s="1"/>
  <c r="F19" i="43"/>
  <c r="G19" i="43" s="1"/>
  <c r="H19" i="43" s="1"/>
  <c r="F20" i="43"/>
  <c r="G20" i="43" s="1"/>
  <c r="H20" i="43" s="1"/>
  <c r="F21" i="43"/>
  <c r="G21" i="43" s="1"/>
  <c r="H21" i="43" s="1"/>
  <c r="F22" i="43"/>
  <c r="G22" i="43" s="1"/>
  <c r="H22" i="43" s="1"/>
  <c r="F23" i="43"/>
  <c r="G23" i="43" s="1"/>
  <c r="H23" i="43" s="1"/>
  <c r="F24" i="43"/>
  <c r="G24" i="43" s="1"/>
  <c r="H24" i="43" s="1"/>
  <c r="F25" i="43"/>
  <c r="G25" i="43" s="1"/>
  <c r="H25" i="43" s="1"/>
  <c r="F26" i="43"/>
  <c r="G26" i="43" s="1"/>
  <c r="H26" i="43" s="1"/>
  <c r="F27" i="43"/>
  <c r="G27" i="43" s="1"/>
  <c r="H27" i="43" s="1"/>
  <c r="F28" i="43"/>
  <c r="F29" i="43"/>
  <c r="G29" i="43" s="1"/>
  <c r="H29" i="43" s="1"/>
  <c r="F30" i="43"/>
  <c r="G30" i="43" s="1"/>
  <c r="H30" i="43" s="1"/>
  <c r="F31" i="43"/>
  <c r="G31" i="43" s="1"/>
  <c r="H31" i="43" s="1"/>
  <c r="F32" i="43"/>
  <c r="G32" i="43" s="1"/>
  <c r="H32" i="43" s="1"/>
  <c r="F33" i="43"/>
  <c r="G33" i="43" s="1"/>
  <c r="H33" i="43" s="1"/>
  <c r="F3" i="43"/>
  <c r="H3" i="43" s="1"/>
  <c r="E15" i="43"/>
  <c r="B33" i="43"/>
  <c r="B30" i="43"/>
  <c r="B31" i="43"/>
  <c r="B32" i="43"/>
  <c r="B23" i="43"/>
  <c r="B24" i="43"/>
  <c r="B25" i="43"/>
  <c r="B26" i="43"/>
  <c r="B27" i="43"/>
  <c r="B28" i="43"/>
  <c r="B29" i="43"/>
  <c r="B4" i="43"/>
  <c r="B5" i="43"/>
  <c r="B6" i="43"/>
  <c r="B7" i="43"/>
  <c r="B8" i="43"/>
  <c r="B9" i="43"/>
  <c r="B10" i="43"/>
  <c r="B11" i="43"/>
  <c r="B12" i="43"/>
  <c r="B13" i="43"/>
  <c r="B14" i="43"/>
  <c r="B15" i="43"/>
  <c r="B16" i="43"/>
  <c r="B17" i="43"/>
  <c r="B18" i="43"/>
  <c r="B19" i="43"/>
  <c r="B20" i="43"/>
  <c r="B21" i="43"/>
  <c r="B22" i="43"/>
  <c r="B3" i="43"/>
  <c r="E3" i="43"/>
  <c r="T13" i="28"/>
  <c r="T12" i="28"/>
  <c r="T11" i="28"/>
  <c r="T10" i="28"/>
  <c r="T9" i="28"/>
  <c r="T8" i="28"/>
  <c r="T7" i="28"/>
  <c r="T6" i="28"/>
  <c r="T5" i="28"/>
  <c r="T4" i="28"/>
  <c r="T3" i="28"/>
  <c r="T2" i="28"/>
  <c r="U13" i="28"/>
  <c r="U10" i="28"/>
  <c r="U7" i="28"/>
  <c r="U4" i="28"/>
  <c r="U12" i="28"/>
  <c r="U11" i="28"/>
  <c r="U9" i="28"/>
  <c r="U8" i="28"/>
  <c r="U6" i="28"/>
  <c r="U5" i="28"/>
  <c r="U3" i="28"/>
  <c r="U2" i="28"/>
  <c r="AM4" i="11"/>
  <c r="AA25" i="47" l="1"/>
  <c r="AG11" i="47"/>
  <c r="AI28" i="47"/>
  <c r="AF19" i="47"/>
  <c r="AD19" i="47"/>
  <c r="V17" i="47"/>
  <c r="W30" i="47"/>
  <c r="AA30" i="47" s="1"/>
  <c r="V5" i="47"/>
  <c r="X5" i="47"/>
  <c r="AB20" i="47"/>
  <c r="N20" i="47"/>
  <c r="AB23" i="47"/>
  <c r="N23" i="47"/>
  <c r="AE15" i="47"/>
  <c r="AI15" i="47" s="1"/>
  <c r="P31" i="47"/>
  <c r="Q31" i="47"/>
  <c r="AE7" i="47"/>
  <c r="AI7" i="47" s="1"/>
  <c r="Q22" i="47"/>
  <c r="AB30" i="47"/>
  <c r="N30" i="47"/>
  <c r="P4" i="47"/>
  <c r="Q4" i="47"/>
  <c r="AD27" i="47"/>
  <c r="AF27" i="47"/>
  <c r="AE11" i="47"/>
  <c r="AH11" i="47" s="1"/>
  <c r="AB10" i="47"/>
  <c r="N10" i="47"/>
  <c r="AG28" i="47"/>
  <c r="AD31" i="47"/>
  <c r="AF31" i="47"/>
  <c r="AE22" i="47"/>
  <c r="AE25" i="47"/>
  <c r="W33" i="47"/>
  <c r="Z33" i="47" s="1"/>
  <c r="X9" i="47"/>
  <c r="V9" i="47"/>
  <c r="I19" i="47"/>
  <c r="H19" i="47"/>
  <c r="K19" i="47" s="1"/>
  <c r="J19" i="47"/>
  <c r="AB26" i="47"/>
  <c r="N26" i="47"/>
  <c r="W13" i="47"/>
  <c r="Z13" i="47" s="1"/>
  <c r="W21" i="47"/>
  <c r="AA21" i="47" s="1"/>
  <c r="W54" i="47"/>
  <c r="Y54" i="47" s="1"/>
  <c r="V16" i="47"/>
  <c r="X16" i="47"/>
  <c r="V10" i="47"/>
  <c r="X10" i="47"/>
  <c r="AB13" i="47"/>
  <c r="N13" i="47"/>
  <c r="AI11" i="47"/>
  <c r="X12" i="47"/>
  <c r="V12" i="47"/>
  <c r="AE29" i="47"/>
  <c r="AG29" i="47" s="1"/>
  <c r="AD5" i="47"/>
  <c r="AF5" i="47"/>
  <c r="AH16" i="47"/>
  <c r="AE16" i="47"/>
  <c r="AG16" i="47" s="1"/>
  <c r="Z8" i="47"/>
  <c r="W55" i="47"/>
  <c r="Y55" i="47" s="1"/>
  <c r="P5" i="47"/>
  <c r="AH28" i="47"/>
  <c r="AE28" i="47"/>
  <c r="X32" i="47"/>
  <c r="V32" i="47"/>
  <c r="AA8" i="47"/>
  <c r="W25" i="47"/>
  <c r="Z25" i="47"/>
  <c r="W18" i="47"/>
  <c r="Y18" i="47" s="1"/>
  <c r="Q3" i="47"/>
  <c r="P3" i="47"/>
  <c r="AF33" i="47"/>
  <c r="AD33" i="47"/>
  <c r="AD24" i="47"/>
  <c r="AF24" i="47"/>
  <c r="Q21" i="47"/>
  <c r="P21" i="47"/>
  <c r="V29" i="47"/>
  <c r="X29" i="47"/>
  <c r="X4" i="47"/>
  <c r="V4" i="47"/>
  <c r="AB8" i="47"/>
  <c r="N8" i="47"/>
  <c r="Y25" i="47"/>
  <c r="W6" i="47"/>
  <c r="AB17" i="47"/>
  <c r="N17" i="47"/>
  <c r="AD3" i="47"/>
  <c r="AF3" i="47"/>
  <c r="Z24" i="47"/>
  <c r="W24" i="47"/>
  <c r="AI16" i="47"/>
  <c r="AB6" i="47"/>
  <c r="N6" i="47"/>
  <c r="W11" i="47"/>
  <c r="W14" i="47"/>
  <c r="Z14" i="47" s="1"/>
  <c r="AD21" i="47"/>
  <c r="AF21" i="47"/>
  <c r="V7" i="47"/>
  <c r="X7" i="47"/>
  <c r="X34" i="47" s="1"/>
  <c r="W27" i="47"/>
  <c r="Z27" i="47" s="1"/>
  <c r="W22" i="47"/>
  <c r="AA22" i="47" s="1"/>
  <c r="AA18" i="47"/>
  <c r="Y27" i="47"/>
  <c r="Q25" i="47"/>
  <c r="W19" i="47"/>
  <c r="Y19" i="47" s="1"/>
  <c r="Y22" i="47"/>
  <c r="Q24" i="47"/>
  <c r="AD32" i="47"/>
  <c r="AF32" i="47"/>
  <c r="Y33" i="47"/>
  <c r="Q15" i="47"/>
  <c r="AF12" i="47"/>
  <c r="AD12" i="47"/>
  <c r="AA33" i="47"/>
  <c r="X17" i="47"/>
  <c r="AA27" i="47"/>
  <c r="AA23" i="47"/>
  <c r="Q27" i="47"/>
  <c r="Q14" i="47"/>
  <c r="P14" i="47"/>
  <c r="W28" i="47"/>
  <c r="AA28" i="47" s="1"/>
  <c r="V20" i="47"/>
  <c r="W3" i="47"/>
  <c r="Z3" i="47"/>
  <c r="AD9" i="47"/>
  <c r="AF9" i="47"/>
  <c r="AE18" i="47"/>
  <c r="AH18" i="47" s="1"/>
  <c r="AA13" i="47"/>
  <c r="W31" i="47"/>
  <c r="AF14" i="47"/>
  <c r="AD14" i="47"/>
  <c r="W26" i="47"/>
  <c r="Z26" i="47" s="1"/>
  <c r="AG15" i="47"/>
  <c r="AD4" i="47"/>
  <c r="AF4" i="47"/>
  <c r="Q28" i="47"/>
  <c r="P9" i="47"/>
  <c r="Q9" i="47"/>
  <c r="AG7" i="47"/>
  <c r="H9" i="43"/>
  <c r="H3" i="29"/>
  <c r="H12" i="29"/>
  <c r="K15" i="29"/>
  <c r="H21" i="29"/>
  <c r="H7" i="29"/>
  <c r="H6" i="43"/>
  <c r="J6" i="43" s="1"/>
  <c r="K6" i="43" s="1"/>
  <c r="H11" i="43"/>
  <c r="J11" i="43" s="1"/>
  <c r="K11" i="43" s="1"/>
  <c r="H28" i="43"/>
  <c r="J28" i="43" s="1"/>
  <c r="K28" i="43" s="1"/>
  <c r="J16" i="43"/>
  <c r="K16" i="43" s="1"/>
  <c r="J4" i="43"/>
  <c r="K4" i="43" s="1"/>
  <c r="J7" i="43"/>
  <c r="K7" i="43" s="1"/>
  <c r="J23" i="43"/>
  <c r="K23" i="43" s="1"/>
  <c r="J17" i="43"/>
  <c r="K17" i="43" s="1"/>
  <c r="J22" i="43"/>
  <c r="K22" i="43" s="1"/>
  <c r="J21" i="43"/>
  <c r="K21" i="43" s="1"/>
  <c r="J26" i="43"/>
  <c r="K26" i="43" s="1"/>
  <c r="J13" i="43"/>
  <c r="K13" i="43" s="1"/>
  <c r="J12" i="43"/>
  <c r="K12" i="43" s="1"/>
  <c r="J14" i="43"/>
  <c r="K14" i="43" s="1"/>
  <c r="J33" i="43"/>
  <c r="K33" i="43" s="1"/>
  <c r="J9" i="43"/>
  <c r="K9" i="43" s="1"/>
  <c r="J18" i="43"/>
  <c r="K18" i="43" s="1"/>
  <c r="J5" i="43"/>
  <c r="K5" i="43" s="1"/>
  <c r="J25" i="43"/>
  <c r="K25" i="43" s="1"/>
  <c r="J24" i="43"/>
  <c r="K24" i="43" s="1"/>
  <c r="J10" i="43"/>
  <c r="K10" i="43" s="1"/>
  <c r="J32" i="43"/>
  <c r="K32" i="43" s="1"/>
  <c r="J20" i="43"/>
  <c r="K20" i="43" s="1"/>
  <c r="J8" i="43"/>
  <c r="K8" i="43" s="1"/>
  <c r="J27" i="43"/>
  <c r="K27" i="43" s="1"/>
  <c r="J15" i="43"/>
  <c r="K15" i="43" s="1"/>
  <c r="J31" i="43"/>
  <c r="K31" i="43" s="1"/>
  <c r="J19" i="43"/>
  <c r="K19" i="43" s="1"/>
  <c r="J30" i="43"/>
  <c r="K30" i="43" s="1"/>
  <c r="J29" i="43"/>
  <c r="K29" i="43" s="1"/>
  <c r="J3" i="43"/>
  <c r="K3" i="43" s="1"/>
  <c r="AI9" i="47" l="1"/>
  <c r="AI31" i="47"/>
  <c r="AI4" i="47"/>
  <c r="AG27" i="47"/>
  <c r="AA7" i="47"/>
  <c r="AE32" i="47"/>
  <c r="AI32" i="47" s="1"/>
  <c r="AH32" i="47"/>
  <c r="Y3" i="47"/>
  <c r="AA3" i="47"/>
  <c r="AG4" i="47"/>
  <c r="AH15" i="47"/>
  <c r="AD17" i="47"/>
  <c r="AF17" i="47"/>
  <c r="W10" i="47"/>
  <c r="Z10" i="47" s="1"/>
  <c r="AI22" i="47"/>
  <c r="AG22" i="47"/>
  <c r="AD6" i="47"/>
  <c r="AF6" i="47"/>
  <c r="AF34" i="47" s="1"/>
  <c r="AA6" i="47"/>
  <c r="Y6" i="47"/>
  <c r="AH22" i="47"/>
  <c r="AE27" i="47"/>
  <c r="AI27" i="47" s="1"/>
  <c r="AA31" i="47"/>
  <c r="Y31" i="47"/>
  <c r="Y7" i="47"/>
  <c r="Z6" i="47"/>
  <c r="Z31" i="47"/>
  <c r="W20" i="47"/>
  <c r="Z20" i="47"/>
  <c r="AE12" i="47"/>
  <c r="AI12" i="47" s="1"/>
  <c r="AH12" i="47"/>
  <c r="Z19" i="47"/>
  <c r="AA24" i="47"/>
  <c r="Y24" i="47"/>
  <c r="Z18" i="47"/>
  <c r="Z55" i="47"/>
  <c r="W12" i="47"/>
  <c r="Y12" i="47" s="1"/>
  <c r="Z12" i="47"/>
  <c r="W16" i="47"/>
  <c r="Z16" i="47" s="1"/>
  <c r="Y30" i="47"/>
  <c r="P23" i="47"/>
  <c r="Q23" i="47"/>
  <c r="Z17" i="47"/>
  <c r="W17" i="47"/>
  <c r="Z7" i="47"/>
  <c r="W7" i="47"/>
  <c r="AH29" i="47"/>
  <c r="AE4" i="47"/>
  <c r="AH4" i="47"/>
  <c r="AI21" i="47"/>
  <c r="P8" i="47"/>
  <c r="Q8" i="47"/>
  <c r="AE31" i="47"/>
  <c r="AH31" i="47" s="1"/>
  <c r="AD23" i="47"/>
  <c r="AF23" i="47"/>
  <c r="AE19" i="47"/>
  <c r="AG19" i="47" s="1"/>
  <c r="Z28" i="47"/>
  <c r="AG12" i="47"/>
  <c r="AI3" i="47"/>
  <c r="AF8" i="47"/>
  <c r="AD8" i="47"/>
  <c r="Z54" i="47"/>
  <c r="W9" i="47"/>
  <c r="Z9" i="47" s="1"/>
  <c r="P20" i="47"/>
  <c r="Q20" i="47"/>
  <c r="W29" i="47"/>
  <c r="Z29" i="47" s="1"/>
  <c r="AD20" i="47"/>
  <c r="AF20" i="47"/>
  <c r="Y28" i="47"/>
  <c r="W4" i="47"/>
  <c r="AA4" i="47" s="1"/>
  <c r="P10" i="47"/>
  <c r="Q10" i="47"/>
  <c r="AF30" i="47"/>
  <c r="AD30" i="47"/>
  <c r="Z22" i="47"/>
  <c r="AE33" i="47"/>
  <c r="AG33" i="47" s="1"/>
  <c r="W32" i="47"/>
  <c r="AF13" i="47"/>
  <c r="AD13" i="47"/>
  <c r="Z21" i="47"/>
  <c r="AF10" i="47"/>
  <c r="AD10" i="47"/>
  <c r="Y21" i="47"/>
  <c r="Q6" i="47"/>
  <c r="P6" i="47"/>
  <c r="AD26" i="47"/>
  <c r="AF26" i="47"/>
  <c r="AE21" i="47"/>
  <c r="AH21" i="47" s="1"/>
  <c r="AE24" i="47"/>
  <c r="AG24" i="47" s="1"/>
  <c r="P30" i="47"/>
  <c r="Q30" i="47"/>
  <c r="AE3" i="47"/>
  <c r="AG3" i="47" s="1"/>
  <c r="Q13" i="47"/>
  <c r="P13" i="47"/>
  <c r="Y26" i="47"/>
  <c r="AA26" i="47"/>
  <c r="Y13" i="47"/>
  <c r="AA14" i="47"/>
  <c r="Y14" i="47"/>
  <c r="AE5" i="47"/>
  <c r="AI5" i="47" s="1"/>
  <c r="AH7" i="47"/>
  <c r="AI18" i="47"/>
  <c r="AG18" i="47"/>
  <c r="AE9" i="47"/>
  <c r="AG9" i="47" s="1"/>
  <c r="AH9" i="47"/>
  <c r="AG32" i="47"/>
  <c r="AA11" i="47"/>
  <c r="Y11" i="47"/>
  <c r="AI29" i="47"/>
  <c r="Y10" i="47"/>
  <c r="AG25" i="47"/>
  <c r="AI25" i="47"/>
  <c r="W5" i="47"/>
  <c r="AA5" i="47" s="1"/>
  <c r="AE14" i="47"/>
  <c r="AA19" i="47"/>
  <c r="Z11" i="47"/>
  <c r="Q17" i="47"/>
  <c r="P17" i="47"/>
  <c r="AA10" i="47"/>
  <c r="P26" i="47"/>
  <c r="Q26" i="47"/>
  <c r="AH25" i="47"/>
  <c r="Z30" i="47"/>
  <c r="O14" i="11"/>
  <c r="O21" i="11"/>
  <c r="O16" i="11"/>
  <c r="O28" i="11"/>
  <c r="O13" i="11"/>
  <c r="O29" i="11"/>
  <c r="O22" i="11"/>
  <c r="O15" i="11"/>
  <c r="O12" i="11"/>
  <c r="O17" i="11"/>
  <c r="O27" i="11"/>
  <c r="O20" i="11"/>
  <c r="O10" i="11"/>
  <c r="O24" i="11"/>
  <c r="O6" i="11"/>
  <c r="O30" i="11"/>
  <c r="O23" i="11"/>
  <c r="O19" i="11"/>
  <c r="O18" i="11"/>
  <c r="O7" i="11"/>
  <c r="O33" i="11"/>
  <c r="O8" i="11"/>
  <c r="O32" i="11"/>
  <c r="O26" i="11"/>
  <c r="O25" i="11"/>
  <c r="O11" i="11"/>
  <c r="O5" i="11"/>
  <c r="O31" i="11"/>
  <c r="O9" i="11"/>
  <c r="O4" i="11"/>
  <c r="O3" i="11"/>
  <c r="B73" i="42"/>
  <c r="B74" i="42"/>
  <c r="B75" i="42"/>
  <c r="B76" i="42"/>
  <c r="B77" i="42"/>
  <c r="B78" i="42"/>
  <c r="B79" i="42"/>
  <c r="B80" i="42"/>
  <c r="B81" i="42"/>
  <c r="B82" i="42"/>
  <c r="B83" i="42"/>
  <c r="B84" i="42"/>
  <c r="B85" i="42"/>
  <c r="B86" i="42"/>
  <c r="B87" i="42"/>
  <c r="B88" i="42"/>
  <c r="B89" i="42"/>
  <c r="B90" i="42"/>
  <c r="B91" i="42"/>
  <c r="B92" i="42"/>
  <c r="B93" i="42"/>
  <c r="B94" i="42"/>
  <c r="B95" i="42"/>
  <c r="B96" i="42"/>
  <c r="B97" i="42"/>
  <c r="B98" i="42"/>
  <c r="B99" i="42"/>
  <c r="B100" i="42"/>
  <c r="B101" i="42"/>
  <c r="B102" i="42"/>
  <c r="B72" i="42"/>
  <c r="F72" i="42" s="1"/>
  <c r="AI8" i="47" l="1"/>
  <c r="Z5" i="47"/>
  <c r="AA20" i="47"/>
  <c r="Y20" i="47"/>
  <c r="AE6" i="47"/>
  <c r="AH6" i="47" s="1"/>
  <c r="AG6" i="47"/>
  <c r="Z4" i="47"/>
  <c r="Z34" i="47" s="1"/>
  <c r="AI6" i="47"/>
  <c r="AI33" i="47"/>
  <c r="AA29" i="47"/>
  <c r="AE10" i="47"/>
  <c r="AH10" i="47"/>
  <c r="Y32" i="47"/>
  <c r="AA32" i="47"/>
  <c r="Y5" i="47"/>
  <c r="AH5" i="47"/>
  <c r="Y9" i="47"/>
  <c r="AA9" i="47"/>
  <c r="AH19" i="47"/>
  <c r="Y29" i="47"/>
  <c r="Y4" i="47"/>
  <c r="Y34" i="47" s="1"/>
  <c r="AH24" i="47"/>
  <c r="AG21" i="47"/>
  <c r="AH3" i="47"/>
  <c r="Z32" i="47"/>
  <c r="AG31" i="47"/>
  <c r="AH33" i="47"/>
  <c r="AI19" i="47"/>
  <c r="AE20" i="47"/>
  <c r="AI20" i="47" s="1"/>
  <c r="AH20" i="47"/>
  <c r="AA12" i="47"/>
  <c r="AA34" i="47" s="1"/>
  <c r="AE23" i="47"/>
  <c r="AH23" i="47" s="1"/>
  <c r="AA17" i="47"/>
  <c r="Y17" i="47"/>
  <c r="AH27" i="47"/>
  <c r="Y16" i="47"/>
  <c r="AA16" i="47"/>
  <c r="AE13" i="47"/>
  <c r="AI13" i="47" s="1"/>
  <c r="AH13" i="47"/>
  <c r="AE30" i="47"/>
  <c r="AH30" i="47" s="1"/>
  <c r="AH8" i="47"/>
  <c r="AE8" i="47"/>
  <c r="AE17" i="47"/>
  <c r="AH17" i="47" s="1"/>
  <c r="AG5" i="47"/>
  <c r="AI14" i="47"/>
  <c r="AG14" i="47"/>
  <c r="AH14" i="47"/>
  <c r="AE26" i="47"/>
  <c r="AH26" i="47" s="1"/>
  <c r="AG8" i="47"/>
  <c r="AI24" i="47"/>
  <c r="D72" i="42"/>
  <c r="D99" i="42"/>
  <c r="E99" i="42"/>
  <c r="F99" i="42"/>
  <c r="D93" i="42"/>
  <c r="F93" i="42"/>
  <c r="E93" i="42"/>
  <c r="E87" i="42"/>
  <c r="D87" i="42"/>
  <c r="F87" i="42"/>
  <c r="E81" i="42"/>
  <c r="F81" i="42"/>
  <c r="D81" i="42"/>
  <c r="D75" i="42"/>
  <c r="E75" i="42"/>
  <c r="F75" i="42"/>
  <c r="D98" i="42"/>
  <c r="E98" i="42"/>
  <c r="F98" i="42"/>
  <c r="F92" i="42"/>
  <c r="D92" i="42"/>
  <c r="E92" i="42"/>
  <c r="E86" i="42"/>
  <c r="D86" i="42"/>
  <c r="F86" i="42"/>
  <c r="E80" i="42"/>
  <c r="F80" i="42"/>
  <c r="D80" i="42"/>
  <c r="E74" i="42"/>
  <c r="D74" i="42"/>
  <c r="F74" i="42"/>
  <c r="D97" i="42"/>
  <c r="F97" i="42"/>
  <c r="E97" i="42"/>
  <c r="D73" i="42"/>
  <c r="F73" i="42"/>
  <c r="E73" i="42"/>
  <c r="F102" i="42"/>
  <c r="D102" i="42"/>
  <c r="E102" i="42"/>
  <c r="D96" i="42"/>
  <c r="F96" i="42"/>
  <c r="E96" i="42"/>
  <c r="F90" i="42"/>
  <c r="D90" i="42"/>
  <c r="E90" i="42"/>
  <c r="D84" i="42"/>
  <c r="E84" i="42"/>
  <c r="F84" i="42"/>
  <c r="F78" i="42"/>
  <c r="D78" i="42"/>
  <c r="E78" i="42"/>
  <c r="D85" i="42"/>
  <c r="E85" i="42"/>
  <c r="F85" i="42"/>
  <c r="F101" i="42"/>
  <c r="E101" i="42"/>
  <c r="D101" i="42"/>
  <c r="E95" i="42"/>
  <c r="F95" i="42"/>
  <c r="D95" i="42"/>
  <c r="F89" i="42"/>
  <c r="E89" i="42"/>
  <c r="D89" i="42"/>
  <c r="E83" i="42"/>
  <c r="D83" i="42"/>
  <c r="F83" i="42"/>
  <c r="F77" i="42"/>
  <c r="E77" i="42"/>
  <c r="D77" i="42"/>
  <c r="F91" i="42"/>
  <c r="D91" i="42"/>
  <c r="E91" i="42"/>
  <c r="F79" i="42"/>
  <c r="D79" i="42"/>
  <c r="E79" i="42"/>
  <c r="D100" i="42"/>
  <c r="F100" i="42"/>
  <c r="E100" i="42"/>
  <c r="E94" i="42"/>
  <c r="F94" i="42"/>
  <c r="D94" i="42"/>
  <c r="E88" i="42"/>
  <c r="F88" i="42"/>
  <c r="D88" i="42"/>
  <c r="F82" i="42"/>
  <c r="E82" i="42"/>
  <c r="D82" i="42"/>
  <c r="E76" i="42"/>
  <c r="F76" i="42"/>
  <c r="D76" i="42"/>
  <c r="E72" i="42"/>
  <c r="AM4" i="47" l="1"/>
  <c r="AG17" i="47"/>
  <c r="AI30" i="47"/>
  <c r="AI17" i="47"/>
  <c r="AG23" i="47"/>
  <c r="AG20" i="47"/>
  <c r="AH34" i="47"/>
  <c r="AI26" i="47"/>
  <c r="AG26" i="47"/>
  <c r="AG30" i="47"/>
  <c r="AI23" i="47"/>
  <c r="AG13" i="47"/>
  <c r="AI10" i="47"/>
  <c r="AI34" i="47" s="1"/>
  <c r="AG10" i="47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" i="11"/>
  <c r="AG34" i="47" l="1"/>
  <c r="AN4" i="47"/>
  <c r="AM5" i="47"/>
  <c r="AP4" i="47"/>
  <c r="AM6" i="47" l="1"/>
  <c r="AO4" i="47"/>
  <c r="AN8" i="47"/>
  <c r="AN6" i="47"/>
  <c r="AO6" i="47" s="1"/>
  <c r="AN5" i="47"/>
  <c r="AO5" i="47" s="1"/>
  <c r="AN7" i="47"/>
  <c r="AI37" i="47"/>
  <c r="AM9" i="11"/>
  <c r="AN9" i="47" l="1"/>
  <c r="AP6" i="47"/>
  <c r="AM7" i="47"/>
  <c r="AP5" i="47"/>
  <c r="AP7" i="47" l="1"/>
  <c r="AM8" i="47"/>
  <c r="AO7" i="47"/>
  <c r="AP8" i="47" l="1"/>
  <c r="AP9" i="47" s="1"/>
  <c r="AO8" i="47"/>
  <c r="AO9" i="47" s="1"/>
  <c r="AM9" i="47"/>
  <c r="X14" i="28" l="1"/>
  <c r="W14" i="28"/>
  <c r="V14" i="28"/>
  <c r="Y9" i="28"/>
  <c r="Y6" i="28"/>
  <c r="Y4" i="28"/>
  <c r="Y5" i="28"/>
  <c r="T14" i="28"/>
  <c r="Y3" i="28"/>
  <c r="Y8" i="28"/>
  <c r="Y12" i="28"/>
  <c r="Y2" i="28"/>
  <c r="I36" i="28"/>
  <c r="I35" i="28"/>
  <c r="I31" i="28"/>
  <c r="I27" i="28"/>
  <c r="I26" i="28"/>
  <c r="I25" i="28"/>
  <c r="I24" i="28"/>
  <c r="I17" i="28"/>
  <c r="I15" i="28"/>
  <c r="I49" i="28"/>
  <c r="I48" i="28"/>
  <c r="I45" i="28"/>
  <c r="I44" i="28"/>
  <c r="I42" i="28"/>
  <c r="I41" i="28"/>
  <c r="I40" i="28"/>
  <c r="I39" i="28"/>
  <c r="I38" i="28"/>
  <c r="I34" i="28"/>
  <c r="I29" i="28"/>
  <c r="I28" i="28"/>
  <c r="I23" i="28"/>
  <c r="I20" i="28"/>
  <c r="I13" i="28"/>
  <c r="I12" i="28"/>
  <c r="I11" i="28"/>
  <c r="I10" i="28"/>
  <c r="I9" i="28"/>
  <c r="I6" i="28"/>
  <c r="I5" i="28"/>
  <c r="I4" i="28"/>
  <c r="H77" i="35"/>
  <c r="G77" i="35" s="1"/>
  <c r="H76" i="35"/>
  <c r="G76" i="35"/>
  <c r="H75" i="35"/>
  <c r="G75" i="35" s="1"/>
  <c r="H74" i="35"/>
  <c r="G74" i="35" s="1"/>
  <c r="H73" i="35"/>
  <c r="G73" i="35"/>
  <c r="H72" i="35"/>
  <c r="G72" i="35" s="1"/>
  <c r="H71" i="35"/>
  <c r="G71" i="35" s="1"/>
  <c r="H70" i="35"/>
  <c r="G70" i="35"/>
  <c r="H69" i="35"/>
  <c r="G69" i="35" s="1"/>
  <c r="H68" i="35"/>
  <c r="G68" i="35" s="1"/>
  <c r="H67" i="35"/>
  <c r="G67" i="35"/>
  <c r="H66" i="35"/>
  <c r="G66" i="35" s="1"/>
  <c r="H65" i="35"/>
  <c r="G65" i="35" s="1"/>
  <c r="H64" i="35"/>
  <c r="G64" i="35"/>
  <c r="H63" i="35"/>
  <c r="G63" i="35" s="1"/>
  <c r="H62" i="35"/>
  <c r="G62" i="35" s="1"/>
  <c r="H61" i="35"/>
  <c r="G61" i="35" s="1"/>
  <c r="H60" i="35"/>
  <c r="G60" i="35"/>
  <c r="H59" i="35"/>
  <c r="G59" i="35" s="1"/>
  <c r="H58" i="35"/>
  <c r="G58" i="35"/>
  <c r="H57" i="35"/>
  <c r="G57" i="35"/>
  <c r="H56" i="35"/>
  <c r="G56" i="35" s="1"/>
  <c r="H55" i="35"/>
  <c r="G55" i="35"/>
  <c r="H54" i="35"/>
  <c r="G54" i="35" s="1"/>
  <c r="H53" i="35"/>
  <c r="G53" i="35"/>
  <c r="H52" i="35"/>
  <c r="G52" i="35"/>
  <c r="H51" i="35"/>
  <c r="G51" i="35" s="1"/>
  <c r="H50" i="35"/>
  <c r="G50" i="35" s="1"/>
  <c r="H49" i="35"/>
  <c r="G49" i="35" s="1"/>
  <c r="H48" i="35"/>
  <c r="G48" i="35" s="1"/>
  <c r="H47" i="35"/>
  <c r="G47" i="35" s="1"/>
  <c r="H46" i="35"/>
  <c r="G46" i="35"/>
  <c r="H45" i="35"/>
  <c r="G45" i="35"/>
  <c r="H44" i="35"/>
  <c r="G44" i="35" s="1"/>
  <c r="H43" i="35"/>
  <c r="G43" i="35"/>
  <c r="H42" i="35"/>
  <c r="G42" i="35"/>
  <c r="H41" i="35"/>
  <c r="G41" i="35"/>
  <c r="H40" i="35"/>
  <c r="G40" i="35" s="1"/>
  <c r="H39" i="35"/>
  <c r="G39" i="35" s="1"/>
  <c r="H38" i="35"/>
  <c r="G38" i="35"/>
  <c r="H37" i="35"/>
  <c r="G37" i="35" s="1"/>
  <c r="H36" i="35"/>
  <c r="G36" i="35"/>
  <c r="H35" i="35"/>
  <c r="G35" i="35" s="1"/>
  <c r="H34" i="35"/>
  <c r="G34" i="35" s="1"/>
  <c r="H33" i="35"/>
  <c r="G33" i="35"/>
  <c r="H32" i="35"/>
  <c r="G32" i="35" s="1"/>
  <c r="H31" i="35"/>
  <c r="G31" i="35" s="1"/>
  <c r="H30" i="35"/>
  <c r="G30" i="35" s="1"/>
  <c r="H29" i="35"/>
  <c r="G29" i="35"/>
  <c r="H28" i="35"/>
  <c r="G28" i="35" s="1"/>
  <c r="H27" i="35"/>
  <c r="G27" i="35"/>
  <c r="H26" i="35"/>
  <c r="G26" i="35"/>
  <c r="H25" i="35"/>
  <c r="G25" i="35" s="1"/>
  <c r="H24" i="35"/>
  <c r="G24" i="35" s="1"/>
  <c r="H23" i="35"/>
  <c r="G23" i="35"/>
  <c r="H22" i="35"/>
  <c r="G22" i="35"/>
  <c r="H21" i="35"/>
  <c r="G21" i="35" s="1"/>
  <c r="H20" i="35"/>
  <c r="G20" i="35"/>
  <c r="H19" i="35"/>
  <c r="G19" i="35"/>
  <c r="H18" i="35"/>
  <c r="G18" i="35"/>
  <c r="H17" i="35"/>
  <c r="G17" i="35"/>
  <c r="H16" i="35"/>
  <c r="G16" i="35" s="1"/>
  <c r="H15" i="35"/>
  <c r="G15" i="35"/>
  <c r="H14" i="35"/>
  <c r="G14" i="35"/>
  <c r="H13" i="35"/>
  <c r="G13" i="35"/>
  <c r="H12" i="35"/>
  <c r="G12" i="35" s="1"/>
  <c r="H11" i="35"/>
  <c r="G11" i="35"/>
  <c r="H10" i="35"/>
  <c r="G10" i="35"/>
  <c r="H9" i="35"/>
  <c r="G9" i="35"/>
  <c r="H8" i="35"/>
  <c r="G8" i="35"/>
  <c r="H7" i="35"/>
  <c r="G7" i="35"/>
  <c r="H6" i="35"/>
  <c r="G6" i="35"/>
  <c r="H5" i="35"/>
  <c r="G5" i="35"/>
  <c r="H4" i="35"/>
  <c r="G4" i="35"/>
  <c r="H3" i="35"/>
  <c r="G3" i="35" s="1"/>
  <c r="H2" i="35"/>
  <c r="G2" i="35" s="1"/>
  <c r="Y10" i="28" l="1"/>
  <c r="Y11" i="28"/>
  <c r="U14" i="28"/>
  <c r="Y7" i="28"/>
  <c r="Y13" i="28"/>
  <c r="Y14" i="28" l="1"/>
  <c r="F54" i="11" l="1"/>
  <c r="T54" i="11" l="1"/>
  <c r="G54" i="11"/>
  <c r="I54" i="11" s="1"/>
  <c r="K3" i="28"/>
  <c r="K46" i="28"/>
  <c r="K43" i="28"/>
  <c r="K36" i="28"/>
  <c r="K35" i="28"/>
  <c r="K33" i="28"/>
  <c r="K32" i="28"/>
  <c r="K27" i="28"/>
  <c r="K26" i="28"/>
  <c r="K25" i="28"/>
  <c r="K24" i="28"/>
  <c r="K31" i="28"/>
  <c r="K7" i="28"/>
  <c r="L3" i="25"/>
  <c r="K14" i="25"/>
  <c r="K17" i="25"/>
  <c r="K18" i="25"/>
  <c r="K16" i="25"/>
  <c r="K15" i="25"/>
  <c r="K51" i="28" l="1"/>
  <c r="X54" i="11"/>
  <c r="K54" i="11"/>
  <c r="V54" i="11"/>
  <c r="L51" i="28"/>
  <c r="W54" i="11" l="1"/>
  <c r="Y54" i="11" s="1"/>
  <c r="D3" i="25"/>
  <c r="Z54" i="11" l="1"/>
  <c r="E22" i="11"/>
  <c r="H3" i="23" l="1"/>
  <c r="G3" i="23" s="1"/>
  <c r="H4" i="23"/>
  <c r="G4" i="23" s="1"/>
  <c r="H5" i="23"/>
  <c r="G5" i="23" s="1"/>
  <c r="H6" i="23"/>
  <c r="G6" i="23" s="1"/>
  <c r="H7" i="23"/>
  <c r="G7" i="23" s="1"/>
  <c r="H8" i="23"/>
  <c r="G8" i="23" s="1"/>
  <c r="H9" i="23"/>
  <c r="G9" i="23" s="1"/>
  <c r="H10" i="23"/>
  <c r="G10" i="23" s="1"/>
  <c r="H11" i="23"/>
  <c r="G11" i="23" s="1"/>
  <c r="H12" i="23"/>
  <c r="G12" i="23" s="1"/>
  <c r="H13" i="23"/>
  <c r="G13" i="23" s="1"/>
  <c r="H14" i="23"/>
  <c r="G14" i="23" s="1"/>
  <c r="H15" i="23"/>
  <c r="G15" i="23" s="1"/>
  <c r="H16" i="23"/>
  <c r="G16" i="23" s="1"/>
  <c r="H17" i="23"/>
  <c r="G17" i="23" s="1"/>
  <c r="H18" i="23"/>
  <c r="G18" i="23" s="1"/>
  <c r="H19" i="23"/>
  <c r="G19" i="23" s="1"/>
  <c r="H20" i="23"/>
  <c r="G20" i="23" s="1"/>
  <c r="H21" i="23"/>
  <c r="G21" i="23" s="1"/>
  <c r="H22" i="23"/>
  <c r="G22" i="23" s="1"/>
  <c r="H23" i="23"/>
  <c r="G23" i="23" s="1"/>
  <c r="H24" i="23"/>
  <c r="G24" i="23" s="1"/>
  <c r="H25" i="23"/>
  <c r="G25" i="23" s="1"/>
  <c r="H26" i="23"/>
  <c r="G26" i="23" s="1"/>
  <c r="H27" i="23"/>
  <c r="G27" i="23" s="1"/>
  <c r="H28" i="23"/>
  <c r="G28" i="23" s="1"/>
  <c r="H29" i="23"/>
  <c r="G29" i="23" s="1"/>
  <c r="H30" i="23"/>
  <c r="G30" i="23" s="1"/>
  <c r="H31" i="23"/>
  <c r="G31" i="23" s="1"/>
  <c r="H32" i="23"/>
  <c r="G32" i="23" s="1"/>
  <c r="H33" i="23"/>
  <c r="G33" i="23" s="1"/>
  <c r="H34" i="23"/>
  <c r="G34" i="23" s="1"/>
  <c r="H35" i="23"/>
  <c r="G35" i="23" s="1"/>
  <c r="H36" i="23"/>
  <c r="G36" i="23" s="1"/>
  <c r="H37" i="23"/>
  <c r="G37" i="23" s="1"/>
  <c r="H38" i="23"/>
  <c r="G38" i="23" s="1"/>
  <c r="H39" i="23"/>
  <c r="G39" i="23" s="1"/>
  <c r="H40" i="23"/>
  <c r="G40" i="23" s="1"/>
  <c r="H41" i="23"/>
  <c r="G41" i="23" s="1"/>
  <c r="H42" i="23"/>
  <c r="G42" i="23" s="1"/>
  <c r="H43" i="23"/>
  <c r="G43" i="23" s="1"/>
  <c r="H44" i="23"/>
  <c r="G44" i="23" s="1"/>
  <c r="H45" i="23"/>
  <c r="G45" i="23" s="1"/>
  <c r="H46" i="23"/>
  <c r="G46" i="23" s="1"/>
  <c r="H47" i="23"/>
  <c r="G47" i="23" s="1"/>
  <c r="H48" i="23"/>
  <c r="G48" i="23" s="1"/>
  <c r="H49" i="23"/>
  <c r="G49" i="23" s="1"/>
  <c r="H50" i="23"/>
  <c r="G50" i="23" s="1"/>
  <c r="H51" i="23"/>
  <c r="G51" i="23" s="1"/>
  <c r="H52" i="23"/>
  <c r="G52" i="23" s="1"/>
  <c r="H53" i="23"/>
  <c r="G53" i="23" s="1"/>
  <c r="H54" i="23"/>
  <c r="G54" i="23" s="1"/>
  <c r="H55" i="23"/>
  <c r="G55" i="23" s="1"/>
  <c r="H56" i="23"/>
  <c r="G56" i="23" s="1"/>
  <c r="H57" i="23"/>
  <c r="G57" i="23" s="1"/>
  <c r="H58" i="23"/>
  <c r="G58" i="23" s="1"/>
  <c r="H59" i="23"/>
  <c r="G59" i="23" s="1"/>
  <c r="H60" i="23"/>
  <c r="G60" i="23" s="1"/>
  <c r="H61" i="23"/>
  <c r="G61" i="23" s="1"/>
  <c r="H62" i="23"/>
  <c r="G62" i="23" s="1"/>
  <c r="H63" i="23"/>
  <c r="G63" i="23" s="1"/>
  <c r="H64" i="23"/>
  <c r="G64" i="23" s="1"/>
  <c r="H65" i="23"/>
  <c r="G65" i="23" s="1"/>
  <c r="H66" i="23"/>
  <c r="G66" i="23" s="1"/>
  <c r="H67" i="23"/>
  <c r="G67" i="23" s="1"/>
  <c r="H68" i="23"/>
  <c r="G68" i="23" s="1"/>
  <c r="H69" i="23"/>
  <c r="G69" i="23" s="1"/>
  <c r="H70" i="23"/>
  <c r="G70" i="23" s="1"/>
  <c r="H71" i="23"/>
  <c r="G71" i="23" s="1"/>
  <c r="H72" i="23"/>
  <c r="G72" i="23" s="1"/>
  <c r="H73" i="23"/>
  <c r="G73" i="23" s="1"/>
  <c r="H74" i="23"/>
  <c r="G74" i="23" s="1"/>
  <c r="H75" i="23"/>
  <c r="G75" i="23" s="1"/>
  <c r="H76" i="23"/>
  <c r="G76" i="23" s="1"/>
  <c r="H77" i="23"/>
  <c r="G77" i="23" s="1"/>
  <c r="H2" i="23"/>
  <c r="G2" i="23" s="1"/>
  <c r="E37" i="29"/>
  <c r="E2" i="29"/>
  <c r="E31" i="24" l="1"/>
  <c r="T8" i="11"/>
  <c r="T15" i="11"/>
  <c r="T30" i="11"/>
  <c r="T33" i="11"/>
  <c r="X33" i="11" l="1"/>
  <c r="O49" i="28"/>
  <c r="O48" i="28"/>
  <c r="O46" i="28"/>
  <c r="I46" i="28"/>
  <c r="O45" i="28"/>
  <c r="O44" i="28"/>
  <c r="O43" i="28"/>
  <c r="I43" i="28"/>
  <c r="O42" i="28"/>
  <c r="O41" i="28"/>
  <c r="O40" i="28"/>
  <c r="O39" i="28"/>
  <c r="O38" i="28"/>
  <c r="O36" i="28"/>
  <c r="O35" i="28"/>
  <c r="O34" i="28"/>
  <c r="O33" i="28"/>
  <c r="I33" i="28"/>
  <c r="O32" i="28"/>
  <c r="I32" i="28"/>
  <c r="O31" i="28"/>
  <c r="O30" i="28"/>
  <c r="I30" i="28"/>
  <c r="O29" i="28"/>
  <c r="O28" i="28"/>
  <c r="O27" i="28"/>
  <c r="O26" i="28"/>
  <c r="O25" i="28"/>
  <c r="O24" i="28"/>
  <c r="O23" i="28"/>
  <c r="O22" i="28"/>
  <c r="I22" i="28"/>
  <c r="O21" i="28"/>
  <c r="I21" i="28"/>
  <c r="O20" i="28"/>
  <c r="O19" i="28"/>
  <c r="I19" i="28"/>
  <c r="O18" i="28"/>
  <c r="I18" i="28"/>
  <c r="O17" i="28"/>
  <c r="O16" i="28"/>
  <c r="I16" i="28"/>
  <c r="O15" i="28"/>
  <c r="O14" i="28"/>
  <c r="I14" i="28"/>
  <c r="O13" i="28"/>
  <c r="O12" i="28"/>
  <c r="O11" i="28"/>
  <c r="O10" i="28"/>
  <c r="O9" i="28"/>
  <c r="O8" i="28"/>
  <c r="I8" i="28"/>
  <c r="O7" i="28"/>
  <c r="I7" i="28"/>
  <c r="O6" i="28"/>
  <c r="O5" i="28"/>
  <c r="O4" i="28"/>
  <c r="O3" i="28"/>
  <c r="I3" i="28"/>
  <c r="O2" i="28"/>
  <c r="J2" i="28" s="1"/>
  <c r="I2" i="28"/>
  <c r="F13" i="11"/>
  <c r="T13" i="11" s="1"/>
  <c r="K8" i="25"/>
  <c r="L18" i="25"/>
  <c r="L15" i="25"/>
  <c r="L16" i="25"/>
  <c r="L17" i="25"/>
  <c r="L14" i="25"/>
  <c r="I51" i="28" l="1"/>
  <c r="J3" i="28"/>
  <c r="O51" i="28"/>
  <c r="J22" i="28"/>
  <c r="P22" i="28" s="1"/>
  <c r="Q22" i="28" s="1"/>
  <c r="J19" i="28"/>
  <c r="P19" i="28" s="1"/>
  <c r="Q19" i="28" s="1"/>
  <c r="J32" i="28"/>
  <c r="P32" i="28" s="1"/>
  <c r="Q32" i="28" s="1"/>
  <c r="M14" i="25"/>
  <c r="J21" i="28"/>
  <c r="P21" i="28" s="1"/>
  <c r="Q21" i="28" s="1"/>
  <c r="J16" i="28"/>
  <c r="P16" i="28" s="1"/>
  <c r="Q16" i="28" s="1"/>
  <c r="J18" i="28"/>
  <c r="P18" i="28" s="1"/>
  <c r="Q18" i="28" s="1"/>
  <c r="J30" i="28"/>
  <c r="P30" i="28" s="1"/>
  <c r="Q30" i="28" s="1"/>
  <c r="J33" i="28"/>
  <c r="P33" i="28" s="1"/>
  <c r="Q33" i="28" s="1"/>
  <c r="J14" i="28"/>
  <c r="P14" i="28" s="1"/>
  <c r="Q14" i="28" s="1"/>
  <c r="J46" i="28"/>
  <c r="P46" i="28" s="1"/>
  <c r="Q46" i="28" s="1"/>
  <c r="P2" i="28"/>
  <c r="Q2" i="28" s="1"/>
  <c r="J8" i="28"/>
  <c r="P8" i="28" s="1"/>
  <c r="Q8" i="28" s="1"/>
  <c r="J43" i="28"/>
  <c r="P43" i="28" s="1"/>
  <c r="Q43" i="28" s="1"/>
  <c r="J7" i="28"/>
  <c r="P7" i="28" s="1"/>
  <c r="Q7" i="28" s="1"/>
  <c r="K19" i="25"/>
  <c r="L19" i="25" s="1"/>
  <c r="I18" i="25"/>
  <c r="H18" i="25"/>
  <c r="G18" i="25"/>
  <c r="F18" i="25"/>
  <c r="E18" i="25"/>
  <c r="D18" i="25"/>
  <c r="J18" i="25" s="1"/>
  <c r="M18" i="25" s="1"/>
  <c r="I17" i="25"/>
  <c r="H17" i="25"/>
  <c r="G17" i="25"/>
  <c r="F17" i="25"/>
  <c r="E17" i="25"/>
  <c r="D17" i="25"/>
  <c r="I16" i="25"/>
  <c r="H16" i="25"/>
  <c r="G16" i="25"/>
  <c r="F16" i="25"/>
  <c r="E16" i="25"/>
  <c r="D16" i="25"/>
  <c r="J16" i="25" s="1"/>
  <c r="M16" i="25" s="1"/>
  <c r="I15" i="25"/>
  <c r="H15" i="25"/>
  <c r="G15" i="25"/>
  <c r="F15" i="25"/>
  <c r="E15" i="25"/>
  <c r="D15" i="25"/>
  <c r="I14" i="25"/>
  <c r="H14" i="25"/>
  <c r="G14" i="25"/>
  <c r="F14" i="25"/>
  <c r="E14" i="25"/>
  <c r="D14" i="25"/>
  <c r="J14" i="25" s="1"/>
  <c r="H8" i="17"/>
  <c r="H15" i="17"/>
  <c r="H30" i="17"/>
  <c r="H33" i="17"/>
  <c r="I7" i="25"/>
  <c r="H7" i="25"/>
  <c r="G7" i="25"/>
  <c r="F7" i="25"/>
  <c r="E7" i="25"/>
  <c r="D7" i="25"/>
  <c r="J7" i="25" s="1"/>
  <c r="I6" i="25"/>
  <c r="H6" i="25"/>
  <c r="G6" i="25"/>
  <c r="F6" i="25"/>
  <c r="E6" i="25"/>
  <c r="D6" i="25"/>
  <c r="I5" i="25"/>
  <c r="H5" i="25"/>
  <c r="G5" i="25"/>
  <c r="F5" i="25"/>
  <c r="E5" i="25"/>
  <c r="D5" i="25"/>
  <c r="I4" i="25"/>
  <c r="H4" i="25"/>
  <c r="G4" i="25"/>
  <c r="F4" i="25"/>
  <c r="E4" i="25"/>
  <c r="D4" i="25"/>
  <c r="I3" i="25"/>
  <c r="H3" i="25"/>
  <c r="G3" i="25"/>
  <c r="F3" i="25"/>
  <c r="E3" i="25"/>
  <c r="P3" i="28" l="1"/>
  <c r="J3" i="25"/>
  <c r="J15" i="25"/>
  <c r="M15" i="25" s="1"/>
  <c r="J17" i="25"/>
  <c r="M17" i="25" s="1"/>
  <c r="J5" i="25"/>
  <c r="L5" i="25" s="1"/>
  <c r="J6" i="25"/>
  <c r="L6" i="25" s="1"/>
  <c r="L7" i="25"/>
  <c r="J4" i="25"/>
  <c r="L4" i="25" s="1"/>
  <c r="J4" i="28" s="1"/>
  <c r="P4" i="28" s="1"/>
  <c r="Q4" i="28" s="1"/>
  <c r="M19" i="25"/>
  <c r="J19" i="25"/>
  <c r="Q3" i="28" l="1"/>
  <c r="J10" i="28"/>
  <c r="P10" i="28" s="1"/>
  <c r="Q10" i="28" s="1"/>
  <c r="J12" i="28"/>
  <c r="P12" i="28" s="1"/>
  <c r="Q12" i="28" s="1"/>
  <c r="J23" i="28"/>
  <c r="P23" i="28" s="1"/>
  <c r="J13" i="28"/>
  <c r="P13" i="28" s="1"/>
  <c r="Q13" i="28" s="1"/>
  <c r="J6" i="28"/>
  <c r="P6" i="28" s="1"/>
  <c r="Q6" i="28" s="1"/>
  <c r="J28" i="28"/>
  <c r="P28" i="28" s="1"/>
  <c r="Q28" i="28" s="1"/>
  <c r="J40" i="28"/>
  <c r="P40" i="28" s="1"/>
  <c r="Q40" i="28" s="1"/>
  <c r="J36" i="28"/>
  <c r="P36" i="28" s="1"/>
  <c r="Q36" i="28" s="1"/>
  <c r="J24" i="28"/>
  <c r="P24" i="28" s="1"/>
  <c r="Q24" i="28" s="1"/>
  <c r="J17" i="28"/>
  <c r="J41" i="28"/>
  <c r="P41" i="28" s="1"/>
  <c r="Q41" i="28" s="1"/>
  <c r="J9" i="28"/>
  <c r="P9" i="28" s="1"/>
  <c r="Q9" i="28" s="1"/>
  <c r="J20" i="28"/>
  <c r="P20" i="28" s="1"/>
  <c r="Q20" i="28" s="1"/>
  <c r="J49" i="28"/>
  <c r="J5" i="28"/>
  <c r="J26" i="28"/>
  <c r="P26" i="28" s="1"/>
  <c r="Q26" i="28" s="1"/>
  <c r="J31" i="28"/>
  <c r="P31" i="28" s="1"/>
  <c r="Q31" i="28" s="1"/>
  <c r="J42" i="28"/>
  <c r="P42" i="28" s="1"/>
  <c r="Q42" i="28" s="1"/>
  <c r="J35" i="28"/>
  <c r="P35" i="28" s="1"/>
  <c r="Q35" i="28" s="1"/>
  <c r="J29" i="28"/>
  <c r="P29" i="28" s="1"/>
  <c r="Q29" i="28" s="1"/>
  <c r="J11" i="28"/>
  <c r="P11" i="28" s="1"/>
  <c r="Q11" i="28" s="1"/>
  <c r="J34" i="28"/>
  <c r="P34" i="28" s="1"/>
  <c r="Q34" i="28" s="1"/>
  <c r="J27" i="28"/>
  <c r="P27" i="28" s="1"/>
  <c r="Q27" i="28" s="1"/>
  <c r="J15" i="28"/>
  <c r="J45" i="28"/>
  <c r="P45" i="28" s="1"/>
  <c r="Q45" i="28" s="1"/>
  <c r="J38" i="28"/>
  <c r="P38" i="28" s="1"/>
  <c r="Q38" i="28" s="1"/>
  <c r="J48" i="28"/>
  <c r="P48" i="28" s="1"/>
  <c r="Q48" i="28" s="1"/>
  <c r="J25" i="28"/>
  <c r="P25" i="28" s="1"/>
  <c r="Q25" i="28" s="1"/>
  <c r="J39" i="28"/>
  <c r="P39" i="28" s="1"/>
  <c r="Q39" i="28" s="1"/>
  <c r="J44" i="28"/>
  <c r="P44" i="28" s="1"/>
  <c r="Q44" i="28" s="1"/>
  <c r="L8" i="25"/>
  <c r="J8" i="25"/>
  <c r="AJ4" i="11"/>
  <c r="Q23" i="28" l="1"/>
  <c r="P15" i="28"/>
  <c r="Q15" i="28" s="1"/>
  <c r="J51" i="28"/>
  <c r="P17" i="28"/>
  <c r="P5" i="28"/>
  <c r="E2" i="24"/>
  <c r="F31" i="11"/>
  <c r="T31" i="11" s="1"/>
  <c r="F28" i="11"/>
  <c r="T28" i="11" s="1"/>
  <c r="F26" i="11"/>
  <c r="T26" i="11" s="1"/>
  <c r="F25" i="11"/>
  <c r="T25" i="11" s="1"/>
  <c r="F24" i="11"/>
  <c r="T24" i="11" s="1"/>
  <c r="F23" i="11"/>
  <c r="T23" i="11" s="1"/>
  <c r="F22" i="11"/>
  <c r="T22" i="11" s="1"/>
  <c r="F19" i="11"/>
  <c r="T19" i="11" s="1"/>
  <c r="F18" i="11"/>
  <c r="T18" i="11" s="1"/>
  <c r="F17" i="11"/>
  <c r="T17" i="11" s="1"/>
  <c r="F16" i="11"/>
  <c r="T16" i="11" s="1"/>
  <c r="F14" i="11"/>
  <c r="T14" i="11" s="1"/>
  <c r="F11" i="11"/>
  <c r="T11" i="11" s="1"/>
  <c r="F10" i="11"/>
  <c r="T10" i="11" s="1"/>
  <c r="F9" i="11"/>
  <c r="T9" i="11" s="1"/>
  <c r="F6" i="11"/>
  <c r="T6" i="11" s="1"/>
  <c r="F3" i="11"/>
  <c r="T3" i="11" s="1"/>
  <c r="X3" i="11" s="1"/>
  <c r="Z3" i="11" s="1"/>
  <c r="F4" i="11"/>
  <c r="T4" i="11" s="1"/>
  <c r="V3" i="11" l="1"/>
  <c r="Q17" i="28"/>
  <c r="Q5" i="28"/>
  <c r="H26" i="17"/>
  <c r="H14" i="17"/>
  <c r="H16" i="17"/>
  <c r="H28" i="17"/>
  <c r="H19" i="17"/>
  <c r="H4" i="17"/>
  <c r="H22" i="17"/>
  <c r="H3" i="17"/>
  <c r="H23" i="17"/>
  <c r="H11" i="17"/>
  <c r="H13" i="17"/>
  <c r="H17" i="17"/>
  <c r="H18" i="17"/>
  <c r="H6" i="17"/>
  <c r="H24" i="17"/>
  <c r="H31" i="17"/>
  <c r="H9" i="17"/>
  <c r="H25" i="17"/>
  <c r="H10" i="17"/>
  <c r="W3" i="11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O33" i="17"/>
  <c r="N33" i="17"/>
  <c r="M33" i="17"/>
  <c r="L33" i="17"/>
  <c r="K33" i="17"/>
  <c r="M15" i="17"/>
  <c r="O15" i="17"/>
  <c r="N15" i="17"/>
  <c r="L15" i="17"/>
  <c r="K15" i="17"/>
  <c r="O13" i="17"/>
  <c r="N13" i="17"/>
  <c r="M13" i="17"/>
  <c r="L13" i="17"/>
  <c r="K13" i="17"/>
  <c r="O12" i="17"/>
  <c r="N12" i="17"/>
  <c r="M12" i="17"/>
  <c r="L12" i="17"/>
  <c r="K12" i="17"/>
  <c r="K8" i="17"/>
  <c r="L8" i="17"/>
  <c r="M8" i="17"/>
  <c r="N8" i="17"/>
  <c r="O8" i="17"/>
  <c r="Y3" i="11" l="1"/>
  <c r="G43" i="19"/>
  <c r="H43" i="19" s="1"/>
  <c r="I43" i="19" s="1"/>
  <c r="J43" i="19" s="1"/>
  <c r="D43" i="19"/>
  <c r="E43" i="19" s="1"/>
  <c r="F43" i="19" s="1"/>
  <c r="G42" i="19"/>
  <c r="H42" i="19" s="1"/>
  <c r="I42" i="19" s="1"/>
  <c r="D42" i="19"/>
  <c r="E42" i="19" s="1"/>
  <c r="G31" i="19"/>
  <c r="H31" i="19" s="1"/>
  <c r="I31" i="19" s="1"/>
  <c r="D31" i="19"/>
  <c r="E31" i="19" s="1"/>
  <c r="F31" i="19" s="1"/>
  <c r="G30" i="19"/>
  <c r="H30" i="19" s="1"/>
  <c r="I30" i="19" s="1"/>
  <c r="D30" i="19"/>
  <c r="E30" i="19" s="1"/>
  <c r="G21" i="19"/>
  <c r="H21" i="19" s="1"/>
  <c r="I21" i="19" s="1"/>
  <c r="D21" i="19"/>
  <c r="E21" i="19" s="1"/>
  <c r="F21" i="19" s="1"/>
  <c r="G20" i="19"/>
  <c r="H20" i="19" s="1"/>
  <c r="I20" i="19" s="1"/>
  <c r="D20" i="19"/>
  <c r="E20" i="19" s="1"/>
  <c r="F20" i="19" s="1"/>
  <c r="G19" i="19"/>
  <c r="H19" i="19" s="1"/>
  <c r="I19" i="19" s="1"/>
  <c r="D19" i="19"/>
  <c r="E19" i="19" s="1"/>
  <c r="F19" i="19" s="1"/>
  <c r="G18" i="19"/>
  <c r="H18" i="19" s="1"/>
  <c r="I18" i="19" s="1"/>
  <c r="D18" i="19"/>
  <c r="E18" i="19" s="1"/>
  <c r="G9" i="19"/>
  <c r="H9" i="19" s="1"/>
  <c r="I9" i="19" s="1"/>
  <c r="D9" i="19"/>
  <c r="E9" i="19" s="1"/>
  <c r="F9" i="19" s="1"/>
  <c r="G8" i="19"/>
  <c r="H8" i="19" s="1"/>
  <c r="I8" i="19" s="1"/>
  <c r="D8" i="19"/>
  <c r="E8" i="19" s="1"/>
  <c r="F8" i="19" s="1"/>
  <c r="G7" i="19"/>
  <c r="H7" i="19" s="1"/>
  <c r="I7" i="19" s="1"/>
  <c r="D7" i="19"/>
  <c r="E7" i="19" s="1"/>
  <c r="F7" i="19" s="1"/>
  <c r="G6" i="19"/>
  <c r="H6" i="19" s="1"/>
  <c r="I6" i="19" s="1"/>
  <c r="D6" i="19"/>
  <c r="E6" i="19" s="1"/>
  <c r="J31" i="19" l="1"/>
  <c r="J42" i="19"/>
  <c r="J18" i="19"/>
  <c r="J19" i="19"/>
  <c r="J20" i="19"/>
  <c r="K20" i="19" s="1"/>
  <c r="J6" i="19"/>
  <c r="K6" i="19" s="1"/>
  <c r="J21" i="19"/>
  <c r="K21" i="19" s="1"/>
  <c r="J8" i="19"/>
  <c r="K8" i="19" s="1"/>
  <c r="J30" i="19"/>
  <c r="K30" i="19" s="1"/>
  <c r="J9" i="19"/>
  <c r="K9" i="19" s="1"/>
  <c r="J7" i="19"/>
  <c r="K7" i="19" s="1"/>
  <c r="K31" i="19"/>
  <c r="E15" i="19"/>
  <c r="F18" i="19"/>
  <c r="F15" i="19" s="1"/>
  <c r="F42" i="19"/>
  <c r="F39" i="19" s="1"/>
  <c r="E39" i="19"/>
  <c r="K18" i="19"/>
  <c r="J39" i="19"/>
  <c r="K42" i="19"/>
  <c r="K19" i="19"/>
  <c r="K43" i="19"/>
  <c r="F6" i="19"/>
  <c r="F3" i="19" s="1"/>
  <c r="E3" i="19"/>
  <c r="F30" i="19"/>
  <c r="F27" i="19" s="1"/>
  <c r="E27" i="19"/>
  <c r="J15" i="19" l="1"/>
  <c r="J3" i="19"/>
  <c r="J27" i="19"/>
  <c r="K27" i="19"/>
  <c r="K39" i="19"/>
  <c r="K15" i="19"/>
  <c r="K3" i="19"/>
  <c r="M18" i="19" l="1"/>
  <c r="L18" i="19"/>
  <c r="M6" i="19"/>
  <c r="L6" i="19"/>
  <c r="L42" i="19"/>
  <c r="M42" i="19"/>
  <c r="L30" i="19"/>
  <c r="M30" i="19"/>
  <c r="N6" i="19" l="1"/>
  <c r="N18" i="19"/>
  <c r="N30" i="19"/>
  <c r="N42" i="19"/>
  <c r="O6" i="19" l="1"/>
  <c r="M9" i="19" s="1"/>
  <c r="M10" i="19"/>
  <c r="O42" i="19"/>
  <c r="M45" i="19" s="1"/>
  <c r="O30" i="19"/>
  <c r="M33" i="19" s="1"/>
  <c r="O18" i="19"/>
  <c r="M21" i="19" s="1"/>
  <c r="M46" i="19" l="1"/>
  <c r="M22" i="19"/>
  <c r="M34" i="19"/>
  <c r="G14" i="11" l="1"/>
  <c r="E13" i="23" s="1"/>
  <c r="G8" i="11"/>
  <c r="E7" i="23" s="1"/>
  <c r="G15" i="11"/>
  <c r="E14" i="23" s="1"/>
  <c r="G16" i="11"/>
  <c r="E15" i="23" s="1"/>
  <c r="G31" i="11"/>
  <c r="E30" i="23" s="1"/>
  <c r="G33" i="11"/>
  <c r="E32" i="23" s="1"/>
  <c r="G4" i="11"/>
  <c r="E3" i="23" s="1"/>
  <c r="F32" i="11"/>
  <c r="T32" i="11" s="1"/>
  <c r="G30" i="11"/>
  <c r="E29" i="23" s="1"/>
  <c r="F29" i="11"/>
  <c r="T29" i="11" s="1"/>
  <c r="G28" i="11"/>
  <c r="E27" i="23" s="1"/>
  <c r="F27" i="11"/>
  <c r="T27" i="11" s="1"/>
  <c r="G26" i="11"/>
  <c r="E25" i="23" s="1"/>
  <c r="G25" i="11"/>
  <c r="E24" i="23" s="1"/>
  <c r="G24" i="11"/>
  <c r="E23" i="23" s="1"/>
  <c r="G23" i="11"/>
  <c r="E22" i="23" s="1"/>
  <c r="G22" i="11"/>
  <c r="E21" i="23" s="1"/>
  <c r="F21" i="11"/>
  <c r="T21" i="11" s="1"/>
  <c r="F20" i="11"/>
  <c r="T20" i="11" s="1"/>
  <c r="G19" i="11"/>
  <c r="E18" i="23" s="1"/>
  <c r="G18" i="11"/>
  <c r="E17" i="23" s="1"/>
  <c r="G17" i="11"/>
  <c r="E16" i="23" s="1"/>
  <c r="G13" i="11"/>
  <c r="E12" i="23" s="1"/>
  <c r="F12" i="11"/>
  <c r="T12" i="11" s="1"/>
  <c r="G11" i="11"/>
  <c r="E10" i="23" s="1"/>
  <c r="G10" i="11"/>
  <c r="E9" i="23" s="1"/>
  <c r="G9" i="11"/>
  <c r="E8" i="23" s="1"/>
  <c r="F7" i="11"/>
  <c r="T7" i="11" s="1"/>
  <c r="G6" i="11"/>
  <c r="E5" i="23" s="1"/>
  <c r="F5" i="11"/>
  <c r="T5" i="11" s="1"/>
  <c r="G3" i="11"/>
  <c r="E2" i="23" s="1"/>
  <c r="E15" i="17"/>
  <c r="E33" i="17"/>
  <c r="E12" i="17"/>
  <c r="E13" i="17"/>
  <c r="E8" i="17"/>
  <c r="F18" i="15"/>
  <c r="G18" i="15" s="1"/>
  <c r="U23" i="1"/>
  <c r="H16" i="16"/>
  <c r="I16" i="16" s="1"/>
  <c r="I3" i="17"/>
  <c r="Z63" i="23" l="1"/>
  <c r="H19" i="11"/>
  <c r="I19" i="11"/>
  <c r="AK59" i="23"/>
  <c r="H30" i="11"/>
  <c r="I30" i="11"/>
  <c r="AI47" i="23"/>
  <c r="H28" i="11"/>
  <c r="I28" i="11"/>
  <c r="T19" i="23"/>
  <c r="H13" i="11"/>
  <c r="I13" i="11"/>
  <c r="Y2" i="23"/>
  <c r="H18" i="11"/>
  <c r="I18" i="11"/>
  <c r="H3" i="11"/>
  <c r="I3" i="11"/>
  <c r="H4" i="11"/>
  <c r="I4" i="11"/>
  <c r="W66" i="23"/>
  <c r="H16" i="11"/>
  <c r="I16" i="11"/>
  <c r="X55" i="23"/>
  <c r="H17" i="11"/>
  <c r="I17" i="11"/>
  <c r="AN52" i="23"/>
  <c r="H33" i="11"/>
  <c r="I33" i="11"/>
  <c r="M59" i="23"/>
  <c r="H6" i="11"/>
  <c r="I6" i="11"/>
  <c r="AC62" i="23"/>
  <c r="H22" i="11"/>
  <c r="I22" i="11"/>
  <c r="AL3" i="23"/>
  <c r="H31" i="11"/>
  <c r="I31" i="11"/>
  <c r="AD67" i="23"/>
  <c r="H23" i="11"/>
  <c r="I23" i="11"/>
  <c r="P70" i="23"/>
  <c r="H9" i="11"/>
  <c r="I9" i="11"/>
  <c r="AE69" i="23"/>
  <c r="H24" i="11"/>
  <c r="I24" i="11"/>
  <c r="V66" i="23"/>
  <c r="H15" i="11"/>
  <c r="I15" i="11"/>
  <c r="Q22" i="23"/>
  <c r="H10" i="11"/>
  <c r="I10" i="11"/>
  <c r="AF29" i="23"/>
  <c r="H25" i="11"/>
  <c r="I25" i="11"/>
  <c r="O47" i="23"/>
  <c r="H8" i="11"/>
  <c r="I8" i="11"/>
  <c r="R60" i="23"/>
  <c r="H11" i="11"/>
  <c r="I11" i="11"/>
  <c r="AG34" i="23"/>
  <c r="H26" i="11"/>
  <c r="I26" i="11"/>
  <c r="U66" i="23"/>
  <c r="H14" i="11"/>
  <c r="I14" i="11"/>
  <c r="V21" i="11"/>
  <c r="J2" i="23"/>
  <c r="AI17" i="23"/>
  <c r="AN53" i="23"/>
  <c r="H12" i="17"/>
  <c r="H27" i="17"/>
  <c r="H29" i="17"/>
  <c r="H32" i="17"/>
  <c r="H20" i="17"/>
  <c r="H5" i="17"/>
  <c r="H21" i="17"/>
  <c r="H7" i="17"/>
  <c r="G5" i="11"/>
  <c r="E4" i="23" s="1"/>
  <c r="G21" i="11"/>
  <c r="E20" i="23" s="1"/>
  <c r="G29" i="11"/>
  <c r="E28" i="23" s="1"/>
  <c r="G32" i="11"/>
  <c r="E31" i="23" s="1"/>
  <c r="G20" i="11"/>
  <c r="E19" i="23" s="1"/>
  <c r="G7" i="11"/>
  <c r="E6" i="23" s="1"/>
  <c r="G12" i="11"/>
  <c r="E11" i="23" s="1"/>
  <c r="G27" i="11"/>
  <c r="E26" i="23" s="1"/>
  <c r="I33" i="17"/>
  <c r="D33" i="17" s="1"/>
  <c r="I32" i="17"/>
  <c r="I31" i="17"/>
  <c r="D31" i="17" s="1"/>
  <c r="I30" i="17"/>
  <c r="I29" i="17"/>
  <c r="I28" i="17"/>
  <c r="I27" i="17"/>
  <c r="I26" i="17"/>
  <c r="I25" i="17"/>
  <c r="I24" i="17"/>
  <c r="I23" i="17"/>
  <c r="I22" i="17"/>
  <c r="D22" i="17" s="1"/>
  <c r="I21" i="17"/>
  <c r="I20" i="17"/>
  <c r="I19" i="17"/>
  <c r="I18" i="17"/>
  <c r="I17" i="17"/>
  <c r="I16" i="17"/>
  <c r="D16" i="17" s="1"/>
  <c r="I15" i="17"/>
  <c r="D15" i="17" s="1"/>
  <c r="I14" i="17"/>
  <c r="I13" i="17"/>
  <c r="I12" i="17"/>
  <c r="I11" i="17"/>
  <c r="I10" i="17"/>
  <c r="D10" i="17" s="1"/>
  <c r="I9" i="17"/>
  <c r="I8" i="17"/>
  <c r="D8" i="17" s="1"/>
  <c r="I7" i="17"/>
  <c r="I6" i="17"/>
  <c r="I5" i="17"/>
  <c r="I4" i="17"/>
  <c r="D4" i="17" s="1"/>
  <c r="D3" i="17"/>
  <c r="M4" i="11" l="1"/>
  <c r="M30" i="11"/>
  <c r="M3" i="11"/>
  <c r="AB3" i="11" s="1"/>
  <c r="M22" i="11"/>
  <c r="M14" i="11"/>
  <c r="M9" i="11"/>
  <c r="M10" i="11"/>
  <c r="M33" i="11"/>
  <c r="M31" i="11"/>
  <c r="M16" i="11"/>
  <c r="M18" i="11"/>
  <c r="M19" i="11"/>
  <c r="M8" i="11"/>
  <c r="AD12" i="23"/>
  <c r="AD65" i="23"/>
  <c r="AD7" i="23"/>
  <c r="M75" i="23"/>
  <c r="Y68" i="23"/>
  <c r="Y16" i="23"/>
  <c r="Z43" i="23"/>
  <c r="Y34" i="23"/>
  <c r="Y70" i="23"/>
  <c r="Z5" i="23"/>
  <c r="Z41" i="23"/>
  <c r="Z21" i="23"/>
  <c r="Y51" i="23"/>
  <c r="Z19" i="23"/>
  <c r="Y61" i="23"/>
  <c r="Z35" i="23"/>
  <c r="Y18" i="23"/>
  <c r="Y49" i="23"/>
  <c r="Z28" i="23"/>
  <c r="Z45" i="23"/>
  <c r="Y15" i="23"/>
  <c r="Z66" i="23"/>
  <c r="P48" i="23"/>
  <c r="AF4" i="23"/>
  <c r="AI18" i="23"/>
  <c r="AG73" i="23"/>
  <c r="Q29" i="23"/>
  <c r="Q75" i="23"/>
  <c r="AN69" i="23"/>
  <c r="AD70" i="23"/>
  <c r="AD6" i="23"/>
  <c r="Y3" i="23"/>
  <c r="Z13" i="23"/>
  <c r="Z44" i="23"/>
  <c r="AG7" i="23"/>
  <c r="Q7" i="23"/>
  <c r="AD36" i="23"/>
  <c r="Y36" i="23"/>
  <c r="Y56" i="23"/>
  <c r="AK69" i="23"/>
  <c r="Z71" i="23"/>
  <c r="Z77" i="23"/>
  <c r="AN74" i="23"/>
  <c r="AG76" i="23"/>
  <c r="Q71" i="23"/>
  <c r="Y71" i="23"/>
  <c r="Y53" i="23"/>
  <c r="Z16" i="23"/>
  <c r="Z31" i="23"/>
  <c r="Z58" i="23"/>
  <c r="AG25" i="23"/>
  <c r="Q20" i="23"/>
  <c r="Y60" i="23"/>
  <c r="Y13" i="23"/>
  <c r="Y55" i="23"/>
  <c r="Z51" i="23"/>
  <c r="Z18" i="23"/>
  <c r="Z59" i="23"/>
  <c r="AK65" i="23"/>
  <c r="AG60" i="23"/>
  <c r="Q64" i="23"/>
  <c r="Y75" i="23"/>
  <c r="Y33" i="23"/>
  <c r="Y66" i="23"/>
  <c r="Z60" i="23"/>
  <c r="Z30" i="23"/>
  <c r="Z64" i="23"/>
  <c r="AK25" i="23"/>
  <c r="AG27" i="23"/>
  <c r="Y63" i="23"/>
  <c r="Y4" i="23"/>
  <c r="Y41" i="23"/>
  <c r="Z20" i="23"/>
  <c r="Z49" i="23"/>
  <c r="Z42" i="23"/>
  <c r="AK46" i="23"/>
  <c r="Q63" i="23"/>
  <c r="Y57" i="23"/>
  <c r="AG5" i="23"/>
  <c r="AD24" i="23"/>
  <c r="Y73" i="23"/>
  <c r="Y31" i="23"/>
  <c r="Y29" i="23"/>
  <c r="Z47" i="23"/>
  <c r="Z70" i="23"/>
  <c r="Z75" i="23"/>
  <c r="Q49" i="23"/>
  <c r="AG70" i="23"/>
  <c r="AD71" i="23"/>
  <c r="Y39" i="23"/>
  <c r="Y74" i="23"/>
  <c r="Y14" i="23"/>
  <c r="Z55" i="23"/>
  <c r="Z24" i="23"/>
  <c r="Z53" i="23"/>
  <c r="AI12" i="23"/>
  <c r="W41" i="23"/>
  <c r="AI5" i="23"/>
  <c r="AI29" i="23"/>
  <c r="Y42" i="23"/>
  <c r="Y10" i="23"/>
  <c r="Y6" i="23"/>
  <c r="Y21" i="23"/>
  <c r="Y69" i="23"/>
  <c r="Y44" i="23"/>
  <c r="Z73" i="23"/>
  <c r="Z50" i="23"/>
  <c r="Z37" i="23"/>
  <c r="Z76" i="23"/>
  <c r="Z74" i="23"/>
  <c r="Z62" i="23"/>
  <c r="AI33" i="23"/>
  <c r="Y7" i="23"/>
  <c r="Y62" i="23"/>
  <c r="Y23" i="23"/>
  <c r="W12" i="23"/>
  <c r="Z46" i="23"/>
  <c r="Z15" i="23"/>
  <c r="Z33" i="23"/>
  <c r="Y50" i="23"/>
  <c r="Y9" i="23"/>
  <c r="Y5" i="23"/>
  <c r="Y26" i="23"/>
  <c r="Y24" i="23"/>
  <c r="Y22" i="23"/>
  <c r="W40" i="23"/>
  <c r="Z72" i="23"/>
  <c r="Z23" i="23"/>
  <c r="Z68" i="23"/>
  <c r="Z3" i="23"/>
  <c r="Z8" i="23"/>
  <c r="Z26" i="23"/>
  <c r="AI55" i="23"/>
  <c r="Y40" i="23"/>
  <c r="Z48" i="23"/>
  <c r="Y77" i="23"/>
  <c r="Y46" i="23"/>
  <c r="Y25" i="23"/>
  <c r="Y72" i="23"/>
  <c r="Z4" i="23"/>
  <c r="Z39" i="23"/>
  <c r="Z34" i="23"/>
  <c r="Z56" i="23"/>
  <c r="Z69" i="23"/>
  <c r="Z27" i="23"/>
  <c r="AI72" i="23"/>
  <c r="Z9" i="23"/>
  <c r="Y67" i="23"/>
  <c r="Y45" i="23"/>
  <c r="Y17" i="23"/>
  <c r="Y32" i="23"/>
  <c r="Y52" i="23"/>
  <c r="Y20" i="23"/>
  <c r="Y54" i="23"/>
  <c r="Z32" i="23"/>
  <c r="Z38" i="23"/>
  <c r="Z6" i="23"/>
  <c r="Z52" i="23"/>
  <c r="Z14" i="23"/>
  <c r="Z54" i="23"/>
  <c r="Z25" i="23"/>
  <c r="AI7" i="23"/>
  <c r="Y35" i="23"/>
  <c r="Y38" i="23"/>
  <c r="Z29" i="23"/>
  <c r="Y8" i="23"/>
  <c r="Y47" i="23"/>
  <c r="Y11" i="23"/>
  <c r="W47" i="23"/>
  <c r="Y65" i="23"/>
  <c r="Y59" i="23"/>
  <c r="Y58" i="23"/>
  <c r="Y76" i="23"/>
  <c r="Y30" i="23"/>
  <c r="Y43" i="23"/>
  <c r="Y12" i="23"/>
  <c r="Z11" i="23"/>
  <c r="Z67" i="23"/>
  <c r="Z7" i="23"/>
  <c r="Z61" i="23"/>
  <c r="Z17" i="23"/>
  <c r="Z12" i="23"/>
  <c r="Z10" i="23"/>
  <c r="AI64" i="23"/>
  <c r="Y28" i="23"/>
  <c r="Y37" i="23"/>
  <c r="Y48" i="23"/>
  <c r="Y27" i="23"/>
  <c r="Y19" i="23"/>
  <c r="Y64" i="23"/>
  <c r="Z40" i="23"/>
  <c r="Z2" i="23"/>
  <c r="Z36" i="23"/>
  <c r="Z22" i="23"/>
  <c r="Z57" i="23"/>
  <c r="Z65" i="23"/>
  <c r="AI70" i="23"/>
  <c r="AI76" i="23"/>
  <c r="AN39" i="23"/>
  <c r="AI36" i="23"/>
  <c r="AN72" i="23"/>
  <c r="AI30" i="23"/>
  <c r="AI58" i="23"/>
  <c r="AL13" i="23"/>
  <c r="W58" i="23"/>
  <c r="O28" i="23"/>
  <c r="AI51" i="23"/>
  <c r="AI42" i="23"/>
  <c r="V25" i="23"/>
  <c r="W73" i="23"/>
  <c r="AI38" i="23"/>
  <c r="AI50" i="23"/>
  <c r="W38" i="23"/>
  <c r="AI48" i="23"/>
  <c r="AI24" i="23"/>
  <c r="W36" i="23"/>
  <c r="W35" i="23"/>
  <c r="AI69" i="23"/>
  <c r="AI62" i="23"/>
  <c r="AI20" i="23"/>
  <c r="AI8" i="23"/>
  <c r="W22" i="23"/>
  <c r="AI61" i="23"/>
  <c r="U67" i="23"/>
  <c r="AI35" i="23"/>
  <c r="AI67" i="23"/>
  <c r="AI16" i="23"/>
  <c r="V31" i="23"/>
  <c r="AL60" i="23"/>
  <c r="V36" i="23"/>
  <c r="R73" i="23"/>
  <c r="R23" i="23"/>
  <c r="R34" i="23"/>
  <c r="R59" i="23"/>
  <c r="AL46" i="23"/>
  <c r="J8" i="23"/>
  <c r="AL52" i="23"/>
  <c r="T63" i="23"/>
  <c r="R16" i="23"/>
  <c r="T71" i="23"/>
  <c r="X18" i="23"/>
  <c r="V45" i="23"/>
  <c r="V29" i="23"/>
  <c r="AL66" i="23"/>
  <c r="AF45" i="23"/>
  <c r="M35" i="23"/>
  <c r="AG10" i="23"/>
  <c r="U34" i="23"/>
  <c r="AG53" i="23"/>
  <c r="AG40" i="23"/>
  <c r="Q59" i="23"/>
  <c r="Q50" i="23"/>
  <c r="Q12" i="23"/>
  <c r="P41" i="23"/>
  <c r="AD20" i="23"/>
  <c r="M30" i="23"/>
  <c r="AF5" i="23"/>
  <c r="AK68" i="23"/>
  <c r="AK63" i="23"/>
  <c r="AN11" i="23"/>
  <c r="AN59" i="23"/>
  <c r="U19" i="23"/>
  <c r="P28" i="23"/>
  <c r="AK31" i="23"/>
  <c r="U64" i="23"/>
  <c r="AK47" i="23"/>
  <c r="U70" i="23"/>
  <c r="AG56" i="23"/>
  <c r="AG58" i="23"/>
  <c r="AG2" i="23"/>
  <c r="Q13" i="23"/>
  <c r="Q43" i="23"/>
  <c r="P68" i="23"/>
  <c r="AD29" i="23"/>
  <c r="AD3" i="23"/>
  <c r="M58" i="23"/>
  <c r="AF52" i="23"/>
  <c r="AK32" i="23"/>
  <c r="AK37" i="23"/>
  <c r="AN43" i="23"/>
  <c r="AN48" i="23"/>
  <c r="M27" i="23"/>
  <c r="U46" i="23"/>
  <c r="AF64" i="23"/>
  <c r="U55" i="23"/>
  <c r="AG59" i="23"/>
  <c r="AG77" i="23"/>
  <c r="Q32" i="23"/>
  <c r="Q30" i="23"/>
  <c r="P2" i="23"/>
  <c r="AD76" i="23"/>
  <c r="AD57" i="23"/>
  <c r="M63" i="23"/>
  <c r="AF25" i="23"/>
  <c r="AK16" i="23"/>
  <c r="AK70" i="23"/>
  <c r="AN42" i="23"/>
  <c r="AN17" i="23"/>
  <c r="AI59" i="23"/>
  <c r="AK71" i="23"/>
  <c r="AK49" i="23"/>
  <c r="U39" i="23"/>
  <c r="AG16" i="23"/>
  <c r="AG28" i="23"/>
  <c r="Q19" i="23"/>
  <c r="Q39" i="23"/>
  <c r="P60" i="23"/>
  <c r="AD74" i="23"/>
  <c r="AD64" i="23"/>
  <c r="M71" i="23"/>
  <c r="AF8" i="23"/>
  <c r="AK66" i="23"/>
  <c r="AK20" i="23"/>
  <c r="AN10" i="23"/>
  <c r="AN58" i="23"/>
  <c r="AI37" i="23"/>
  <c r="M33" i="23"/>
  <c r="U60" i="23"/>
  <c r="AG4" i="23"/>
  <c r="AG14" i="23"/>
  <c r="Q10" i="23"/>
  <c r="Q26" i="23"/>
  <c r="P36" i="23"/>
  <c r="AD18" i="23"/>
  <c r="AD14" i="23"/>
  <c r="M25" i="23"/>
  <c r="AF17" i="23"/>
  <c r="AK27" i="23"/>
  <c r="AN30" i="23"/>
  <c r="AN20" i="23"/>
  <c r="U21" i="23"/>
  <c r="P54" i="23"/>
  <c r="AF3" i="23"/>
  <c r="U26" i="23"/>
  <c r="AG17" i="23"/>
  <c r="AG52" i="23"/>
  <c r="Q6" i="23"/>
  <c r="Q70" i="23"/>
  <c r="P9" i="23"/>
  <c r="AD47" i="23"/>
  <c r="AD30" i="23"/>
  <c r="M24" i="23"/>
  <c r="AF22" i="23"/>
  <c r="AK6" i="23"/>
  <c r="AN24" i="23"/>
  <c r="AN40" i="23"/>
  <c r="U10" i="23"/>
  <c r="AG13" i="23"/>
  <c r="AG26" i="23"/>
  <c r="Q27" i="23"/>
  <c r="Q36" i="23"/>
  <c r="P34" i="23"/>
  <c r="AD39" i="23"/>
  <c r="M14" i="23"/>
  <c r="AF27" i="23"/>
  <c r="AK60" i="23"/>
  <c r="AN41" i="23"/>
  <c r="AN5" i="23"/>
  <c r="U62" i="23"/>
  <c r="P50" i="23"/>
  <c r="U37" i="23"/>
  <c r="AG36" i="23"/>
  <c r="Q73" i="23"/>
  <c r="Q76" i="23"/>
  <c r="Q48" i="23"/>
  <c r="P22" i="23"/>
  <c r="AD50" i="23"/>
  <c r="M66" i="23"/>
  <c r="AF19" i="23"/>
  <c r="AK5" i="23"/>
  <c r="AK10" i="23"/>
  <c r="AN38" i="23"/>
  <c r="AN4" i="23"/>
  <c r="U52" i="23"/>
  <c r="P33" i="23"/>
  <c r="U4" i="23"/>
  <c r="P18" i="23"/>
  <c r="M48" i="23"/>
  <c r="AF72" i="23"/>
  <c r="AK22" i="23"/>
  <c r="AK7" i="23"/>
  <c r="U44" i="23"/>
  <c r="U20" i="23"/>
  <c r="U30" i="23"/>
  <c r="P12" i="23"/>
  <c r="P6" i="23"/>
  <c r="P10" i="23"/>
  <c r="P42" i="23"/>
  <c r="P30" i="23"/>
  <c r="P35" i="23"/>
  <c r="M54" i="23"/>
  <c r="M11" i="23"/>
  <c r="M3" i="23"/>
  <c r="M10" i="23"/>
  <c r="M60" i="23"/>
  <c r="M23" i="23"/>
  <c r="AF61" i="23"/>
  <c r="AF30" i="23"/>
  <c r="AF37" i="23"/>
  <c r="AF50" i="23"/>
  <c r="AF47" i="23"/>
  <c r="AF57" i="23"/>
  <c r="AF31" i="23"/>
  <c r="V10" i="23"/>
  <c r="AK4" i="23"/>
  <c r="AK58" i="23"/>
  <c r="AK41" i="23"/>
  <c r="AK75" i="23"/>
  <c r="AK73" i="23"/>
  <c r="AK23" i="23"/>
  <c r="AL11" i="23"/>
  <c r="U28" i="23"/>
  <c r="U59" i="23"/>
  <c r="P40" i="23"/>
  <c r="P66" i="23"/>
  <c r="M76" i="23"/>
  <c r="M16" i="23"/>
  <c r="M69" i="23"/>
  <c r="AF26" i="23"/>
  <c r="AF41" i="23"/>
  <c r="AF48" i="23"/>
  <c r="U68" i="23"/>
  <c r="U45" i="23"/>
  <c r="U35" i="23"/>
  <c r="U2" i="23"/>
  <c r="P52" i="23"/>
  <c r="P16" i="23"/>
  <c r="P17" i="23"/>
  <c r="P5" i="23"/>
  <c r="M70" i="23"/>
  <c r="M53" i="23"/>
  <c r="M51" i="23"/>
  <c r="M68" i="23"/>
  <c r="AF73" i="23"/>
  <c r="AF46" i="23"/>
  <c r="AF6" i="23"/>
  <c r="AF16" i="23"/>
  <c r="AK17" i="23"/>
  <c r="AK42" i="23"/>
  <c r="AK36" i="23"/>
  <c r="U41" i="23"/>
  <c r="U51" i="23"/>
  <c r="U75" i="23"/>
  <c r="R13" i="23"/>
  <c r="U49" i="23"/>
  <c r="U74" i="23"/>
  <c r="U31" i="23"/>
  <c r="U3" i="23"/>
  <c r="U73" i="23"/>
  <c r="U57" i="23"/>
  <c r="R22" i="23"/>
  <c r="P72" i="23"/>
  <c r="P77" i="23"/>
  <c r="P27" i="23"/>
  <c r="P4" i="23"/>
  <c r="P11" i="23"/>
  <c r="P49" i="23"/>
  <c r="P37" i="23"/>
  <c r="M40" i="23"/>
  <c r="M18" i="23"/>
  <c r="M13" i="23"/>
  <c r="M65" i="23"/>
  <c r="M8" i="23"/>
  <c r="M46" i="23"/>
  <c r="AF55" i="23"/>
  <c r="AF24" i="23"/>
  <c r="AF74" i="23"/>
  <c r="AF71" i="23"/>
  <c r="AF44" i="23"/>
  <c r="AF54" i="23"/>
  <c r="AF53" i="23"/>
  <c r="V2" i="23"/>
  <c r="AK34" i="23"/>
  <c r="AK11" i="23"/>
  <c r="AK30" i="23"/>
  <c r="AK14" i="23"/>
  <c r="AK51" i="23"/>
  <c r="AK55" i="23"/>
  <c r="X8" i="23"/>
  <c r="AL47" i="23"/>
  <c r="AN64" i="23"/>
  <c r="AN3" i="23"/>
  <c r="AN46" i="23"/>
  <c r="P53" i="23"/>
  <c r="AF42" i="23"/>
  <c r="U32" i="23"/>
  <c r="P58" i="23"/>
  <c r="M62" i="23"/>
  <c r="AF12" i="23"/>
  <c r="AF10" i="23"/>
  <c r="AK44" i="23"/>
  <c r="U16" i="23"/>
  <c r="U18" i="23"/>
  <c r="U40" i="23"/>
  <c r="U50" i="23"/>
  <c r="U71" i="23"/>
  <c r="U63" i="23"/>
  <c r="R48" i="23"/>
  <c r="P31" i="23"/>
  <c r="P64" i="23"/>
  <c r="P19" i="23"/>
  <c r="P76" i="23"/>
  <c r="P7" i="23"/>
  <c r="P74" i="23"/>
  <c r="P62" i="23"/>
  <c r="M17" i="23"/>
  <c r="M5" i="23"/>
  <c r="M39" i="23"/>
  <c r="M20" i="23"/>
  <c r="M4" i="23"/>
  <c r="M45" i="23"/>
  <c r="M21" i="23"/>
  <c r="AF18" i="23"/>
  <c r="AF67" i="23"/>
  <c r="AF40" i="23"/>
  <c r="AF20" i="23"/>
  <c r="AF15" i="23"/>
  <c r="AF75" i="23"/>
  <c r="AF58" i="23"/>
  <c r="V8" i="23"/>
  <c r="AK18" i="23"/>
  <c r="AK40" i="23"/>
  <c r="AK50" i="23"/>
  <c r="AK38" i="23"/>
  <c r="AK64" i="23"/>
  <c r="AK67" i="23"/>
  <c r="X52" i="23"/>
  <c r="AL22" i="23"/>
  <c r="AN15" i="23"/>
  <c r="AN60" i="23"/>
  <c r="AN34" i="23"/>
  <c r="U61" i="23"/>
  <c r="P65" i="23"/>
  <c r="U15" i="23"/>
  <c r="P32" i="23"/>
  <c r="P26" i="23"/>
  <c r="M26" i="23"/>
  <c r="AF33" i="23"/>
  <c r="AK33" i="23"/>
  <c r="U12" i="23"/>
  <c r="U53" i="23"/>
  <c r="U77" i="23"/>
  <c r="U58" i="23"/>
  <c r="U56" i="23"/>
  <c r="U48" i="23"/>
  <c r="R70" i="23"/>
  <c r="P63" i="23"/>
  <c r="P23" i="23"/>
  <c r="P3" i="23"/>
  <c r="P69" i="23"/>
  <c r="P13" i="23"/>
  <c r="P8" i="23"/>
  <c r="P43" i="23"/>
  <c r="M50" i="23"/>
  <c r="M42" i="23"/>
  <c r="M6" i="23"/>
  <c r="M44" i="23"/>
  <c r="M73" i="23"/>
  <c r="M47" i="23"/>
  <c r="M7" i="23"/>
  <c r="AF43" i="23"/>
  <c r="AF2" i="23"/>
  <c r="AF70" i="23"/>
  <c r="AF60" i="23"/>
  <c r="AF36" i="23"/>
  <c r="AF28" i="23"/>
  <c r="V39" i="23"/>
  <c r="AK29" i="23"/>
  <c r="AK13" i="23"/>
  <c r="AK76" i="23"/>
  <c r="AK26" i="23"/>
  <c r="AK8" i="23"/>
  <c r="AK52" i="23"/>
  <c r="X34" i="23"/>
  <c r="AL26" i="23"/>
  <c r="AN63" i="23"/>
  <c r="AN70" i="23"/>
  <c r="AN73" i="23"/>
  <c r="U11" i="23"/>
  <c r="U47" i="23"/>
  <c r="P51" i="23"/>
  <c r="M9" i="23"/>
  <c r="AF77" i="23"/>
  <c r="AK21" i="23"/>
  <c r="U65" i="23"/>
  <c r="P71" i="23"/>
  <c r="P24" i="23"/>
  <c r="P38" i="23"/>
  <c r="P67" i="23"/>
  <c r="M34" i="23"/>
  <c r="M28" i="23"/>
  <c r="M55" i="23"/>
  <c r="M36" i="23"/>
  <c r="M57" i="23"/>
  <c r="M22" i="23"/>
  <c r="M12" i="23"/>
  <c r="AF66" i="23"/>
  <c r="AF56" i="23"/>
  <c r="AF7" i="23"/>
  <c r="AF38" i="23"/>
  <c r="AF69" i="23"/>
  <c r="AF65" i="23"/>
  <c r="V61" i="23"/>
  <c r="AK35" i="23"/>
  <c r="AK3" i="23"/>
  <c r="AK72" i="23"/>
  <c r="AK45" i="23"/>
  <c r="AK61" i="23"/>
  <c r="AK62" i="23"/>
  <c r="X72" i="23"/>
  <c r="AL56" i="23"/>
  <c r="M52" i="23"/>
  <c r="U23" i="23"/>
  <c r="P47" i="23"/>
  <c r="M43" i="23"/>
  <c r="AF13" i="23"/>
  <c r="AF68" i="23"/>
  <c r="AK57" i="23"/>
  <c r="AK74" i="23"/>
  <c r="U72" i="23"/>
  <c r="U27" i="23"/>
  <c r="U14" i="23"/>
  <c r="R7" i="23"/>
  <c r="P75" i="23"/>
  <c r="U69" i="23"/>
  <c r="U42" i="23"/>
  <c r="U17" i="23"/>
  <c r="U36" i="23"/>
  <c r="U24" i="23"/>
  <c r="U38" i="23"/>
  <c r="U22" i="23"/>
  <c r="R31" i="23"/>
  <c r="P39" i="23"/>
  <c r="P29" i="23"/>
  <c r="P59" i="23"/>
  <c r="P46" i="23"/>
  <c r="P44" i="23"/>
  <c r="P45" i="23"/>
  <c r="M2" i="23"/>
  <c r="M32" i="23"/>
  <c r="M77" i="23"/>
  <c r="M38" i="23"/>
  <c r="M49" i="23"/>
  <c r="M61" i="23"/>
  <c r="AF76" i="23"/>
  <c r="AF49" i="23"/>
  <c r="AF9" i="23"/>
  <c r="AF59" i="23"/>
  <c r="AF35" i="23"/>
  <c r="AF34" i="23"/>
  <c r="V9" i="23"/>
  <c r="V57" i="23"/>
  <c r="AK24" i="23"/>
  <c r="AK56" i="23"/>
  <c r="AK54" i="23"/>
  <c r="AK9" i="23"/>
  <c r="AK39" i="23"/>
  <c r="AK2" i="23"/>
  <c r="X66" i="23"/>
  <c r="AL14" i="23"/>
  <c r="AN50" i="23"/>
  <c r="AN33" i="23"/>
  <c r="AN56" i="23"/>
  <c r="U5" i="23"/>
  <c r="P56" i="23"/>
  <c r="M72" i="23"/>
  <c r="M29" i="23"/>
  <c r="AF14" i="23"/>
  <c r="AF51" i="23"/>
  <c r="U6" i="23"/>
  <c r="U54" i="23"/>
  <c r="U9" i="23"/>
  <c r="P73" i="23"/>
  <c r="P61" i="23"/>
  <c r="P14" i="23"/>
  <c r="M74" i="23"/>
  <c r="M19" i="23"/>
  <c r="M37" i="23"/>
  <c r="M67" i="23"/>
  <c r="AF23" i="23"/>
  <c r="AF21" i="23"/>
  <c r="AK19" i="23"/>
  <c r="AK43" i="23"/>
  <c r="U43" i="23"/>
  <c r="U8" i="23"/>
  <c r="P21" i="23"/>
  <c r="U76" i="23"/>
  <c r="U13" i="23"/>
  <c r="U7" i="23"/>
  <c r="U25" i="23"/>
  <c r="U33" i="23"/>
  <c r="U29" i="23"/>
  <c r="R71" i="23"/>
  <c r="P20" i="23"/>
  <c r="P25" i="23"/>
  <c r="P15" i="23"/>
  <c r="P55" i="23"/>
  <c r="P57" i="23"/>
  <c r="M64" i="23"/>
  <c r="M31" i="23"/>
  <c r="M15" i="23"/>
  <c r="M56" i="23"/>
  <c r="M41" i="23"/>
  <c r="AF32" i="23"/>
  <c r="AF11" i="23"/>
  <c r="AF62" i="23"/>
  <c r="AF63" i="23"/>
  <c r="AF39" i="23"/>
  <c r="V12" i="23"/>
  <c r="AK77" i="23"/>
  <c r="AK15" i="23"/>
  <c r="AK53" i="23"/>
  <c r="AK12" i="23"/>
  <c r="AK48" i="23"/>
  <c r="AK28" i="23"/>
  <c r="AL40" i="23"/>
  <c r="AN12" i="23"/>
  <c r="AN2" i="23"/>
  <c r="AN22" i="23"/>
  <c r="AN14" i="23"/>
  <c r="R8" i="23"/>
  <c r="T15" i="23"/>
  <c r="V67" i="23"/>
  <c r="AL4" i="23"/>
  <c r="AL28" i="23"/>
  <c r="R65" i="23"/>
  <c r="R66" i="23"/>
  <c r="V59" i="23"/>
  <c r="V11" i="23"/>
  <c r="V14" i="23"/>
  <c r="AL62" i="23"/>
  <c r="AL76" i="23"/>
  <c r="R41" i="23"/>
  <c r="R26" i="23"/>
  <c r="R18" i="23"/>
  <c r="V41" i="23"/>
  <c r="V32" i="23"/>
  <c r="V68" i="23"/>
  <c r="W39" i="23"/>
  <c r="AL72" i="23"/>
  <c r="AL7" i="23"/>
  <c r="AL15" i="23"/>
  <c r="R37" i="23"/>
  <c r="R49" i="23"/>
  <c r="R29" i="23"/>
  <c r="R25" i="23"/>
  <c r="R3" i="23"/>
  <c r="R42" i="23"/>
  <c r="R43" i="23"/>
  <c r="AC73" i="23"/>
  <c r="T9" i="23"/>
  <c r="V42" i="23"/>
  <c r="V34" i="23"/>
  <c r="V70" i="23"/>
  <c r="V53" i="23"/>
  <c r="V64" i="23"/>
  <c r="V20" i="23"/>
  <c r="AE51" i="23"/>
  <c r="W37" i="23"/>
  <c r="W5" i="23"/>
  <c r="AL24" i="23"/>
  <c r="AL64" i="23"/>
  <c r="AL71" i="23"/>
  <c r="AL36" i="23"/>
  <c r="AL55" i="23"/>
  <c r="AL68" i="23"/>
  <c r="AL9" i="23"/>
  <c r="AI15" i="23"/>
  <c r="AI53" i="23"/>
  <c r="AI52" i="23"/>
  <c r="AI40" i="23"/>
  <c r="AI19" i="23"/>
  <c r="AI75" i="23"/>
  <c r="R77" i="23"/>
  <c r="R11" i="23"/>
  <c r="V6" i="23"/>
  <c r="V58" i="23"/>
  <c r="V77" i="23"/>
  <c r="AL44" i="23"/>
  <c r="AL6" i="23"/>
  <c r="R62" i="23"/>
  <c r="R32" i="23"/>
  <c r="V56" i="23"/>
  <c r="V18" i="23"/>
  <c r="V26" i="23"/>
  <c r="AL77" i="23"/>
  <c r="AL49" i="23"/>
  <c r="AL50" i="23"/>
  <c r="R44" i="23"/>
  <c r="R39" i="23"/>
  <c r="R4" i="23"/>
  <c r="T43" i="23"/>
  <c r="V46" i="23"/>
  <c r="V51" i="23"/>
  <c r="V54" i="23"/>
  <c r="W69" i="23"/>
  <c r="W10" i="23"/>
  <c r="AL54" i="23"/>
  <c r="AL74" i="23"/>
  <c r="AL18" i="23"/>
  <c r="AL19" i="23"/>
  <c r="R10" i="23"/>
  <c r="R9" i="23"/>
  <c r="R14" i="23"/>
  <c r="R61" i="23"/>
  <c r="R24" i="23"/>
  <c r="R67" i="23"/>
  <c r="R76" i="23"/>
  <c r="AC17" i="23"/>
  <c r="T4" i="23"/>
  <c r="V52" i="23"/>
  <c r="V69" i="23"/>
  <c r="V23" i="23"/>
  <c r="V74" i="23"/>
  <c r="V4" i="23"/>
  <c r="V38" i="23"/>
  <c r="AE64" i="23"/>
  <c r="W31" i="23"/>
  <c r="W42" i="23"/>
  <c r="AL42" i="23"/>
  <c r="AL30" i="23"/>
  <c r="AL29" i="23"/>
  <c r="AL31" i="23"/>
  <c r="AL17" i="23"/>
  <c r="AL34" i="23"/>
  <c r="AL57" i="23"/>
  <c r="AI32" i="23"/>
  <c r="AI68" i="23"/>
  <c r="AI10" i="23"/>
  <c r="AI73" i="23"/>
  <c r="AI27" i="23"/>
  <c r="AI63" i="23"/>
  <c r="V72" i="23"/>
  <c r="AL8" i="23"/>
  <c r="V24" i="23"/>
  <c r="AL33" i="23"/>
  <c r="R20" i="23"/>
  <c r="V15" i="23"/>
  <c r="R36" i="23"/>
  <c r="R12" i="23"/>
  <c r="R57" i="23"/>
  <c r="R52" i="23"/>
  <c r="R50" i="23"/>
  <c r="R19" i="23"/>
  <c r="R17" i="23"/>
  <c r="O77" i="23"/>
  <c r="AC33" i="23"/>
  <c r="T5" i="23"/>
  <c r="V49" i="23"/>
  <c r="V47" i="23"/>
  <c r="V44" i="23"/>
  <c r="V63" i="23"/>
  <c r="V21" i="23"/>
  <c r="V50" i="23"/>
  <c r="AE30" i="23"/>
  <c r="W63" i="23"/>
  <c r="W13" i="23"/>
  <c r="AL12" i="23"/>
  <c r="AL10" i="23"/>
  <c r="AL59" i="23"/>
  <c r="AL20" i="23"/>
  <c r="AL58" i="23"/>
  <c r="AL35" i="23"/>
  <c r="AI3" i="23"/>
  <c r="AI43" i="23"/>
  <c r="AI39" i="23"/>
  <c r="AI2" i="23"/>
  <c r="AI34" i="23"/>
  <c r="AI22" i="23"/>
  <c r="R47" i="23"/>
  <c r="V3" i="23"/>
  <c r="AL2" i="23"/>
  <c r="R45" i="23"/>
  <c r="R64" i="23"/>
  <c r="R5" i="23"/>
  <c r="R58" i="23"/>
  <c r="R75" i="23"/>
  <c r="R38" i="23"/>
  <c r="O6" i="23"/>
  <c r="AC74" i="23"/>
  <c r="T6" i="23"/>
  <c r="V48" i="23"/>
  <c r="V60" i="23"/>
  <c r="V75" i="23"/>
  <c r="V7" i="23"/>
  <c r="V43" i="23"/>
  <c r="V62" i="23"/>
  <c r="AE17" i="23"/>
  <c r="W7" i="23"/>
  <c r="W48" i="23"/>
  <c r="AL75" i="23"/>
  <c r="AL63" i="23"/>
  <c r="AL61" i="23"/>
  <c r="AL67" i="23"/>
  <c r="AL38" i="23"/>
  <c r="AL45" i="23"/>
  <c r="AI13" i="23"/>
  <c r="AI45" i="23"/>
  <c r="AI57" i="23"/>
  <c r="AI41" i="23"/>
  <c r="AI71" i="23"/>
  <c r="AI4" i="23"/>
  <c r="R33" i="23"/>
  <c r="R28" i="23"/>
  <c r="T8" i="23"/>
  <c r="AL21" i="23"/>
  <c r="R55" i="23"/>
  <c r="V19" i="23"/>
  <c r="W2" i="23"/>
  <c r="AL65" i="23"/>
  <c r="AL41" i="23"/>
  <c r="AL39" i="23"/>
  <c r="AL37" i="23"/>
  <c r="AL25" i="23"/>
  <c r="AL16" i="23"/>
  <c r="AI60" i="23"/>
  <c r="AI54" i="23"/>
  <c r="AI56" i="23"/>
  <c r="AI28" i="23"/>
  <c r="AI31" i="23"/>
  <c r="AI49" i="23"/>
  <c r="AI21" i="23"/>
  <c r="R2" i="23"/>
  <c r="V5" i="23"/>
  <c r="R56" i="23"/>
  <c r="R27" i="23"/>
  <c r="O75" i="23"/>
  <c r="AC67" i="23"/>
  <c r="V22" i="23"/>
  <c r="V16" i="23"/>
  <c r="V13" i="23"/>
  <c r="W18" i="23"/>
  <c r="R40" i="23"/>
  <c r="R21" i="23"/>
  <c r="R74" i="23"/>
  <c r="R69" i="23"/>
  <c r="R53" i="23"/>
  <c r="R15" i="23"/>
  <c r="O59" i="23"/>
  <c r="AC38" i="23"/>
  <c r="T72" i="23"/>
  <c r="V33" i="23"/>
  <c r="V27" i="23"/>
  <c r="V40" i="23"/>
  <c r="V55" i="23"/>
  <c r="V28" i="23"/>
  <c r="V37" i="23"/>
  <c r="W65" i="23"/>
  <c r="W43" i="23"/>
  <c r="AL53" i="23"/>
  <c r="AL73" i="23"/>
  <c r="AL48" i="23"/>
  <c r="AL70" i="23"/>
  <c r="AL43" i="23"/>
  <c r="AL32" i="23"/>
  <c r="AI74" i="23"/>
  <c r="AI14" i="23"/>
  <c r="AI26" i="23"/>
  <c r="AI66" i="23"/>
  <c r="AI25" i="23"/>
  <c r="AI77" i="23"/>
  <c r="AI6" i="23"/>
  <c r="R54" i="23"/>
  <c r="R72" i="23"/>
  <c r="R35" i="23"/>
  <c r="R63" i="23"/>
  <c r="T14" i="23"/>
  <c r="V35" i="23"/>
  <c r="V76" i="23"/>
  <c r="AE16" i="23"/>
  <c r="R6" i="23"/>
  <c r="R68" i="23"/>
  <c r="R51" i="23"/>
  <c r="R30" i="23"/>
  <c r="R46" i="23"/>
  <c r="O52" i="23"/>
  <c r="J33" i="23"/>
  <c r="T36" i="23"/>
  <c r="V71" i="23"/>
  <c r="V17" i="23"/>
  <c r="V73" i="23"/>
  <c r="V65" i="23"/>
  <c r="V30" i="23"/>
  <c r="W62" i="23"/>
  <c r="W50" i="23"/>
  <c r="AL69" i="23"/>
  <c r="AL51" i="23"/>
  <c r="AL27" i="23"/>
  <c r="AL23" i="23"/>
  <c r="AL5" i="23"/>
  <c r="AI65" i="23"/>
  <c r="AI9" i="23"/>
  <c r="AI44" i="23"/>
  <c r="AI23" i="23"/>
  <c r="AI46" i="23"/>
  <c r="AI11" i="23"/>
  <c r="AG66" i="23"/>
  <c r="AG21" i="23"/>
  <c r="AG50" i="23"/>
  <c r="Q52" i="23"/>
  <c r="Q4" i="23"/>
  <c r="Q62" i="23"/>
  <c r="Q41" i="23"/>
  <c r="Q28" i="23"/>
  <c r="Q31" i="23"/>
  <c r="AD10" i="23"/>
  <c r="AD77" i="23"/>
  <c r="AD9" i="23"/>
  <c r="AD60" i="23"/>
  <c r="AD27" i="23"/>
  <c r="AD54" i="23"/>
  <c r="O5" i="23"/>
  <c r="O3" i="23"/>
  <c r="AC44" i="23"/>
  <c r="AC28" i="23"/>
  <c r="AE71" i="23"/>
  <c r="AG23" i="23"/>
  <c r="AG11" i="23"/>
  <c r="AG44" i="23"/>
  <c r="AG19" i="23"/>
  <c r="AG63" i="23"/>
  <c r="AG64" i="23"/>
  <c r="AG30" i="23"/>
  <c r="AG8" i="23"/>
  <c r="Q16" i="23"/>
  <c r="Q23" i="23"/>
  <c r="Q14" i="23"/>
  <c r="Q3" i="23"/>
  <c r="Q65" i="23"/>
  <c r="Q66" i="23"/>
  <c r="AD32" i="23"/>
  <c r="AD55" i="23"/>
  <c r="AD62" i="23"/>
  <c r="AD31" i="23"/>
  <c r="AD46" i="23"/>
  <c r="AD56" i="23"/>
  <c r="O53" i="23"/>
  <c r="O44" i="23"/>
  <c r="AC68" i="23"/>
  <c r="AC31" i="23"/>
  <c r="AE23" i="23"/>
  <c r="AG54" i="23"/>
  <c r="AG22" i="23"/>
  <c r="AG47" i="23"/>
  <c r="AG6" i="23"/>
  <c r="AG42" i="23"/>
  <c r="AG9" i="23"/>
  <c r="AG37" i="23"/>
  <c r="Q61" i="23"/>
  <c r="Q37" i="23"/>
  <c r="Q40" i="23"/>
  <c r="Q44" i="23"/>
  <c r="Q38" i="23"/>
  <c r="Q25" i="23"/>
  <c r="Q18" i="23"/>
  <c r="AD8" i="23"/>
  <c r="AD40" i="23"/>
  <c r="AD26" i="23"/>
  <c r="AD17" i="23"/>
  <c r="AD16" i="23"/>
  <c r="O66" i="23"/>
  <c r="O11" i="23"/>
  <c r="AC3" i="23"/>
  <c r="AE40" i="23"/>
  <c r="AG39" i="23"/>
  <c r="AG35" i="23"/>
  <c r="AG69" i="23"/>
  <c r="AG33" i="23"/>
  <c r="AG62" i="23"/>
  <c r="AG12" i="23"/>
  <c r="Q21" i="23"/>
  <c r="Q24" i="23"/>
  <c r="Q58" i="23"/>
  <c r="Q15" i="23"/>
  <c r="Q55" i="23"/>
  <c r="Q74" i="23"/>
  <c r="Q53" i="23"/>
  <c r="AD44" i="23"/>
  <c r="AD59" i="23"/>
  <c r="AD72" i="23"/>
  <c r="AD48" i="23"/>
  <c r="AD22" i="23"/>
  <c r="O16" i="23"/>
  <c r="AC30" i="23"/>
  <c r="AE34" i="23"/>
  <c r="AG65" i="23"/>
  <c r="AG45" i="23"/>
  <c r="AG67" i="23"/>
  <c r="AG57" i="23"/>
  <c r="AG24" i="23"/>
  <c r="AG49" i="23"/>
  <c r="AG68" i="23"/>
  <c r="Q47" i="23"/>
  <c r="Q72" i="23"/>
  <c r="Q54" i="23"/>
  <c r="Q2" i="23"/>
  <c r="Q9" i="23"/>
  <c r="Q8" i="23"/>
  <c r="AD66" i="23"/>
  <c r="AD68" i="23"/>
  <c r="AD73" i="23"/>
  <c r="AD42" i="23"/>
  <c r="AD34" i="23"/>
  <c r="O25" i="23"/>
  <c r="AC50" i="23"/>
  <c r="AE6" i="23"/>
  <c r="AG41" i="23"/>
  <c r="AG32" i="23"/>
  <c r="AG20" i="23"/>
  <c r="AG15" i="23"/>
  <c r="AG72" i="23"/>
  <c r="AG3" i="23"/>
  <c r="AG38" i="23"/>
  <c r="Q17" i="23"/>
  <c r="Q45" i="23"/>
  <c r="Q67" i="23"/>
  <c r="Q11" i="23"/>
  <c r="Q34" i="23"/>
  <c r="Q60" i="23"/>
  <c r="AD23" i="23"/>
  <c r="AD19" i="23"/>
  <c r="AD75" i="23"/>
  <c r="AD5" i="23"/>
  <c r="AD4" i="23"/>
  <c r="O21" i="23"/>
  <c r="AC5" i="23"/>
  <c r="AE15" i="23"/>
  <c r="AG31" i="23"/>
  <c r="AG51" i="23"/>
  <c r="AG46" i="23"/>
  <c r="AG29" i="23"/>
  <c r="AG74" i="23"/>
  <c r="AG75" i="23"/>
  <c r="AG71" i="23"/>
  <c r="Q56" i="23"/>
  <c r="Q57" i="23"/>
  <c r="Q68" i="23"/>
  <c r="Q46" i="23"/>
  <c r="Q69" i="23"/>
  <c r="Q35" i="23"/>
  <c r="AD21" i="23"/>
  <c r="AD61" i="23"/>
  <c r="AD13" i="23"/>
  <c r="AD58" i="23"/>
  <c r="AD45" i="23"/>
  <c r="O46" i="23"/>
  <c r="AC26" i="23"/>
  <c r="AC14" i="23"/>
  <c r="AE55" i="23"/>
  <c r="AE54" i="23"/>
  <c r="AG18" i="23"/>
  <c r="AG55" i="23"/>
  <c r="AG43" i="23"/>
  <c r="AG48" i="23"/>
  <c r="AG61" i="23"/>
  <c r="Q77" i="23"/>
  <c r="Q51" i="23"/>
  <c r="Q33" i="23"/>
  <c r="Q42" i="23"/>
  <c r="Q5" i="23"/>
  <c r="AD2" i="23"/>
  <c r="AD11" i="23"/>
  <c r="AD51" i="23"/>
  <c r="AD25" i="23"/>
  <c r="AD69" i="23"/>
  <c r="AD52" i="23"/>
  <c r="O22" i="23"/>
  <c r="O63" i="23"/>
  <c r="AC51" i="23"/>
  <c r="AC72" i="23"/>
  <c r="AE76" i="23"/>
  <c r="O26" i="23"/>
  <c r="O57" i="23"/>
  <c r="O17" i="23"/>
  <c r="O68" i="23"/>
  <c r="O58" i="23"/>
  <c r="O69" i="23"/>
  <c r="O34" i="23"/>
  <c r="O71" i="23"/>
  <c r="AC41" i="23"/>
  <c r="AC57" i="23"/>
  <c r="AC45" i="23"/>
  <c r="AC2" i="23"/>
  <c r="AC52" i="23"/>
  <c r="AC15" i="23"/>
  <c r="J7" i="23"/>
  <c r="T28" i="23"/>
  <c r="T58" i="23"/>
  <c r="T34" i="23"/>
  <c r="T26" i="23"/>
  <c r="T31" i="23"/>
  <c r="T73" i="23"/>
  <c r="AE73" i="23"/>
  <c r="AE43" i="23"/>
  <c r="AE74" i="23"/>
  <c r="AE47" i="23"/>
  <c r="AE48" i="23"/>
  <c r="AE8" i="23"/>
  <c r="W28" i="23"/>
  <c r="W67" i="23"/>
  <c r="W60" i="23"/>
  <c r="W9" i="23"/>
  <c r="W4" i="23"/>
  <c r="W54" i="23"/>
  <c r="W75" i="23"/>
  <c r="X40" i="23"/>
  <c r="X69" i="23"/>
  <c r="X57" i="23"/>
  <c r="X17" i="23"/>
  <c r="X68" i="23"/>
  <c r="X13" i="23"/>
  <c r="AN66" i="23"/>
  <c r="AN31" i="23"/>
  <c r="AN23" i="23"/>
  <c r="AN45" i="23"/>
  <c r="AN54" i="23"/>
  <c r="AN71" i="23"/>
  <c r="X74" i="23"/>
  <c r="X23" i="23"/>
  <c r="S26" i="23"/>
  <c r="H12" i="11"/>
  <c r="I12" i="11"/>
  <c r="T52" i="23"/>
  <c r="T35" i="23"/>
  <c r="AE44" i="23"/>
  <c r="AE68" i="23"/>
  <c r="X73" i="23"/>
  <c r="X36" i="23"/>
  <c r="O2" i="23"/>
  <c r="O64" i="23"/>
  <c r="AC63" i="23"/>
  <c r="AC29" i="23"/>
  <c r="AC32" i="23"/>
  <c r="T59" i="23"/>
  <c r="T40" i="23"/>
  <c r="AE29" i="23"/>
  <c r="AE22" i="23"/>
  <c r="AE61" i="23"/>
  <c r="X25" i="23"/>
  <c r="X76" i="23"/>
  <c r="N76" i="23"/>
  <c r="H7" i="11"/>
  <c r="I7" i="11"/>
  <c r="AD43" i="23"/>
  <c r="AD41" i="23"/>
  <c r="AD33" i="23"/>
  <c r="AD38" i="23"/>
  <c r="AD37" i="23"/>
  <c r="AD28" i="23"/>
  <c r="O7" i="23"/>
  <c r="O39" i="23"/>
  <c r="O15" i="23"/>
  <c r="O31" i="23"/>
  <c r="O67" i="23"/>
  <c r="O51" i="23"/>
  <c r="AC9" i="23"/>
  <c r="AC49" i="23"/>
  <c r="AC7" i="23"/>
  <c r="AC60" i="23"/>
  <c r="AC69" i="23"/>
  <c r="AC42" i="23"/>
  <c r="AC12" i="23"/>
  <c r="J15" i="23"/>
  <c r="T66" i="23"/>
  <c r="T77" i="23"/>
  <c r="T11" i="23"/>
  <c r="T16" i="23"/>
  <c r="T75" i="23"/>
  <c r="T12" i="23"/>
  <c r="AE75" i="23"/>
  <c r="AE4" i="23"/>
  <c r="AE33" i="23"/>
  <c r="AE39" i="23"/>
  <c r="AE38" i="23"/>
  <c r="AE7" i="23"/>
  <c r="AE5" i="23"/>
  <c r="W8" i="23"/>
  <c r="W72" i="23"/>
  <c r="W29" i="23"/>
  <c r="W32" i="23"/>
  <c r="W61" i="23"/>
  <c r="W55" i="23"/>
  <c r="X61" i="23"/>
  <c r="X67" i="23"/>
  <c r="X37" i="23"/>
  <c r="X35" i="23"/>
  <c r="X14" i="23"/>
  <c r="X54" i="23"/>
  <c r="AN19" i="23"/>
  <c r="AN44" i="23"/>
  <c r="AN32" i="23"/>
  <c r="AN29" i="23"/>
  <c r="AN27" i="23"/>
  <c r="AN16" i="23"/>
  <c r="AN67" i="23"/>
  <c r="AH38" i="23"/>
  <c r="H27" i="11"/>
  <c r="I27" i="11"/>
  <c r="X38" i="23"/>
  <c r="L77" i="23"/>
  <c r="H5" i="11"/>
  <c r="I5" i="11"/>
  <c r="J18" i="23"/>
  <c r="T39" i="23"/>
  <c r="T23" i="23"/>
  <c r="AE57" i="23"/>
  <c r="X29" i="23"/>
  <c r="X48" i="23"/>
  <c r="O76" i="23"/>
  <c r="AC27" i="23"/>
  <c r="AC66" i="23"/>
  <c r="J73" i="23"/>
  <c r="T10" i="23"/>
  <c r="T69" i="23"/>
  <c r="AE42" i="23"/>
  <c r="AE63" i="23"/>
  <c r="X65" i="23"/>
  <c r="O14" i="23"/>
  <c r="O74" i="23"/>
  <c r="O37" i="23"/>
  <c r="O61" i="23"/>
  <c r="O60" i="23"/>
  <c r="O55" i="23"/>
  <c r="AC8" i="23"/>
  <c r="AC59" i="23"/>
  <c r="AC21" i="23"/>
  <c r="AC18" i="23"/>
  <c r="AC64" i="23"/>
  <c r="AC24" i="23"/>
  <c r="AC65" i="23"/>
  <c r="J59" i="23"/>
  <c r="T7" i="23"/>
  <c r="T20" i="23"/>
  <c r="T55" i="23"/>
  <c r="T47" i="23"/>
  <c r="T27" i="23"/>
  <c r="T48" i="23"/>
  <c r="AE14" i="23"/>
  <c r="AE45" i="23"/>
  <c r="AE53" i="23"/>
  <c r="AE9" i="23"/>
  <c r="AE35" i="23"/>
  <c r="AE49" i="23"/>
  <c r="AE24" i="23"/>
  <c r="W51" i="23"/>
  <c r="W46" i="23"/>
  <c r="W56" i="23"/>
  <c r="W3" i="23"/>
  <c r="W27" i="23"/>
  <c r="W45" i="23"/>
  <c r="X51" i="23"/>
  <c r="X9" i="23"/>
  <c r="X46" i="23"/>
  <c r="X5" i="23"/>
  <c r="X41" i="23"/>
  <c r="X12" i="23"/>
  <c r="AN13" i="23"/>
  <c r="AN77" i="23"/>
  <c r="AN6" i="23"/>
  <c r="AN61" i="23"/>
  <c r="AN8" i="23"/>
  <c r="AN35" i="23"/>
  <c r="AN76" i="23"/>
  <c r="AB49" i="23"/>
  <c r="H21" i="11"/>
  <c r="I21" i="11"/>
  <c r="X10" i="23"/>
  <c r="X7" i="23"/>
  <c r="T60" i="23"/>
  <c r="T46" i="23"/>
  <c r="AE25" i="23"/>
  <c r="X63" i="23"/>
  <c r="X43" i="23"/>
  <c r="O18" i="23"/>
  <c r="O54" i="23"/>
  <c r="O36" i="23"/>
  <c r="AC39" i="23"/>
  <c r="AC54" i="23"/>
  <c r="T24" i="23"/>
  <c r="T22" i="23"/>
  <c r="AE28" i="23"/>
  <c r="AE60" i="23"/>
  <c r="X4" i="23"/>
  <c r="X59" i="23"/>
  <c r="X50" i="23"/>
  <c r="AA59" i="23"/>
  <c r="H20" i="11"/>
  <c r="I20" i="11"/>
  <c r="AD53" i="23"/>
  <c r="AD15" i="23"/>
  <c r="AD35" i="23"/>
  <c r="AD63" i="23"/>
  <c r="AD49" i="23"/>
  <c r="O65" i="23"/>
  <c r="O62" i="23"/>
  <c r="O50" i="23"/>
  <c r="O13" i="23"/>
  <c r="O12" i="23"/>
  <c r="O20" i="23"/>
  <c r="AC61" i="23"/>
  <c r="AC10" i="23"/>
  <c r="AC23" i="23"/>
  <c r="AC71" i="23"/>
  <c r="AC34" i="23"/>
  <c r="AC19" i="23"/>
  <c r="AC43" i="23"/>
  <c r="J35" i="23"/>
  <c r="T50" i="23"/>
  <c r="T61" i="23"/>
  <c r="T41" i="23"/>
  <c r="T30" i="23"/>
  <c r="T53" i="23"/>
  <c r="T70" i="23"/>
  <c r="AE77" i="23"/>
  <c r="AE18" i="23"/>
  <c r="AE11" i="23"/>
  <c r="AE62" i="23"/>
  <c r="AE37" i="23"/>
  <c r="AE27" i="23"/>
  <c r="AE56" i="23"/>
  <c r="W23" i="23"/>
  <c r="W74" i="23"/>
  <c r="W26" i="23"/>
  <c r="W24" i="23"/>
  <c r="W49" i="23"/>
  <c r="W59" i="23"/>
  <c r="X19" i="23"/>
  <c r="X71" i="23"/>
  <c r="X32" i="23"/>
  <c r="X2" i="23"/>
  <c r="X3" i="23"/>
  <c r="X64" i="23"/>
  <c r="AN75" i="23"/>
  <c r="AN55" i="23"/>
  <c r="AN51" i="23"/>
  <c r="AN57" i="23"/>
  <c r="AN25" i="23"/>
  <c r="AN28" i="23"/>
  <c r="AN47" i="23"/>
  <c r="X44" i="23"/>
  <c r="O29" i="23"/>
  <c r="O70" i="23"/>
  <c r="O8" i="23"/>
  <c r="O41" i="23"/>
  <c r="O38" i="23"/>
  <c r="O19" i="23"/>
  <c r="O27" i="23"/>
  <c r="AC20" i="23"/>
  <c r="AC6" i="23"/>
  <c r="AC56" i="23"/>
  <c r="AC25" i="23"/>
  <c r="AC4" i="23"/>
  <c r="AC40" i="23"/>
  <c r="J42" i="23"/>
  <c r="T62" i="23"/>
  <c r="T74" i="23"/>
  <c r="T51" i="23"/>
  <c r="T3" i="23"/>
  <c r="T13" i="23"/>
  <c r="T65" i="23"/>
  <c r="T68" i="23"/>
  <c r="AE2" i="23"/>
  <c r="AE70" i="23"/>
  <c r="AE52" i="23"/>
  <c r="AE59" i="23"/>
  <c r="AE31" i="23"/>
  <c r="AE32" i="23"/>
  <c r="W33" i="23"/>
  <c r="W68" i="23"/>
  <c r="W71" i="23"/>
  <c r="W76" i="23"/>
  <c r="W14" i="23"/>
  <c r="W77" i="23"/>
  <c r="X28" i="23"/>
  <c r="X39" i="23"/>
  <c r="X49" i="23"/>
  <c r="X70" i="23"/>
  <c r="X6" i="23"/>
  <c r="X56" i="23"/>
  <c r="X42" i="23"/>
  <c r="AN65" i="23"/>
  <c r="AN21" i="23"/>
  <c r="AN9" i="23"/>
  <c r="AN7" i="23"/>
  <c r="AN49" i="23"/>
  <c r="AN68" i="23"/>
  <c r="O30" i="23"/>
  <c r="O10" i="23"/>
  <c r="O73" i="23"/>
  <c r="O33" i="23"/>
  <c r="O32" i="23"/>
  <c r="O35" i="23"/>
  <c r="O72" i="23"/>
  <c r="AC75" i="23"/>
  <c r="AC22" i="23"/>
  <c r="AC13" i="23"/>
  <c r="AC76" i="23"/>
  <c r="AC35" i="23"/>
  <c r="AC77" i="23"/>
  <c r="J41" i="23"/>
  <c r="T57" i="23"/>
  <c r="T25" i="23"/>
  <c r="T49" i="23"/>
  <c r="T45" i="23"/>
  <c r="T18" i="23"/>
  <c r="T33" i="23"/>
  <c r="T32" i="23"/>
  <c r="AE67" i="23"/>
  <c r="AE12" i="23"/>
  <c r="AE10" i="23"/>
  <c r="AE19" i="23"/>
  <c r="AE46" i="23"/>
  <c r="AE66" i="23"/>
  <c r="W15" i="23"/>
  <c r="W53" i="23"/>
  <c r="W25" i="23"/>
  <c r="W20" i="23"/>
  <c r="W57" i="23"/>
  <c r="W30" i="23"/>
  <c r="X27" i="23"/>
  <c r="X33" i="23"/>
  <c r="X58" i="23"/>
  <c r="X21" i="23"/>
  <c r="X24" i="23"/>
  <c r="X26" i="23"/>
  <c r="X75" i="23"/>
  <c r="O23" i="23"/>
  <c r="O49" i="23"/>
  <c r="O48" i="23"/>
  <c r="O43" i="23"/>
  <c r="AC53" i="23"/>
  <c r="AC70" i="23"/>
  <c r="AC58" i="23"/>
  <c r="AC46" i="23"/>
  <c r="AC37" i="23"/>
  <c r="AC55" i="23"/>
  <c r="J5" i="23"/>
  <c r="T54" i="23"/>
  <c r="T37" i="23"/>
  <c r="T17" i="23"/>
  <c r="T38" i="23"/>
  <c r="T44" i="23"/>
  <c r="T64" i="23"/>
  <c r="T67" i="23"/>
  <c r="AE13" i="23"/>
  <c r="AE20" i="23"/>
  <c r="AE21" i="23"/>
  <c r="AE72" i="23"/>
  <c r="AE58" i="23"/>
  <c r="AE36" i="23"/>
  <c r="W21" i="23"/>
  <c r="W64" i="23"/>
  <c r="W44" i="23"/>
  <c r="W17" i="23"/>
  <c r="W70" i="23"/>
  <c r="W19" i="23"/>
  <c r="X20" i="23"/>
  <c r="X60" i="23"/>
  <c r="X45" i="23"/>
  <c r="X77" i="23"/>
  <c r="X53" i="23"/>
  <c r="X31" i="23"/>
  <c r="X16" i="23"/>
  <c r="AM60" i="23"/>
  <c r="H32" i="11"/>
  <c r="I32" i="11"/>
  <c r="O42" i="23"/>
  <c r="AJ25" i="23"/>
  <c r="H29" i="11"/>
  <c r="I29" i="11"/>
  <c r="O40" i="23"/>
  <c r="O4" i="23"/>
  <c r="O45" i="23"/>
  <c r="O24" i="23"/>
  <c r="O9" i="23"/>
  <c r="O56" i="23"/>
  <c r="AC11" i="23"/>
  <c r="AC48" i="23"/>
  <c r="AC36" i="23"/>
  <c r="AC16" i="23"/>
  <c r="AC47" i="23"/>
  <c r="J28" i="23"/>
  <c r="T76" i="23"/>
  <c r="T42" i="23"/>
  <c r="T29" i="23"/>
  <c r="T21" i="23"/>
  <c r="T2" i="23"/>
  <c r="T56" i="23"/>
  <c r="AE26" i="23"/>
  <c r="AE65" i="23"/>
  <c r="AE41" i="23"/>
  <c r="AE50" i="23"/>
  <c r="AE3" i="23"/>
  <c r="W16" i="23"/>
  <c r="W6" i="23"/>
  <c r="W34" i="23"/>
  <c r="W52" i="23"/>
  <c r="W11" i="23"/>
  <c r="X11" i="23"/>
  <c r="X22" i="23"/>
  <c r="X62" i="23"/>
  <c r="X47" i="23"/>
  <c r="X15" i="23"/>
  <c r="X30" i="23"/>
  <c r="AN62" i="23"/>
  <c r="AN37" i="23"/>
  <c r="AN18" i="23"/>
  <c r="AN26" i="23"/>
  <c r="AN36" i="23"/>
  <c r="J36" i="23"/>
  <c r="J24" i="23"/>
  <c r="J3" i="23"/>
  <c r="J45" i="23"/>
  <c r="J10" i="23"/>
  <c r="J55" i="23"/>
  <c r="J13" i="23"/>
  <c r="J70" i="23"/>
  <c r="J25" i="23"/>
  <c r="J9" i="23"/>
  <c r="J76" i="23"/>
  <c r="J39" i="23"/>
  <c r="J75" i="23"/>
  <c r="J48" i="23"/>
  <c r="J47" i="23"/>
  <c r="J64" i="23"/>
  <c r="J27" i="23"/>
  <c r="J54" i="23"/>
  <c r="J69" i="23"/>
  <c r="J14" i="23"/>
  <c r="J23" i="23"/>
  <c r="J52" i="23"/>
  <c r="J74" i="23"/>
  <c r="J49" i="23"/>
  <c r="J65" i="23"/>
  <c r="J32" i="23"/>
  <c r="J30" i="23"/>
  <c r="J67" i="23"/>
  <c r="J62" i="23"/>
  <c r="J20" i="23"/>
  <c r="J58" i="23"/>
  <c r="J50" i="23"/>
  <c r="J4" i="23"/>
  <c r="J6" i="23"/>
  <c r="J61" i="23"/>
  <c r="J68" i="23"/>
  <c r="J29" i="23"/>
  <c r="J11" i="23"/>
  <c r="J66" i="23"/>
  <c r="J43" i="23"/>
  <c r="J71" i="23"/>
  <c r="J22" i="23"/>
  <c r="J56" i="23"/>
  <c r="J51" i="23"/>
  <c r="J60" i="23"/>
  <c r="J21" i="23"/>
  <c r="J40" i="23"/>
  <c r="J31" i="23"/>
  <c r="J46" i="23"/>
  <c r="J19" i="23"/>
  <c r="J26" i="23"/>
  <c r="J53" i="23"/>
  <c r="J37" i="23"/>
  <c r="J63" i="23"/>
  <c r="J12" i="23"/>
  <c r="J16" i="23"/>
  <c r="J34" i="23"/>
  <c r="J72" i="23"/>
  <c r="J44" i="23"/>
  <c r="J57" i="23"/>
  <c r="J38" i="23"/>
  <c r="E21" i="24"/>
  <c r="E3" i="29"/>
  <c r="E22" i="24"/>
  <c r="E4" i="29"/>
  <c r="J17" i="23"/>
  <c r="J77" i="23"/>
  <c r="K13" i="23"/>
  <c r="K62" i="23"/>
  <c r="K30" i="23"/>
  <c r="K5" i="23"/>
  <c r="K51" i="23"/>
  <c r="K52" i="23"/>
  <c r="K67" i="23"/>
  <c r="K65" i="23"/>
  <c r="K27" i="23"/>
  <c r="K55" i="23"/>
  <c r="K16" i="23"/>
  <c r="K39" i="23"/>
  <c r="K38" i="23"/>
  <c r="K4" i="23"/>
  <c r="K3" i="23"/>
  <c r="K64" i="23"/>
  <c r="K29" i="23"/>
  <c r="K31" i="23"/>
  <c r="K28" i="23"/>
  <c r="K54" i="23"/>
  <c r="K2" i="23"/>
  <c r="K43" i="23"/>
  <c r="K15" i="23"/>
  <c r="K24" i="23"/>
  <c r="K66" i="23"/>
  <c r="K12" i="23"/>
  <c r="K53" i="23"/>
  <c r="K63" i="23"/>
  <c r="K14" i="23"/>
  <c r="K40" i="23"/>
  <c r="K75" i="23"/>
  <c r="K26" i="23"/>
  <c r="K61" i="23"/>
  <c r="K60" i="23"/>
  <c r="K35" i="23"/>
  <c r="K70" i="23"/>
  <c r="K20" i="23"/>
  <c r="K48" i="23"/>
  <c r="K58" i="23"/>
  <c r="K7" i="23"/>
  <c r="K49" i="23"/>
  <c r="K23" i="23"/>
  <c r="K77" i="23"/>
  <c r="K17" i="23"/>
  <c r="K41" i="23"/>
  <c r="K25" i="23"/>
  <c r="K34" i="23"/>
  <c r="K74" i="23"/>
  <c r="K19" i="23"/>
  <c r="K76" i="23"/>
  <c r="K50" i="23"/>
  <c r="K6" i="23"/>
  <c r="K42" i="23"/>
  <c r="K56" i="23"/>
  <c r="K44" i="23"/>
  <c r="K32" i="23"/>
  <c r="K69" i="23"/>
  <c r="K57" i="23"/>
  <c r="K37" i="23"/>
  <c r="K22" i="23"/>
  <c r="K73" i="23"/>
  <c r="K71" i="23"/>
  <c r="K45" i="23"/>
  <c r="K59" i="23"/>
  <c r="K33" i="23"/>
  <c r="K72" i="23"/>
  <c r="K9" i="23"/>
  <c r="K47" i="23"/>
  <c r="K21" i="23"/>
  <c r="K11" i="23"/>
  <c r="K8" i="23"/>
  <c r="K46" i="23"/>
  <c r="K18" i="23"/>
  <c r="K36" i="23"/>
  <c r="K10" i="23"/>
  <c r="K68" i="23"/>
  <c r="D7" i="17"/>
  <c r="D5" i="17"/>
  <c r="D23" i="17"/>
  <c r="D9" i="17"/>
  <c r="D11" i="17"/>
  <c r="D21" i="17"/>
  <c r="D29" i="17"/>
  <c r="D12" i="17"/>
  <c r="D30" i="17"/>
  <c r="D18" i="17"/>
  <c r="D19" i="17"/>
  <c r="D17" i="17"/>
  <c r="D6" i="17"/>
  <c r="D20" i="17"/>
  <c r="D32" i="17"/>
  <c r="D25" i="17"/>
  <c r="D26" i="17"/>
  <c r="D27" i="17"/>
  <c r="D24" i="17"/>
  <c r="D13" i="17"/>
  <c r="D14" i="17"/>
  <c r="D28" i="17"/>
  <c r="H57" i="16"/>
  <c r="I57" i="16" s="1"/>
  <c r="H56" i="16"/>
  <c r="I56" i="16" s="1"/>
  <c r="H55" i="16"/>
  <c r="I55" i="16" s="1"/>
  <c r="H54" i="16"/>
  <c r="I54" i="16" s="1"/>
  <c r="H53" i="16"/>
  <c r="I53" i="16" s="1"/>
  <c r="H52" i="16"/>
  <c r="I52" i="16" s="1"/>
  <c r="H51" i="16"/>
  <c r="I51" i="16" s="1"/>
  <c r="H50" i="16"/>
  <c r="I50" i="16" s="1"/>
  <c r="H49" i="16"/>
  <c r="I49" i="16" s="1"/>
  <c r="H48" i="16"/>
  <c r="I48" i="16" s="1"/>
  <c r="H47" i="16"/>
  <c r="I47" i="16" s="1"/>
  <c r="H46" i="16"/>
  <c r="I46" i="16" s="1"/>
  <c r="H45" i="16"/>
  <c r="I45" i="16" s="1"/>
  <c r="H44" i="16"/>
  <c r="I44" i="16" s="1"/>
  <c r="H43" i="16"/>
  <c r="I43" i="16" s="1"/>
  <c r="H42" i="16"/>
  <c r="I42" i="16" s="1"/>
  <c r="H41" i="16"/>
  <c r="I41" i="16" s="1"/>
  <c r="H40" i="16"/>
  <c r="I40" i="16" s="1"/>
  <c r="H39" i="16"/>
  <c r="I39" i="16" s="1"/>
  <c r="H38" i="16"/>
  <c r="I38" i="16" s="1"/>
  <c r="H37" i="16"/>
  <c r="I37" i="16" s="1"/>
  <c r="H36" i="16"/>
  <c r="I36" i="16" s="1"/>
  <c r="H35" i="16"/>
  <c r="I35" i="16" s="1"/>
  <c r="H34" i="16"/>
  <c r="I34" i="16" s="1"/>
  <c r="H33" i="16"/>
  <c r="I33" i="16" s="1"/>
  <c r="H32" i="16"/>
  <c r="I32" i="16" s="1"/>
  <c r="H31" i="16"/>
  <c r="I31" i="16" s="1"/>
  <c r="H30" i="16"/>
  <c r="I30" i="16" s="1"/>
  <c r="H29" i="16"/>
  <c r="I29" i="16" s="1"/>
  <c r="H28" i="16"/>
  <c r="I28" i="16" s="1"/>
  <c r="H27" i="16"/>
  <c r="I27" i="16" s="1"/>
  <c r="H26" i="16"/>
  <c r="I26" i="16" s="1"/>
  <c r="H25" i="16"/>
  <c r="I25" i="16" s="1"/>
  <c r="H24" i="16"/>
  <c r="I24" i="16" s="1"/>
  <c r="H23" i="16"/>
  <c r="I23" i="16" s="1"/>
  <c r="H22" i="16"/>
  <c r="I22" i="16" s="1"/>
  <c r="H21" i="16"/>
  <c r="I21" i="16" s="1"/>
  <c r="H20" i="16"/>
  <c r="I20" i="16" s="1"/>
  <c r="H19" i="16"/>
  <c r="I19" i="16" s="1"/>
  <c r="H18" i="16"/>
  <c r="I18" i="16" s="1"/>
  <c r="H17" i="16"/>
  <c r="I17" i="16" s="1"/>
  <c r="H15" i="16"/>
  <c r="I15" i="16" s="1"/>
  <c r="H14" i="16"/>
  <c r="I14" i="16" s="1"/>
  <c r="H13" i="16"/>
  <c r="I13" i="16" s="1"/>
  <c r="H12" i="16"/>
  <c r="I12" i="16" s="1"/>
  <c r="H11" i="16"/>
  <c r="I11" i="16" s="1"/>
  <c r="H10" i="16"/>
  <c r="I10" i="16" s="1"/>
  <c r="H9" i="16"/>
  <c r="I9" i="16" s="1"/>
  <c r="H8" i="16"/>
  <c r="I8" i="16" s="1"/>
  <c r="H7" i="16"/>
  <c r="I7" i="16" s="1"/>
  <c r="H6" i="16"/>
  <c r="I6" i="16" s="1"/>
  <c r="H5" i="16"/>
  <c r="I5" i="16" s="1"/>
  <c r="H4" i="16"/>
  <c r="I4" i="16" s="1"/>
  <c r="H3" i="16"/>
  <c r="I3" i="16" s="1"/>
  <c r="H2" i="16"/>
  <c r="I2" i="16" s="1"/>
  <c r="F59" i="15"/>
  <c r="F58" i="15"/>
  <c r="F57" i="15"/>
  <c r="F56" i="15"/>
  <c r="F55" i="15"/>
  <c r="F54" i="15"/>
  <c r="F53" i="15"/>
  <c r="F52" i="15"/>
  <c r="H52" i="15" s="1"/>
  <c r="F51" i="15"/>
  <c r="F50" i="15"/>
  <c r="F49" i="15"/>
  <c r="F48" i="15"/>
  <c r="F47" i="15"/>
  <c r="F46" i="15"/>
  <c r="F45" i="15"/>
  <c r="F44" i="15"/>
  <c r="F43" i="15"/>
  <c r="H43" i="15" s="1"/>
  <c r="F42" i="15"/>
  <c r="H42" i="15" s="1"/>
  <c r="F41" i="15"/>
  <c r="H41" i="15" s="1"/>
  <c r="F40" i="15"/>
  <c r="H40" i="15" s="1"/>
  <c r="F39" i="15"/>
  <c r="H39" i="15" s="1"/>
  <c r="F38" i="15"/>
  <c r="H38" i="15" s="1"/>
  <c r="F37" i="15"/>
  <c r="H37" i="15" s="1"/>
  <c r="F36" i="15"/>
  <c r="H36" i="15" s="1"/>
  <c r="F35" i="15"/>
  <c r="H35" i="15" s="1"/>
  <c r="F34" i="15"/>
  <c r="H34" i="15" s="1"/>
  <c r="F33" i="15"/>
  <c r="H33" i="15" s="1"/>
  <c r="F32" i="15"/>
  <c r="H32" i="15" s="1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AO77" i="23" l="1"/>
  <c r="AF3" i="11"/>
  <c r="AP76" i="23"/>
  <c r="H54" i="15"/>
  <c r="H50" i="15"/>
  <c r="H48" i="15"/>
  <c r="H27" i="15"/>
  <c r="H16" i="15"/>
  <c r="M7" i="11"/>
  <c r="M29" i="11"/>
  <c r="M21" i="11"/>
  <c r="M32" i="11"/>
  <c r="M5" i="11"/>
  <c r="M12" i="11"/>
  <c r="N13" i="23"/>
  <c r="AP13" i="23" s="1"/>
  <c r="N5" i="23"/>
  <c r="AP5" i="23" s="1"/>
  <c r="N25" i="23"/>
  <c r="AP25" i="23" s="1"/>
  <c r="AH14" i="23"/>
  <c r="AH27" i="23"/>
  <c r="AH30" i="23"/>
  <c r="AH49" i="23"/>
  <c r="N24" i="23"/>
  <c r="AP24" i="23" s="1"/>
  <c r="AH46" i="23"/>
  <c r="AH63" i="23"/>
  <c r="AH66" i="23"/>
  <c r="AH55" i="23"/>
  <c r="AH44" i="23"/>
  <c r="AH65" i="23"/>
  <c r="AH12" i="23"/>
  <c r="AH76" i="23"/>
  <c r="AH22" i="23"/>
  <c r="L49" i="23"/>
  <c r="AO49" i="23" s="1"/>
  <c r="N28" i="23"/>
  <c r="AP28" i="23" s="1"/>
  <c r="L73" i="23"/>
  <c r="AO73" i="23" s="1"/>
  <c r="L66" i="23"/>
  <c r="AO66" i="23" s="1"/>
  <c r="AH69" i="23"/>
  <c r="AH29" i="23"/>
  <c r="AM48" i="23"/>
  <c r="L6" i="23"/>
  <c r="AO6" i="23" s="1"/>
  <c r="AM33" i="23"/>
  <c r="AH39" i="23"/>
  <c r="L15" i="23"/>
  <c r="AO15" i="23" s="1"/>
  <c r="AM74" i="23"/>
  <c r="AH51" i="23"/>
  <c r="L55" i="23"/>
  <c r="AO55" i="23" s="1"/>
  <c r="N31" i="23"/>
  <c r="AP31" i="23" s="1"/>
  <c r="L7" i="23"/>
  <c r="AO7" i="23" s="1"/>
  <c r="L12" i="23"/>
  <c r="AO12" i="23" s="1"/>
  <c r="L70" i="23"/>
  <c r="AO70" i="23" s="1"/>
  <c r="AH28" i="23"/>
  <c r="L19" i="23"/>
  <c r="AO19" i="23" s="1"/>
  <c r="N59" i="23"/>
  <c r="AP59" i="23" s="1"/>
  <c r="AM34" i="23"/>
  <c r="AM69" i="23"/>
  <c r="AM22" i="23"/>
  <c r="L9" i="23"/>
  <c r="AO9" i="23" s="1"/>
  <c r="AM10" i="23"/>
  <c r="AM9" i="23"/>
  <c r="L2" i="23"/>
  <c r="AO2" i="23" s="1"/>
  <c r="AH17" i="23"/>
  <c r="L16" i="23"/>
  <c r="AO16" i="23" s="1"/>
  <c r="L18" i="23"/>
  <c r="AO18" i="23" s="1"/>
  <c r="N58" i="23"/>
  <c r="AP58" i="23" s="1"/>
  <c r="L40" i="23"/>
  <c r="AO40" i="23" s="1"/>
  <c r="L53" i="23"/>
  <c r="AO53" i="23" s="1"/>
  <c r="AM65" i="23"/>
  <c r="L14" i="23"/>
  <c r="AO14" i="23" s="1"/>
  <c r="L51" i="23"/>
  <c r="AO51" i="23" s="1"/>
  <c r="AM18" i="23"/>
  <c r="AM28" i="23"/>
  <c r="L26" i="23"/>
  <c r="AO26" i="23" s="1"/>
  <c r="AM5" i="23"/>
  <c r="AM25" i="23"/>
  <c r="AM31" i="23"/>
  <c r="L68" i="23"/>
  <c r="AO68" i="23" s="1"/>
  <c r="L8" i="23"/>
  <c r="AO8" i="23" s="1"/>
  <c r="AM46" i="23"/>
  <c r="AM61" i="23"/>
  <c r="S73" i="23"/>
  <c r="S46" i="23"/>
  <c r="AB63" i="23"/>
  <c r="AB9" i="23"/>
  <c r="AH75" i="23"/>
  <c r="AH24" i="23"/>
  <c r="AB38" i="23"/>
  <c r="N23" i="23"/>
  <c r="AP23" i="23" s="1"/>
  <c r="S52" i="23"/>
  <c r="AJ54" i="23"/>
  <c r="AJ63" i="23"/>
  <c r="AJ18" i="23"/>
  <c r="AH33" i="23"/>
  <c r="AH43" i="23"/>
  <c r="AH32" i="23"/>
  <c r="AH10" i="23"/>
  <c r="AH20" i="23"/>
  <c r="AH71" i="23"/>
  <c r="AH2" i="23"/>
  <c r="AH13" i="23"/>
  <c r="AH45" i="23"/>
  <c r="AH67" i="23"/>
  <c r="AH47" i="23"/>
  <c r="AH11" i="23"/>
  <c r="AH77" i="23"/>
  <c r="AH8" i="23"/>
  <c r="L44" i="23"/>
  <c r="AO44" i="23" s="1"/>
  <c r="L38" i="23"/>
  <c r="AO38" i="23" s="1"/>
  <c r="L45" i="23"/>
  <c r="AO45" i="23" s="1"/>
  <c r="AM50" i="23"/>
  <c r="N53" i="23"/>
  <c r="AP53" i="23" s="1"/>
  <c r="AH61" i="23"/>
  <c r="AH57" i="23"/>
  <c r="AH21" i="23"/>
  <c r="AH50" i="23"/>
  <c r="AH60" i="23"/>
  <c r="AH56" i="23"/>
  <c r="AH58" i="23"/>
  <c r="AH35" i="23"/>
  <c r="AH54" i="23"/>
  <c r="AH48" i="23"/>
  <c r="AH42" i="23"/>
  <c r="AH36" i="23"/>
  <c r="AH16" i="23"/>
  <c r="L23" i="23"/>
  <c r="AO23" i="23" s="1"/>
  <c r="L50" i="23"/>
  <c r="AO50" i="23" s="1"/>
  <c r="AM52" i="23"/>
  <c r="AM64" i="23"/>
  <c r="AA40" i="23"/>
  <c r="N75" i="23"/>
  <c r="AP75" i="23" s="1"/>
  <c r="AH6" i="23"/>
  <c r="AH4" i="23"/>
  <c r="AH64" i="23"/>
  <c r="AH15" i="23"/>
  <c r="AH18" i="23"/>
  <c r="AH72" i="23"/>
  <c r="AH5" i="23"/>
  <c r="AH26" i="23"/>
  <c r="AH31" i="23"/>
  <c r="AM37" i="23"/>
  <c r="AM4" i="23"/>
  <c r="AA14" i="23"/>
  <c r="N21" i="23"/>
  <c r="AP21" i="23" s="1"/>
  <c r="AH25" i="23"/>
  <c r="AH59" i="23"/>
  <c r="AH23" i="23"/>
  <c r="AH7" i="23"/>
  <c r="AH62" i="23"/>
  <c r="AH34" i="23"/>
  <c r="AH53" i="23"/>
  <c r="AH3" i="23"/>
  <c r="AH74" i="23"/>
  <c r="AH9" i="23"/>
  <c r="AH37" i="23"/>
  <c r="AH70" i="23"/>
  <c r="AH40" i="23"/>
  <c r="AH41" i="23"/>
  <c r="AH19" i="23"/>
  <c r="AH68" i="23"/>
  <c r="AH52" i="23"/>
  <c r="AH73" i="23"/>
  <c r="S56" i="23"/>
  <c r="AB44" i="23"/>
  <c r="AJ76" i="23"/>
  <c r="AJ48" i="23"/>
  <c r="AJ50" i="23"/>
  <c r="AB59" i="23"/>
  <c r="S40" i="23"/>
  <c r="AB70" i="23"/>
  <c r="AJ31" i="23"/>
  <c r="S2" i="23"/>
  <c r="S30" i="23"/>
  <c r="L21" i="23"/>
  <c r="AO21" i="23" s="1"/>
  <c r="L67" i="23"/>
  <c r="AO67" i="23" s="1"/>
  <c r="AM15" i="23"/>
  <c r="AM57" i="23"/>
  <c r="AM7" i="23"/>
  <c r="AA16" i="23"/>
  <c r="AB40" i="23"/>
  <c r="S33" i="23"/>
  <c r="L69" i="23"/>
  <c r="AO69" i="23" s="1"/>
  <c r="L34" i="23"/>
  <c r="AO34" i="23" s="1"/>
  <c r="AM19" i="23"/>
  <c r="AM56" i="23"/>
  <c r="AB68" i="23"/>
  <c r="AA48" i="23"/>
  <c r="N38" i="23"/>
  <c r="AP38" i="23" s="1"/>
  <c r="S75" i="23"/>
  <c r="AB56" i="23"/>
  <c r="S19" i="23"/>
  <c r="AM11" i="23"/>
  <c r="AM75" i="23"/>
  <c r="AB25" i="23"/>
  <c r="AJ69" i="23"/>
  <c r="AJ4" i="23"/>
  <c r="S69" i="23"/>
  <c r="AB41" i="23"/>
  <c r="AJ55" i="23"/>
  <c r="AJ67" i="23"/>
  <c r="S27" i="23"/>
  <c r="S24" i="23"/>
  <c r="AB50" i="23"/>
  <c r="AB21" i="23"/>
  <c r="AJ43" i="23"/>
  <c r="AJ58" i="23"/>
  <c r="S29" i="23"/>
  <c r="S55" i="23"/>
  <c r="AB28" i="23"/>
  <c r="AB18" i="23"/>
  <c r="AA70" i="23"/>
  <c r="AJ28" i="23"/>
  <c r="AJ33" i="23"/>
  <c r="S7" i="23"/>
  <c r="AB33" i="23"/>
  <c r="AJ12" i="23"/>
  <c r="S14" i="23"/>
  <c r="S51" i="23"/>
  <c r="AB32" i="23"/>
  <c r="AB27" i="23"/>
  <c r="AJ19" i="23"/>
  <c r="AJ11" i="23"/>
  <c r="AJ47" i="23"/>
  <c r="S61" i="23"/>
  <c r="AB26" i="23"/>
  <c r="AJ77" i="23"/>
  <c r="S3" i="23"/>
  <c r="AB5" i="23"/>
  <c r="AB76" i="23"/>
  <c r="AJ15" i="23"/>
  <c r="AJ20" i="23"/>
  <c r="AJ22" i="23"/>
  <c r="S39" i="23"/>
  <c r="S64" i="23"/>
  <c r="S77" i="23"/>
  <c r="AB61" i="23"/>
  <c r="AB45" i="23"/>
  <c r="AJ68" i="23"/>
  <c r="AJ30" i="23"/>
  <c r="AJ6" i="23"/>
  <c r="S15" i="23"/>
  <c r="AB48" i="23"/>
  <c r="S66" i="23"/>
  <c r="AB67" i="23"/>
  <c r="AJ45" i="23"/>
  <c r="S8" i="23"/>
  <c r="S68" i="23"/>
  <c r="AB20" i="23"/>
  <c r="AB55" i="23"/>
  <c r="AB16" i="23"/>
  <c r="AB62" i="23"/>
  <c r="AB7" i="23"/>
  <c r="AB24" i="23"/>
  <c r="AJ65" i="23"/>
  <c r="AJ3" i="23"/>
  <c r="AJ64" i="23"/>
  <c r="AJ42" i="23"/>
  <c r="AJ8" i="23"/>
  <c r="AJ57" i="23"/>
  <c r="AJ34" i="23"/>
  <c r="S31" i="23"/>
  <c r="S34" i="23"/>
  <c r="AB15" i="23"/>
  <c r="AB46" i="23"/>
  <c r="AB73" i="23"/>
  <c r="AB13" i="23"/>
  <c r="AJ41" i="23"/>
  <c r="AJ23" i="23"/>
  <c r="AJ17" i="23"/>
  <c r="S16" i="23"/>
  <c r="S18" i="23"/>
  <c r="S59" i="23"/>
  <c r="S48" i="23"/>
  <c r="AB11" i="23"/>
  <c r="S58" i="23"/>
  <c r="S43" i="23"/>
  <c r="S41" i="23"/>
  <c r="S11" i="23"/>
  <c r="S49" i="23"/>
  <c r="S70" i="23"/>
  <c r="AB34" i="23"/>
  <c r="AB52" i="23"/>
  <c r="AB35" i="23"/>
  <c r="AB42" i="23"/>
  <c r="AB47" i="23"/>
  <c r="AB60" i="23"/>
  <c r="AB29" i="23"/>
  <c r="AJ35" i="23"/>
  <c r="AJ56" i="23"/>
  <c r="AJ75" i="23"/>
  <c r="AJ9" i="23"/>
  <c r="AJ61" i="23"/>
  <c r="AJ59" i="23"/>
  <c r="AJ70" i="23"/>
  <c r="S12" i="23"/>
  <c r="S54" i="23"/>
  <c r="S67" i="23"/>
  <c r="S13" i="23"/>
  <c r="S17" i="23"/>
  <c r="S72" i="23"/>
  <c r="S22" i="23"/>
  <c r="AB14" i="23"/>
  <c r="AB30" i="23"/>
  <c r="AB22" i="23"/>
  <c r="AB10" i="23"/>
  <c r="AB37" i="23"/>
  <c r="AB3" i="23"/>
  <c r="AB54" i="23"/>
  <c r="AJ5" i="23"/>
  <c r="AJ74" i="23"/>
  <c r="AJ24" i="23"/>
  <c r="AJ72" i="23"/>
  <c r="AJ39" i="23"/>
  <c r="AJ37" i="23"/>
  <c r="S9" i="23"/>
  <c r="AJ21" i="23"/>
  <c r="S44" i="23"/>
  <c r="S53" i="23"/>
  <c r="S47" i="23"/>
  <c r="AB64" i="23"/>
  <c r="AB17" i="23"/>
  <c r="AB12" i="23"/>
  <c r="AB31" i="23"/>
  <c r="AB69" i="23"/>
  <c r="AB23" i="23"/>
  <c r="AJ60" i="23"/>
  <c r="AJ32" i="23"/>
  <c r="AJ26" i="23"/>
  <c r="AJ2" i="23"/>
  <c r="AJ62" i="23"/>
  <c r="AJ46" i="23"/>
  <c r="S23" i="23"/>
  <c r="AB43" i="23"/>
  <c r="AJ27" i="23"/>
  <c r="S10" i="23"/>
  <c r="S20" i="23"/>
  <c r="S42" i="23"/>
  <c r="S60" i="23"/>
  <c r="AQ60" i="23" s="1"/>
  <c r="S6" i="23"/>
  <c r="S37" i="23"/>
  <c r="S36" i="23"/>
  <c r="S32" i="23"/>
  <c r="S5" i="23"/>
  <c r="S28" i="23"/>
  <c r="S25" i="23"/>
  <c r="AB77" i="23"/>
  <c r="AB58" i="23"/>
  <c r="AB75" i="23"/>
  <c r="AB71" i="23"/>
  <c r="AB39" i="23"/>
  <c r="AB65" i="23"/>
  <c r="AJ16" i="23"/>
  <c r="AJ13" i="23"/>
  <c r="AJ38" i="23"/>
  <c r="AJ40" i="23"/>
  <c r="AJ14" i="23"/>
  <c r="AJ29" i="23"/>
  <c r="S65" i="23"/>
  <c r="AB57" i="23"/>
  <c r="S76" i="23"/>
  <c r="S50" i="23"/>
  <c r="S57" i="23"/>
  <c r="S38" i="23"/>
  <c r="S45" i="23"/>
  <c r="S74" i="23"/>
  <c r="S4" i="23"/>
  <c r="AB74" i="23"/>
  <c r="AB36" i="23"/>
  <c r="AB53" i="23"/>
  <c r="AB6" i="23"/>
  <c r="AB72" i="23"/>
  <c r="AB66" i="23"/>
  <c r="AJ7" i="23"/>
  <c r="AJ66" i="23"/>
  <c r="AJ52" i="23"/>
  <c r="AJ73" i="23"/>
  <c r="AJ71" i="23"/>
  <c r="AJ36" i="23"/>
  <c r="S35" i="23"/>
  <c r="S71" i="23"/>
  <c r="S62" i="23"/>
  <c r="S63" i="23"/>
  <c r="S21" i="23"/>
  <c r="AM70" i="23"/>
  <c r="AM14" i="23"/>
  <c r="AM8" i="23"/>
  <c r="AB4" i="23"/>
  <c r="AB8" i="23"/>
  <c r="AB19" i="23"/>
  <c r="AB51" i="23"/>
  <c r="AB2" i="23"/>
  <c r="AA21" i="23"/>
  <c r="AJ53" i="23"/>
  <c r="AJ44" i="23"/>
  <c r="AJ10" i="23"/>
  <c r="AJ51" i="23"/>
  <c r="AJ49" i="23"/>
  <c r="N11" i="23"/>
  <c r="AP11" i="23" s="1"/>
  <c r="AA11" i="23"/>
  <c r="AA47" i="23"/>
  <c r="AA20" i="23"/>
  <c r="AA23" i="23"/>
  <c r="AA56" i="23"/>
  <c r="AA42" i="23"/>
  <c r="N40" i="23"/>
  <c r="AP40" i="23" s="1"/>
  <c r="N2" i="23"/>
  <c r="AP2" i="23" s="1"/>
  <c r="N3" i="23"/>
  <c r="AP3" i="23" s="1"/>
  <c r="N65" i="23"/>
  <c r="AP65" i="23" s="1"/>
  <c r="N61" i="23"/>
  <c r="AP61" i="23" s="1"/>
  <c r="N63" i="23"/>
  <c r="AP63" i="23" s="1"/>
  <c r="N15" i="23"/>
  <c r="AP15" i="23" s="1"/>
  <c r="AA2" i="23"/>
  <c r="N27" i="23"/>
  <c r="AP27" i="23" s="1"/>
  <c r="L57" i="23"/>
  <c r="AO57" i="23" s="1"/>
  <c r="L35" i="23"/>
  <c r="AO35" i="23" s="1"/>
  <c r="L41" i="23"/>
  <c r="AO41" i="23" s="1"/>
  <c r="L3" i="23"/>
  <c r="AO3" i="23" s="1"/>
  <c r="L63" i="23"/>
  <c r="AO63" i="23" s="1"/>
  <c r="AM2" i="23"/>
  <c r="AM55" i="23"/>
  <c r="AM21" i="23"/>
  <c r="AM76" i="23"/>
  <c r="AM63" i="23"/>
  <c r="AA72" i="23"/>
  <c r="AA51" i="23"/>
  <c r="AA53" i="23"/>
  <c r="AA36" i="23"/>
  <c r="AA34" i="23"/>
  <c r="AA33" i="23"/>
  <c r="AA65" i="23"/>
  <c r="N56" i="23"/>
  <c r="AP56" i="23" s="1"/>
  <c r="N46" i="23"/>
  <c r="AP46" i="23" s="1"/>
  <c r="N42" i="23"/>
  <c r="AP42" i="23" s="1"/>
  <c r="N10" i="23"/>
  <c r="AP10" i="23" s="1"/>
  <c r="N33" i="23"/>
  <c r="AP33" i="23" s="1"/>
  <c r="N37" i="23"/>
  <c r="AP37" i="23" s="1"/>
  <c r="AA27" i="23"/>
  <c r="AA49" i="23"/>
  <c r="AA66" i="23"/>
  <c r="AA12" i="23"/>
  <c r="N67" i="23"/>
  <c r="AP67" i="23" s="1"/>
  <c r="N6" i="23"/>
  <c r="AP6" i="23" s="1"/>
  <c r="L65" i="23"/>
  <c r="AO65" i="23" s="1"/>
  <c r="AM39" i="23"/>
  <c r="L42" i="23"/>
  <c r="AO42" i="23" s="1"/>
  <c r="L71" i="23"/>
  <c r="AO71" i="23" s="1"/>
  <c r="L4" i="23"/>
  <c r="AO4" i="23" s="1"/>
  <c r="L17" i="23"/>
  <c r="AO17" i="23" s="1"/>
  <c r="L39" i="23"/>
  <c r="AO39" i="23" s="1"/>
  <c r="L64" i="23"/>
  <c r="AO64" i="23" s="1"/>
  <c r="L33" i="23"/>
  <c r="AO33" i="23" s="1"/>
  <c r="AM71" i="23"/>
  <c r="AM16" i="23"/>
  <c r="AM62" i="23"/>
  <c r="AM44" i="23"/>
  <c r="AM41" i="23"/>
  <c r="AM72" i="23"/>
  <c r="AA60" i="23"/>
  <c r="AA32" i="23"/>
  <c r="AA8" i="23"/>
  <c r="AA52" i="23"/>
  <c r="AA43" i="23"/>
  <c r="AA71" i="23"/>
  <c r="AA3" i="23"/>
  <c r="N62" i="23"/>
  <c r="AP62" i="23" s="1"/>
  <c r="N77" i="23"/>
  <c r="AP77" i="23" s="1"/>
  <c r="N66" i="23"/>
  <c r="AP66" i="23" s="1"/>
  <c r="N30" i="23"/>
  <c r="AP30" i="23" s="1"/>
  <c r="N17" i="23"/>
  <c r="AP17" i="23" s="1"/>
  <c r="N35" i="23"/>
  <c r="AP35" i="23" s="1"/>
  <c r="AA69" i="23"/>
  <c r="AA25" i="23"/>
  <c r="AA50" i="23"/>
  <c r="AA75" i="23"/>
  <c r="AA68" i="23"/>
  <c r="N18" i="23"/>
  <c r="AP18" i="23" s="1"/>
  <c r="N41" i="23"/>
  <c r="AP41" i="23" s="1"/>
  <c r="L75" i="23"/>
  <c r="AO75" i="23" s="1"/>
  <c r="L28" i="23"/>
  <c r="AO28" i="23" s="1"/>
  <c r="L27" i="23"/>
  <c r="AO27" i="23" s="1"/>
  <c r="L29" i="23"/>
  <c r="AO29" i="23" s="1"/>
  <c r="L31" i="23"/>
  <c r="AO31" i="23" s="1"/>
  <c r="L5" i="23"/>
  <c r="AO5" i="23" s="1"/>
  <c r="L52" i="23"/>
  <c r="AO52" i="23" s="1"/>
  <c r="L25" i="23"/>
  <c r="AO25" i="23" s="1"/>
  <c r="AM20" i="23"/>
  <c r="AM6" i="23"/>
  <c r="AM77" i="23"/>
  <c r="AM26" i="23"/>
  <c r="AM54" i="23"/>
  <c r="AM3" i="23"/>
  <c r="AA18" i="23"/>
  <c r="AA39" i="23"/>
  <c r="AA35" i="23"/>
  <c r="AA29" i="23"/>
  <c r="AA31" i="23"/>
  <c r="AA13" i="23"/>
  <c r="AA22" i="23"/>
  <c r="N50" i="23"/>
  <c r="AP50" i="23" s="1"/>
  <c r="N34" i="23"/>
  <c r="AP34" i="23" s="1"/>
  <c r="N32" i="23"/>
  <c r="AP32" i="23" s="1"/>
  <c r="N57" i="23"/>
  <c r="AP57" i="23" s="1"/>
  <c r="N39" i="23"/>
  <c r="AP39" i="23" s="1"/>
  <c r="N26" i="23"/>
  <c r="AP26" i="23" s="1"/>
  <c r="N14" i="23"/>
  <c r="AP14" i="23" s="1"/>
  <c r="L32" i="23"/>
  <c r="AO32" i="23" s="1"/>
  <c r="L74" i="23"/>
  <c r="AO74" i="23" s="1"/>
  <c r="L11" i="23"/>
  <c r="AO11" i="23" s="1"/>
  <c r="L56" i="23"/>
  <c r="AO56" i="23" s="1"/>
  <c r="L61" i="23"/>
  <c r="AO61" i="23" s="1"/>
  <c r="L37" i="23"/>
  <c r="AO37" i="23" s="1"/>
  <c r="L10" i="23"/>
  <c r="AO10" i="23" s="1"/>
  <c r="AM17" i="23"/>
  <c r="AM23" i="23"/>
  <c r="AM45" i="23"/>
  <c r="AM47" i="23"/>
  <c r="AM40" i="23"/>
  <c r="AM13" i="23"/>
  <c r="AA57" i="23"/>
  <c r="AA73" i="23"/>
  <c r="AA17" i="23"/>
  <c r="AA4" i="23"/>
  <c r="AA19" i="23"/>
  <c r="AA62" i="23"/>
  <c r="AA45" i="23"/>
  <c r="N60" i="23"/>
  <c r="AP60" i="23" s="1"/>
  <c r="N54" i="23"/>
  <c r="AP54" i="23" s="1"/>
  <c r="N52" i="23"/>
  <c r="AP52" i="23" s="1"/>
  <c r="N71" i="23"/>
  <c r="AP71" i="23" s="1"/>
  <c r="N49" i="23"/>
  <c r="AP49" i="23" s="1"/>
  <c r="N12" i="23"/>
  <c r="AP12" i="23" s="1"/>
  <c r="AA6" i="23"/>
  <c r="N8" i="23"/>
  <c r="AP8" i="23" s="1"/>
  <c r="L43" i="23"/>
  <c r="AO43" i="23" s="1"/>
  <c r="L36" i="23"/>
  <c r="AO36" i="23" s="1"/>
  <c r="L48" i="23"/>
  <c r="AO48" i="23" s="1"/>
  <c r="L54" i="23"/>
  <c r="AO54" i="23" s="1"/>
  <c r="L46" i="23"/>
  <c r="AO46" i="23" s="1"/>
  <c r="L22" i="23"/>
  <c r="AO22" i="23" s="1"/>
  <c r="AM27" i="23"/>
  <c r="AM58" i="23"/>
  <c r="AM42" i="23"/>
  <c r="AM67" i="23"/>
  <c r="AM30" i="23"/>
  <c r="AM73" i="23"/>
  <c r="AM59" i="23"/>
  <c r="AA26" i="23"/>
  <c r="AA7" i="23"/>
  <c r="AA64" i="23"/>
  <c r="AA5" i="23"/>
  <c r="AA37" i="23"/>
  <c r="AA44" i="23"/>
  <c r="N48" i="23"/>
  <c r="AP48" i="23" s="1"/>
  <c r="N43" i="23"/>
  <c r="AP43" i="23" s="1"/>
  <c r="N74" i="23"/>
  <c r="AP74" i="23" s="1"/>
  <c r="N55" i="23"/>
  <c r="AP55" i="23" s="1"/>
  <c r="N47" i="23"/>
  <c r="AP47" i="23" s="1"/>
  <c r="N68" i="23"/>
  <c r="AP68" i="23" s="1"/>
  <c r="AA38" i="23"/>
  <c r="L76" i="23"/>
  <c r="AO76" i="23" s="1"/>
  <c r="L30" i="23"/>
  <c r="AO30" i="23" s="1"/>
  <c r="L72" i="23"/>
  <c r="AO72" i="23" s="1"/>
  <c r="L59" i="23"/>
  <c r="AO59" i="23" s="1"/>
  <c r="L20" i="23"/>
  <c r="AO20" i="23" s="1"/>
  <c r="L62" i="23"/>
  <c r="AO62" i="23" s="1"/>
  <c r="AM35" i="23"/>
  <c r="AM36" i="23"/>
  <c r="AM68" i="23"/>
  <c r="AM66" i="23"/>
  <c r="AM38" i="23"/>
  <c r="AM51" i="23"/>
  <c r="AM49" i="23"/>
  <c r="AA24" i="23"/>
  <c r="AA67" i="23"/>
  <c r="AA10" i="23"/>
  <c r="AA46" i="23"/>
  <c r="AA15" i="23"/>
  <c r="AA77" i="23"/>
  <c r="N36" i="23"/>
  <c r="AP36" i="23" s="1"/>
  <c r="N4" i="23"/>
  <c r="AP4" i="23" s="1"/>
  <c r="N72" i="23"/>
  <c r="AP72" i="23" s="1"/>
  <c r="N45" i="23"/>
  <c r="AP45" i="23" s="1"/>
  <c r="N22" i="23"/>
  <c r="AP22" i="23" s="1"/>
  <c r="N73" i="23"/>
  <c r="AP73" i="23" s="1"/>
  <c r="AA63" i="23"/>
  <c r="AA28" i="23"/>
  <c r="N7" i="23"/>
  <c r="AP7" i="23" s="1"/>
  <c r="AA61" i="23"/>
  <c r="AA9" i="23"/>
  <c r="AA55" i="23"/>
  <c r="AA30" i="23"/>
  <c r="N20" i="23"/>
  <c r="AP20" i="23" s="1"/>
  <c r="N44" i="23"/>
  <c r="AP44" i="23" s="1"/>
  <c r="N70" i="23"/>
  <c r="AP70" i="23" s="1"/>
  <c r="N29" i="23"/>
  <c r="AP29" i="23" s="1"/>
  <c r="N9" i="23"/>
  <c r="AP9" i="23" s="1"/>
  <c r="L13" i="23"/>
  <c r="AO13" i="23" s="1"/>
  <c r="L24" i="23"/>
  <c r="AO24" i="23" s="1"/>
  <c r="L60" i="23"/>
  <c r="AO60" i="23" s="1"/>
  <c r="L58" i="23"/>
  <c r="AO58" i="23" s="1"/>
  <c r="L47" i="23"/>
  <c r="AO47" i="23" s="1"/>
  <c r="AM32" i="23"/>
  <c r="AM24" i="23"/>
  <c r="AM43" i="23"/>
  <c r="AM12" i="23"/>
  <c r="AM53" i="23"/>
  <c r="AM29" i="23"/>
  <c r="AA54" i="23"/>
  <c r="AA58" i="23"/>
  <c r="AA41" i="23"/>
  <c r="AA76" i="23"/>
  <c r="AA74" i="23"/>
  <c r="N16" i="23"/>
  <c r="AP16" i="23" s="1"/>
  <c r="N64" i="23"/>
  <c r="AP64" i="23" s="1"/>
  <c r="N69" i="23"/>
  <c r="AP69" i="23" s="1"/>
  <c r="N51" i="23"/>
  <c r="AP51" i="23" s="1"/>
  <c r="N19" i="23"/>
  <c r="AP19" i="23" s="1"/>
  <c r="N3" i="11"/>
  <c r="Q3" i="11" s="1"/>
  <c r="H46" i="15"/>
  <c r="H25" i="15"/>
  <c r="H44" i="15"/>
  <c r="H56" i="15"/>
  <c r="H8" i="15"/>
  <c r="H23" i="15"/>
  <c r="H21" i="15"/>
  <c r="H58" i="15"/>
  <c r="H29" i="15"/>
  <c r="H13" i="15"/>
  <c r="H10" i="15"/>
  <c r="H4" i="15"/>
  <c r="H19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AR37" i="23" l="1"/>
  <c r="AQ9" i="23"/>
  <c r="AR59" i="23"/>
  <c r="AR3" i="23"/>
  <c r="AR48" i="23"/>
  <c r="AR13" i="23"/>
  <c r="AR25" i="23"/>
  <c r="AR12" i="23"/>
  <c r="AR26" i="23"/>
  <c r="AR56" i="23"/>
  <c r="AR8" i="23"/>
  <c r="AR69" i="23"/>
  <c r="AR32" i="23"/>
  <c r="AR35" i="23"/>
  <c r="AR17" i="23"/>
  <c r="AQ39" i="23"/>
  <c r="AR15" i="23"/>
  <c r="AR14" i="23"/>
  <c r="AR10" i="23"/>
  <c r="AR65" i="23"/>
  <c r="AR9" i="23"/>
  <c r="AS9" i="23" s="1"/>
  <c r="AR46" i="23"/>
  <c r="AR41" i="23"/>
  <c r="AR67" i="23"/>
  <c r="AR63" i="23"/>
  <c r="AR24" i="23"/>
  <c r="AQ26" i="23"/>
  <c r="AQ25" i="23"/>
  <c r="AQ75" i="23"/>
  <c r="AR34" i="23"/>
  <c r="AR42" i="23"/>
  <c r="AR21" i="23"/>
  <c r="AQ28" i="23"/>
  <c r="AR61" i="23"/>
  <c r="AR54" i="23"/>
  <c r="AR19" i="23"/>
  <c r="AR71" i="23"/>
  <c r="AR66" i="23"/>
  <c r="AQ35" i="23"/>
  <c r="AQ47" i="23"/>
  <c r="AR70" i="23"/>
  <c r="AR7" i="23"/>
  <c r="AR38" i="23"/>
  <c r="AR4" i="23"/>
  <c r="AR75" i="23"/>
  <c r="AR49" i="23"/>
  <c r="AR23" i="23"/>
  <c r="AQ32" i="23"/>
  <c r="AR58" i="23"/>
  <c r="AR64" i="23"/>
  <c r="AR45" i="23"/>
  <c r="AR33" i="23"/>
  <c r="AQ62" i="23"/>
  <c r="AQ67" i="23"/>
  <c r="AR47" i="23"/>
  <c r="AQ48" i="23"/>
  <c r="AS48" i="23" s="1"/>
  <c r="AQ31" i="23"/>
  <c r="AQ27" i="23"/>
  <c r="AS27" i="23" s="1"/>
  <c r="AR11" i="23"/>
  <c r="AR62" i="23"/>
  <c r="AQ54" i="23"/>
  <c r="AQ4" i="23"/>
  <c r="AR68" i="23"/>
  <c r="AQ52" i="23"/>
  <c r="AR52" i="23"/>
  <c r="AR20" i="23"/>
  <c r="AQ55" i="23"/>
  <c r="AR43" i="23"/>
  <c r="AR5" i="23"/>
  <c r="AR50" i="23"/>
  <c r="AR51" i="23"/>
  <c r="AQ74" i="23"/>
  <c r="AQ30" i="23"/>
  <c r="AR72" i="23"/>
  <c r="AR60" i="23"/>
  <c r="AS60" i="23" s="1"/>
  <c r="AQ23" i="23"/>
  <c r="AR36" i="23"/>
  <c r="AR27" i="23"/>
  <c r="AQ44" i="23"/>
  <c r="AR28" i="23"/>
  <c r="AR73" i="23"/>
  <c r="AR2" i="23"/>
  <c r="AR77" i="23"/>
  <c r="AR76" i="23"/>
  <c r="AR22" i="23"/>
  <c r="AR53" i="23"/>
  <c r="AR16" i="23"/>
  <c r="AR6" i="23"/>
  <c r="AR31" i="23"/>
  <c r="AR29" i="23"/>
  <c r="AR30" i="23"/>
  <c r="AR57" i="23"/>
  <c r="AR55" i="23"/>
  <c r="AR39" i="23"/>
  <c r="AS39" i="23" s="1"/>
  <c r="AR74" i="23"/>
  <c r="AR44" i="23"/>
  <c r="AR18" i="23"/>
  <c r="AR40" i="23"/>
  <c r="AQ71" i="23"/>
  <c r="AQ59" i="23"/>
  <c r="AS59" i="23" s="1"/>
  <c r="AQ61" i="23"/>
  <c r="AS35" i="23"/>
  <c r="AQ5" i="23"/>
  <c r="AQ12" i="23"/>
  <c r="AS12" i="23" s="1"/>
  <c r="AQ18" i="23"/>
  <c r="AQ68" i="23"/>
  <c r="AQ77" i="23"/>
  <c r="AQ56" i="23"/>
  <c r="AQ57" i="23"/>
  <c r="AQ11" i="23"/>
  <c r="AQ51" i="23"/>
  <c r="AQ16" i="23"/>
  <c r="AQ36" i="23"/>
  <c r="AQ15" i="23"/>
  <c r="AS15" i="23" s="1"/>
  <c r="AQ14" i="23"/>
  <c r="AQ40" i="23"/>
  <c r="AQ53" i="23"/>
  <c r="AQ38" i="23"/>
  <c r="AQ41" i="23"/>
  <c r="AQ8" i="23"/>
  <c r="AQ69" i="23"/>
  <c r="AQ45" i="23"/>
  <c r="AQ37" i="23"/>
  <c r="AS37" i="23" s="1"/>
  <c r="AQ2" i="23"/>
  <c r="AQ66" i="23"/>
  <c r="AS66" i="23" s="1"/>
  <c r="AQ29" i="23"/>
  <c r="AQ50" i="23"/>
  <c r="AQ42" i="23"/>
  <c r="AQ33" i="23"/>
  <c r="AQ76" i="23"/>
  <c r="AQ43" i="23"/>
  <c r="AQ21" i="23"/>
  <c r="AQ10" i="23"/>
  <c r="AQ17" i="23"/>
  <c r="AS17" i="23" s="1"/>
  <c r="AQ58" i="23"/>
  <c r="AS58" i="23" s="1"/>
  <c r="AQ3" i="23"/>
  <c r="AS3" i="23" s="1"/>
  <c r="AQ19" i="23"/>
  <c r="AQ46" i="23"/>
  <c r="P3" i="11"/>
  <c r="E2" i="35"/>
  <c r="AQ64" i="23"/>
  <c r="AQ70" i="23"/>
  <c r="AQ6" i="23"/>
  <c r="AQ49" i="23"/>
  <c r="AQ22" i="23"/>
  <c r="AQ20" i="23"/>
  <c r="AQ72" i="23"/>
  <c r="AQ63" i="23"/>
  <c r="AQ65" i="23"/>
  <c r="AQ13" i="23"/>
  <c r="AS13" i="23" s="1"/>
  <c r="AQ34" i="23"/>
  <c r="AQ24" i="23"/>
  <c r="AS24" i="23" s="1"/>
  <c r="AQ73" i="23"/>
  <c r="AQ7" i="23"/>
  <c r="AD3" i="11"/>
  <c r="AS18" i="23" l="1"/>
  <c r="AS72" i="23"/>
  <c r="AS65" i="23"/>
  <c r="AS21" i="23"/>
  <c r="AS74" i="23"/>
  <c r="AS71" i="23"/>
  <c r="AS46" i="23"/>
  <c r="AS29" i="23"/>
  <c r="AS8" i="23"/>
  <c r="AS2" i="23"/>
  <c r="AS19" i="23"/>
  <c r="AS20" i="23"/>
  <c r="AS62" i="23"/>
  <c r="AS63" i="23"/>
  <c r="AS61" i="23"/>
  <c r="AS10" i="23"/>
  <c r="AS69" i="23"/>
  <c r="AS57" i="23"/>
  <c r="AS52" i="23"/>
  <c r="AS75" i="23"/>
  <c r="AS49" i="23"/>
  <c r="AS56" i="23"/>
  <c r="AS45" i="23"/>
  <c r="AS25" i="23"/>
  <c r="AS4" i="23"/>
  <c r="AS26" i="23"/>
  <c r="AS54" i="23"/>
  <c r="AS68" i="23"/>
  <c r="AS14" i="23"/>
  <c r="AS51" i="23"/>
  <c r="AS7" i="23"/>
  <c r="AS31" i="23"/>
  <c r="AS32" i="23"/>
  <c r="AS70" i="23"/>
  <c r="AS76" i="23"/>
  <c r="AS11" i="23"/>
  <c r="AS73" i="23"/>
  <c r="AS64" i="23"/>
  <c r="AS33" i="23"/>
  <c r="AS28" i="23"/>
  <c r="AS22" i="23"/>
  <c r="AS42" i="23"/>
  <c r="AS30" i="23"/>
  <c r="AS44" i="23"/>
  <c r="AS47" i="23"/>
  <c r="AS16" i="23"/>
  <c r="AS34" i="23"/>
  <c r="AS38" i="23"/>
  <c r="AS55" i="23"/>
  <c r="AS23" i="23"/>
  <c r="AS67" i="23"/>
  <c r="AS36" i="23"/>
  <c r="AS40" i="23"/>
  <c r="AS77" i="23"/>
  <c r="AS50" i="23"/>
  <c r="AS41" i="23"/>
  <c r="AS6" i="23"/>
  <c r="AS53" i="23"/>
  <c r="AS5" i="23"/>
  <c r="AS43" i="23"/>
  <c r="J11" i="35"/>
  <c r="J23" i="35"/>
  <c r="J28" i="35"/>
  <c r="J15" i="35"/>
  <c r="J10" i="35"/>
  <c r="J70" i="35"/>
  <c r="J66" i="35"/>
  <c r="J72" i="35"/>
  <c r="J18" i="35"/>
  <c r="J29" i="35"/>
  <c r="J37" i="35"/>
  <c r="J64" i="35"/>
  <c r="J60" i="35"/>
  <c r="J61" i="35"/>
  <c r="J43" i="35"/>
  <c r="J14" i="35"/>
  <c r="J32" i="35"/>
  <c r="J58" i="35"/>
  <c r="J57" i="35"/>
  <c r="J53" i="35"/>
  <c r="J35" i="35"/>
  <c r="J7" i="35"/>
  <c r="J25" i="35"/>
  <c r="J74" i="35"/>
  <c r="J65" i="35"/>
  <c r="J51" i="35"/>
  <c r="J6" i="35"/>
  <c r="J4" i="35"/>
  <c r="J46" i="35"/>
  <c r="J36" i="35"/>
  <c r="J5" i="35"/>
  <c r="J3" i="35"/>
  <c r="J55" i="35"/>
  <c r="J54" i="35"/>
  <c r="J69" i="35"/>
  <c r="J75" i="35"/>
  <c r="J33" i="35"/>
  <c r="J40" i="35"/>
  <c r="J17" i="35"/>
  <c r="J68" i="35"/>
  <c r="J47" i="35"/>
  <c r="J41" i="35"/>
  <c r="J48" i="35"/>
  <c r="J42" i="35"/>
  <c r="J34" i="35"/>
  <c r="J21" i="35"/>
  <c r="J38" i="35"/>
  <c r="J31" i="35"/>
  <c r="J59" i="35"/>
  <c r="J30" i="35"/>
  <c r="J62" i="35"/>
  <c r="J26" i="35"/>
  <c r="J49" i="35"/>
  <c r="J16" i="35"/>
  <c r="J73" i="35"/>
  <c r="J22" i="35"/>
  <c r="J27" i="35"/>
  <c r="J67" i="35"/>
  <c r="J77" i="35"/>
  <c r="J76" i="35"/>
  <c r="J2" i="35"/>
  <c r="J71" i="35"/>
  <c r="J24" i="35"/>
  <c r="J39" i="35"/>
  <c r="J63" i="35"/>
  <c r="J45" i="35"/>
  <c r="J13" i="35"/>
  <c r="J44" i="35"/>
  <c r="J52" i="35"/>
  <c r="J9" i="35"/>
  <c r="J8" i="35"/>
  <c r="J19" i="35"/>
  <c r="J50" i="35"/>
  <c r="J56" i="35"/>
  <c r="J12" i="35"/>
  <c r="J20" i="35"/>
  <c r="AE3" i="11"/>
  <c r="AI3" i="11" s="1"/>
  <c r="E28" i="11"/>
  <c r="E27" i="11"/>
  <c r="E26" i="11"/>
  <c r="E25" i="11"/>
  <c r="E24" i="11"/>
  <c r="E23" i="11"/>
  <c r="E20" i="11"/>
  <c r="E17" i="11"/>
  <c r="E15" i="11"/>
  <c r="E13" i="11"/>
  <c r="E11" i="11"/>
  <c r="E6" i="11"/>
  <c r="AH3" i="11" l="1"/>
  <c r="AG3" i="11"/>
  <c r="B8" i="42" s="1"/>
  <c r="X23" i="11"/>
  <c r="M11" i="11"/>
  <c r="M13" i="11"/>
  <c r="M15" i="11"/>
  <c r="M17" i="11"/>
  <c r="M20" i="11"/>
  <c r="M23" i="11"/>
  <c r="M24" i="11"/>
  <c r="M25" i="11"/>
  <c r="M26" i="11"/>
  <c r="M27" i="11"/>
  <c r="M28" i="11"/>
  <c r="M6" i="11"/>
  <c r="E34" i="11"/>
  <c r="U37" i="1"/>
  <c r="E8" i="42" l="1"/>
  <c r="D8" i="42"/>
  <c r="K3" i="11"/>
  <c r="U53" i="1"/>
  <c r="U52" i="1"/>
  <c r="U50" i="1"/>
  <c r="U58" i="1"/>
  <c r="U62" i="1"/>
  <c r="U63" i="1"/>
  <c r="U60" i="1"/>
  <c r="U59" i="1"/>
  <c r="U56" i="1"/>
  <c r="U36" i="1"/>
  <c r="U35" i="1"/>
  <c r="U33" i="1"/>
  <c r="U32" i="1"/>
  <c r="U31" i="1"/>
  <c r="U29" i="1"/>
  <c r="U28" i="1"/>
  <c r="U27" i="1"/>
  <c r="U25" i="1"/>
  <c r="U22" i="1"/>
  <c r="U20" i="1"/>
  <c r="U19" i="1"/>
  <c r="U16" i="1"/>
  <c r="U15" i="1"/>
  <c r="U10" i="1"/>
  <c r="U9" i="1"/>
  <c r="U11" i="1"/>
  <c r="U12" i="1"/>
  <c r="U13" i="1"/>
  <c r="U14" i="1"/>
  <c r="U17" i="1"/>
  <c r="E38" i="29" l="1"/>
  <c r="E50" i="24"/>
  <c r="U38" i="1"/>
  <c r="U39" i="1"/>
  <c r="U55" i="1"/>
  <c r="U57" i="1"/>
  <c r="U61" i="1"/>
  <c r="U64" i="1"/>
  <c r="U40" i="1"/>
  <c r="U41" i="1"/>
  <c r="U42" i="1"/>
  <c r="U43" i="1"/>
  <c r="U44" i="1"/>
  <c r="U45" i="1"/>
  <c r="U46" i="1"/>
  <c r="U47" i="1"/>
  <c r="U48" i="1"/>
  <c r="U49" i="1"/>
  <c r="U51" i="1"/>
  <c r="U54" i="1"/>
  <c r="E4" i="24" l="1"/>
  <c r="E21" i="29"/>
  <c r="O11" i="24"/>
  <c r="E10" i="29"/>
  <c r="E10" i="24"/>
  <c r="E31" i="29"/>
  <c r="E6" i="24"/>
  <c r="E23" i="29"/>
  <c r="E9" i="24"/>
  <c r="E24" i="29"/>
  <c r="J10" i="24"/>
  <c r="E12" i="29"/>
  <c r="J15" i="24"/>
  <c r="E5" i="29"/>
  <c r="E19" i="24"/>
  <c r="E8" i="29"/>
  <c r="E16" i="24"/>
  <c r="E17" i="29"/>
  <c r="E5" i="24"/>
  <c r="E22" i="29"/>
  <c r="J7" i="24"/>
  <c r="E15" i="29"/>
  <c r="E23" i="24"/>
  <c r="M24" i="24" s="1"/>
  <c r="E6" i="29"/>
  <c r="E17" i="24"/>
  <c r="E33" i="29"/>
  <c r="E24" i="24"/>
  <c r="E27" i="29"/>
  <c r="E25" i="24"/>
  <c r="E28" i="29"/>
  <c r="E12" i="24"/>
  <c r="E20" i="29"/>
  <c r="O10" i="24"/>
  <c r="E7" i="29"/>
  <c r="E11" i="24"/>
  <c r="E16" i="29"/>
  <c r="E14" i="24"/>
  <c r="E25" i="29"/>
  <c r="E27" i="24"/>
  <c r="E11" i="29"/>
  <c r="J11" i="24"/>
  <c r="E14" i="29"/>
  <c r="E3" i="24"/>
  <c r="E26" i="29"/>
  <c r="E18" i="24"/>
  <c r="E32" i="29"/>
  <c r="E7" i="24"/>
  <c r="E13" i="29"/>
  <c r="E8" i="24"/>
  <c r="E30" i="29"/>
  <c r="E20" i="24"/>
  <c r="E9" i="29"/>
  <c r="E26" i="24"/>
  <c r="E29" i="29"/>
  <c r="E15" i="24"/>
  <c r="E18" i="29"/>
  <c r="E13" i="24"/>
  <c r="E19" i="29"/>
  <c r="K25" i="11"/>
  <c r="AB25" i="11"/>
  <c r="K16" i="11"/>
  <c r="AB16" i="11"/>
  <c r="K15" i="11"/>
  <c r="AB15" i="11"/>
  <c r="K20" i="11"/>
  <c r="AB20" i="11"/>
  <c r="K6" i="11"/>
  <c r="AB6" i="11"/>
  <c r="K11" i="11"/>
  <c r="AB11" i="11"/>
  <c r="K5" i="11"/>
  <c r="AB5" i="11"/>
  <c r="K19" i="11"/>
  <c r="AB19" i="11"/>
  <c r="K31" i="11"/>
  <c r="AB31" i="11"/>
  <c r="K8" i="11"/>
  <c r="AB8" i="11"/>
  <c r="K14" i="11"/>
  <c r="AB14" i="11"/>
  <c r="K27" i="11"/>
  <c r="AB27" i="11"/>
  <c r="K4" i="11"/>
  <c r="AB4" i="11"/>
  <c r="K32" i="11"/>
  <c r="AB32" i="11"/>
  <c r="K29" i="11"/>
  <c r="AB29" i="11"/>
  <c r="K21" i="11"/>
  <c r="AB21" i="11"/>
  <c r="K30" i="11"/>
  <c r="AB30" i="11"/>
  <c r="K10" i="11"/>
  <c r="AB10" i="11"/>
  <c r="K28" i="11"/>
  <c r="AB28" i="11"/>
  <c r="K23" i="11"/>
  <c r="AB23" i="11"/>
  <c r="K9" i="11"/>
  <c r="AB9" i="11"/>
  <c r="K22" i="11"/>
  <c r="AB22" i="11"/>
  <c r="K7" i="11"/>
  <c r="AB7" i="11"/>
  <c r="K17" i="11"/>
  <c r="AB17" i="11"/>
  <c r="K33" i="11"/>
  <c r="AB33" i="11"/>
  <c r="K18" i="11"/>
  <c r="AB18" i="11"/>
  <c r="K24" i="11"/>
  <c r="AB24" i="11"/>
  <c r="K12" i="11"/>
  <c r="AB12" i="11"/>
  <c r="K13" i="11"/>
  <c r="K26" i="11"/>
  <c r="AB26" i="11"/>
  <c r="R3" i="11"/>
  <c r="G38" i="29" s="1"/>
  <c r="U34" i="1"/>
  <c r="U30" i="1"/>
  <c r="U26" i="1"/>
  <c r="U24" i="1"/>
  <c r="U21" i="1"/>
  <c r="U18" i="1"/>
  <c r="C72" i="42" l="1"/>
  <c r="C8" i="42"/>
  <c r="F8" i="42" s="1"/>
  <c r="AD29" i="11"/>
  <c r="M25" i="24"/>
  <c r="F7" i="29"/>
  <c r="F3" i="29"/>
  <c r="M20" i="24"/>
  <c r="F12" i="29"/>
  <c r="M21" i="24"/>
  <c r="AF21" i="11"/>
  <c r="AF24" i="11"/>
  <c r="AF17" i="11"/>
  <c r="AF14" i="11"/>
  <c r="AF31" i="11"/>
  <c r="AF10" i="11"/>
  <c r="AF7" i="11"/>
  <c r="AF20" i="11"/>
  <c r="AF29" i="11"/>
  <c r="AF19" i="11"/>
  <c r="AF27" i="11"/>
  <c r="AF12" i="11"/>
  <c r="AF9" i="11"/>
  <c r="AF26" i="11"/>
  <c r="AF11" i="11"/>
  <c r="AF22" i="11"/>
  <c r="AF15" i="11"/>
  <c r="AF18" i="11"/>
  <c r="AF23" i="11"/>
  <c r="AF33" i="11"/>
  <c r="AF30" i="11"/>
  <c r="AF6" i="11"/>
  <c r="AF8" i="11"/>
  <c r="AF32" i="11"/>
  <c r="AF16" i="11"/>
  <c r="M23" i="24"/>
  <c r="AF28" i="11"/>
  <c r="AF4" i="11"/>
  <c r="AF5" i="11"/>
  <c r="AF25" i="11"/>
  <c r="F21" i="29"/>
  <c r="M22" i="24"/>
  <c r="N11" i="11"/>
  <c r="Q11" i="11" s="1"/>
  <c r="N6" i="11"/>
  <c r="Q6" i="11" s="1"/>
  <c r="N27" i="11"/>
  <c r="Q27" i="11" s="1"/>
  <c r="N14" i="11"/>
  <c r="Q14" i="11" s="1"/>
  <c r="N22" i="11"/>
  <c r="Q22" i="11" s="1"/>
  <c r="N24" i="11"/>
  <c r="Q24" i="11" s="1"/>
  <c r="N17" i="11"/>
  <c r="Q17" i="11" s="1"/>
  <c r="N20" i="11"/>
  <c r="Q20" i="11" s="1"/>
  <c r="N9" i="11"/>
  <c r="Q9" i="11" s="1"/>
  <c r="N23" i="11"/>
  <c r="Q23" i="11" s="1"/>
  <c r="N19" i="11"/>
  <c r="Q19" i="11" s="1"/>
  <c r="N16" i="11"/>
  <c r="Q16" i="11" s="1"/>
  <c r="N26" i="11"/>
  <c r="Q26" i="11" s="1"/>
  <c r="N30" i="11"/>
  <c r="Q30" i="11" s="1"/>
  <c r="N12" i="11"/>
  <c r="Q12" i="11" s="1"/>
  <c r="N29" i="11"/>
  <c r="Q29" i="11" s="1"/>
  <c r="N32" i="11"/>
  <c r="Q32" i="11" s="1"/>
  <c r="N10" i="11"/>
  <c r="Q10" i="11" s="1"/>
  <c r="N7" i="11"/>
  <c r="Q7" i="11" s="1"/>
  <c r="N8" i="11"/>
  <c r="Q8" i="11" s="1"/>
  <c r="N15" i="11"/>
  <c r="Q15" i="11" s="1"/>
  <c r="N18" i="11"/>
  <c r="Q18" i="11" s="1"/>
  <c r="N33" i="11"/>
  <c r="Q33" i="11" s="1"/>
  <c r="N28" i="11"/>
  <c r="Q28" i="11" s="1"/>
  <c r="N4" i="11"/>
  <c r="Q4" i="11" s="1"/>
  <c r="N5" i="11"/>
  <c r="Q5" i="11" s="1"/>
  <c r="N25" i="11"/>
  <c r="Q25" i="11" s="1"/>
  <c r="N21" i="11"/>
  <c r="Q21" i="11" s="1"/>
  <c r="N31" i="11"/>
  <c r="Q31" i="11" s="1"/>
  <c r="G8" i="42" l="1"/>
  <c r="G72" i="42"/>
  <c r="I72" i="42"/>
  <c r="H72" i="42"/>
  <c r="P23" i="11"/>
  <c r="E22" i="35"/>
  <c r="P31" i="11"/>
  <c r="E30" i="35"/>
  <c r="P29" i="11"/>
  <c r="E28" i="35"/>
  <c r="P20" i="11"/>
  <c r="E19" i="35"/>
  <c r="P10" i="11"/>
  <c r="E9" i="35"/>
  <c r="P32" i="11"/>
  <c r="E31" i="35"/>
  <c r="P22" i="11"/>
  <c r="E21" i="35"/>
  <c r="P21" i="11"/>
  <c r="E20" i="35"/>
  <c r="P14" i="11"/>
  <c r="E13" i="35"/>
  <c r="P25" i="11"/>
  <c r="E24" i="35"/>
  <c r="P12" i="11"/>
  <c r="E11" i="35"/>
  <c r="P27" i="11"/>
  <c r="E26" i="35"/>
  <c r="P24" i="11"/>
  <c r="E23" i="35"/>
  <c r="P18" i="11"/>
  <c r="E17" i="35"/>
  <c r="P9" i="11"/>
  <c r="E8" i="35"/>
  <c r="P17" i="11"/>
  <c r="E16" i="35"/>
  <c r="P30" i="11"/>
  <c r="E29" i="35"/>
  <c r="P6" i="11"/>
  <c r="E5" i="35"/>
  <c r="P4" i="11"/>
  <c r="E3" i="35"/>
  <c r="P26" i="11"/>
  <c r="E25" i="35"/>
  <c r="P11" i="11"/>
  <c r="E10" i="35"/>
  <c r="P28" i="11"/>
  <c r="E27" i="35"/>
  <c r="P16" i="11"/>
  <c r="E15" i="35"/>
  <c r="P15" i="11"/>
  <c r="E14" i="35"/>
  <c r="P8" i="11"/>
  <c r="E7" i="35"/>
  <c r="P7" i="11"/>
  <c r="E6" i="35"/>
  <c r="P5" i="11"/>
  <c r="E4" i="35"/>
  <c r="P33" i="11"/>
  <c r="E32" i="35"/>
  <c r="P19" i="11"/>
  <c r="E18" i="35"/>
  <c r="R11" i="11"/>
  <c r="G47" i="29" s="1"/>
  <c r="R4" i="11"/>
  <c r="G39" i="29" s="1"/>
  <c r="R28" i="11"/>
  <c r="G68" i="29" s="1"/>
  <c r="R33" i="11"/>
  <c r="G67" i="29" s="1"/>
  <c r="R18" i="11"/>
  <c r="G57" i="29" s="1"/>
  <c r="R23" i="11"/>
  <c r="G62" i="29" s="1"/>
  <c r="R9" i="11"/>
  <c r="G45" i="29" s="1"/>
  <c r="R17" i="11"/>
  <c r="G56" i="29" s="1"/>
  <c r="R10" i="11"/>
  <c r="G46" i="29" s="1"/>
  <c r="R24" i="11"/>
  <c r="G63" i="29" s="1"/>
  <c r="R14" i="11"/>
  <c r="G53" i="29" s="1"/>
  <c r="R5" i="11"/>
  <c r="G41" i="29" s="1"/>
  <c r="R30" i="11"/>
  <c r="G40" i="29" s="1"/>
  <c r="R6" i="11"/>
  <c r="G42" i="29" s="1"/>
  <c r="P21" i="24"/>
  <c r="J15" i="29"/>
  <c r="R19" i="11"/>
  <c r="G58" i="29" s="1"/>
  <c r="R15" i="11"/>
  <c r="G54" i="29" s="1"/>
  <c r="R21" i="11"/>
  <c r="G60" i="29" s="1"/>
  <c r="R22" i="11"/>
  <c r="G61" i="29" s="1"/>
  <c r="R31" i="11"/>
  <c r="G49" i="29" s="1"/>
  <c r="V31" i="11"/>
  <c r="X31" i="11"/>
  <c r="V33" i="11"/>
  <c r="R20" i="11"/>
  <c r="G59" i="29" s="1"/>
  <c r="R25" i="11"/>
  <c r="G64" i="29" s="1"/>
  <c r="R27" i="11"/>
  <c r="G66" i="29" s="1"/>
  <c r="R32" i="11"/>
  <c r="G50" i="29" s="1"/>
  <c r="R16" i="11"/>
  <c r="G55" i="29" s="1"/>
  <c r="R7" i="11"/>
  <c r="G43" i="29" s="1"/>
  <c r="R12" i="11"/>
  <c r="G48" i="29" s="1"/>
  <c r="R29" i="11"/>
  <c r="G51" i="29" s="1"/>
  <c r="R26" i="11"/>
  <c r="G65" i="29" s="1"/>
  <c r="R8" i="11"/>
  <c r="G44" i="29" s="1"/>
  <c r="H56" i="29" l="1"/>
  <c r="H38" i="29"/>
  <c r="H42" i="29"/>
  <c r="K50" i="29"/>
  <c r="C90" i="42"/>
  <c r="C26" i="42"/>
  <c r="F26" i="42" s="1"/>
  <c r="C92" i="42"/>
  <c r="C28" i="42"/>
  <c r="F28" i="42" s="1"/>
  <c r="C81" i="42"/>
  <c r="C17" i="42"/>
  <c r="F17" i="42" s="1"/>
  <c r="C98" i="42"/>
  <c r="C34" i="42"/>
  <c r="F34" i="42" s="1"/>
  <c r="C78" i="42"/>
  <c r="C14" i="42"/>
  <c r="F14" i="42" s="1"/>
  <c r="C84" i="42"/>
  <c r="C20" i="42"/>
  <c r="F20" i="42" s="1"/>
  <c r="C97" i="42"/>
  <c r="C33" i="42"/>
  <c r="F33" i="42" s="1"/>
  <c r="C75" i="42"/>
  <c r="C11" i="42"/>
  <c r="F11" i="42" s="1"/>
  <c r="C89" i="42"/>
  <c r="C25" i="42"/>
  <c r="F25" i="42" s="1"/>
  <c r="C99" i="42"/>
  <c r="C35" i="42"/>
  <c r="F35" i="42" s="1"/>
  <c r="C80" i="42"/>
  <c r="C16" i="42"/>
  <c r="F16" i="42" s="1"/>
  <c r="C86" i="42"/>
  <c r="C22" i="42"/>
  <c r="F22" i="42" s="1"/>
  <c r="C87" i="42"/>
  <c r="C23" i="42"/>
  <c r="F23" i="42" s="1"/>
  <c r="C101" i="42"/>
  <c r="C37" i="42"/>
  <c r="F37" i="42" s="1"/>
  <c r="C96" i="42"/>
  <c r="C32" i="42"/>
  <c r="F32" i="42" s="1"/>
  <c r="C94" i="42"/>
  <c r="C30" i="42"/>
  <c r="F30" i="42" s="1"/>
  <c r="C74" i="42"/>
  <c r="C10" i="42"/>
  <c r="F10" i="42" s="1"/>
  <c r="C83" i="42"/>
  <c r="C19" i="42"/>
  <c r="F19" i="42" s="1"/>
  <c r="C91" i="42"/>
  <c r="C27" i="42"/>
  <c r="F27" i="42" s="1"/>
  <c r="C88" i="42"/>
  <c r="C24" i="42"/>
  <c r="F24" i="42" s="1"/>
  <c r="C102" i="42"/>
  <c r="C38" i="42"/>
  <c r="F38" i="42" s="1"/>
  <c r="C73" i="42"/>
  <c r="C9" i="42"/>
  <c r="F9" i="42" s="1"/>
  <c r="C77" i="42"/>
  <c r="C13" i="42"/>
  <c r="F13" i="42" s="1"/>
  <c r="C93" i="42"/>
  <c r="C29" i="42"/>
  <c r="F29" i="42" s="1"/>
  <c r="C76" i="42"/>
  <c r="C12" i="42"/>
  <c r="F12" i="42" s="1"/>
  <c r="C85" i="42"/>
  <c r="C21" i="42"/>
  <c r="F21" i="42" s="1"/>
  <c r="C95" i="42"/>
  <c r="C31" i="42"/>
  <c r="F31" i="42" s="1"/>
  <c r="C100" i="42"/>
  <c r="C36" i="42"/>
  <c r="F36" i="42" s="1"/>
  <c r="C79" i="42"/>
  <c r="C15" i="42"/>
  <c r="F15" i="42" s="1"/>
  <c r="W12" i="35"/>
  <c r="W15" i="35"/>
  <c r="W21" i="35"/>
  <c r="W27" i="35"/>
  <c r="W68" i="35"/>
  <c r="W64" i="35"/>
  <c r="W22" i="35"/>
  <c r="W8" i="35"/>
  <c r="W6" i="35"/>
  <c r="W17" i="35"/>
  <c r="W14" i="35"/>
  <c r="W3" i="35"/>
  <c r="W45" i="35"/>
  <c r="W67" i="35"/>
  <c r="W41" i="35"/>
  <c r="W5" i="35"/>
  <c r="W36" i="35"/>
  <c r="W66" i="35"/>
  <c r="W48" i="35"/>
  <c r="W31" i="35"/>
  <c r="W32" i="35"/>
  <c r="W75" i="35"/>
  <c r="W62" i="35"/>
  <c r="W34" i="35"/>
  <c r="W19" i="35"/>
  <c r="W50" i="35"/>
  <c r="W13" i="35"/>
  <c r="W57" i="35"/>
  <c r="W70" i="35"/>
  <c r="W53" i="35"/>
  <c r="W4" i="35"/>
  <c r="W2" i="35"/>
  <c r="W47" i="35"/>
  <c r="W51" i="35"/>
  <c r="W49" i="35"/>
  <c r="W39" i="35"/>
  <c r="W40" i="35"/>
  <c r="W35" i="35"/>
  <c r="W74" i="35"/>
  <c r="W61" i="35"/>
  <c r="W30" i="35"/>
  <c r="W73" i="35"/>
  <c r="W60" i="35"/>
  <c r="W28" i="35"/>
  <c r="W56" i="35"/>
  <c r="W55" i="35"/>
  <c r="W18" i="35"/>
  <c r="W58" i="35"/>
  <c r="W24" i="35"/>
  <c r="W46" i="35"/>
  <c r="W33" i="35"/>
  <c r="W10" i="35"/>
  <c r="W77" i="35"/>
  <c r="W29" i="35"/>
  <c r="W72" i="35"/>
  <c r="W20" i="35"/>
  <c r="W42" i="35"/>
  <c r="W69" i="35"/>
  <c r="W71" i="35"/>
  <c r="W23" i="35"/>
  <c r="W44" i="35"/>
  <c r="W16" i="35"/>
  <c r="W54" i="35"/>
  <c r="W11" i="35"/>
  <c r="W65" i="35"/>
  <c r="W37" i="35"/>
  <c r="W52" i="35"/>
  <c r="W26" i="35"/>
  <c r="W7" i="35"/>
  <c r="W63" i="35"/>
  <c r="W43" i="35"/>
  <c r="W9" i="35"/>
  <c r="W25" i="35"/>
  <c r="W76" i="35"/>
  <c r="W38" i="35"/>
  <c r="W59" i="35"/>
  <c r="AI14" i="35"/>
  <c r="AI31" i="35"/>
  <c r="AI22" i="35"/>
  <c r="AI66" i="35"/>
  <c r="AI5" i="35"/>
  <c r="AI44" i="35"/>
  <c r="AI4" i="35"/>
  <c r="AI13" i="35"/>
  <c r="AI23" i="35"/>
  <c r="AI9" i="35"/>
  <c r="AI32" i="35"/>
  <c r="AI2" i="35"/>
  <c r="AI36" i="35"/>
  <c r="AI35" i="35"/>
  <c r="AI8" i="35"/>
  <c r="AI29" i="35"/>
  <c r="AI15" i="35"/>
  <c r="AI7" i="35"/>
  <c r="AI24" i="35"/>
  <c r="AI20" i="35"/>
  <c r="AI6" i="35"/>
  <c r="AI54" i="35"/>
  <c r="AI27" i="35"/>
  <c r="AI21" i="35"/>
  <c r="AI11" i="35"/>
  <c r="AI39" i="35"/>
  <c r="AI10" i="35"/>
  <c r="AI65" i="35"/>
  <c r="AI25" i="35"/>
  <c r="AI18" i="35"/>
  <c r="AI17" i="35"/>
  <c r="AI16" i="35"/>
  <c r="AI30" i="35"/>
  <c r="AI47" i="35"/>
  <c r="AI34" i="35"/>
  <c r="AI33" i="35"/>
  <c r="AI75" i="35"/>
  <c r="AI46" i="35"/>
  <c r="AI43" i="35"/>
  <c r="AI77" i="35"/>
  <c r="AI49" i="35"/>
  <c r="AI56" i="35"/>
  <c r="AI69" i="35"/>
  <c r="AI61" i="35"/>
  <c r="AI76" i="35"/>
  <c r="AI62" i="35"/>
  <c r="AI63" i="35"/>
  <c r="AI67" i="35"/>
  <c r="AI58" i="35"/>
  <c r="AI12" i="35"/>
  <c r="AI3" i="35"/>
  <c r="AI74" i="35"/>
  <c r="AI52" i="35"/>
  <c r="AI28" i="35"/>
  <c r="AI57" i="35"/>
  <c r="AI41" i="35"/>
  <c r="AI37" i="35"/>
  <c r="AI51" i="35"/>
  <c r="AI60" i="35"/>
  <c r="AI42" i="35"/>
  <c r="AI59" i="35"/>
  <c r="AI45" i="35"/>
  <c r="AI40" i="35"/>
  <c r="AI50" i="35"/>
  <c r="AI19" i="35"/>
  <c r="AI68" i="35"/>
  <c r="AI26" i="35"/>
  <c r="AI64" i="35"/>
  <c r="AI55" i="35"/>
  <c r="AI73" i="35"/>
  <c r="AI53" i="35"/>
  <c r="AI38" i="35"/>
  <c r="AI48" i="35"/>
  <c r="AI71" i="35"/>
  <c r="AI72" i="35"/>
  <c r="AI70" i="35"/>
  <c r="AA28" i="35"/>
  <c r="AA34" i="35"/>
  <c r="AA9" i="35"/>
  <c r="AA26" i="35"/>
  <c r="AA2" i="35"/>
  <c r="AA33" i="35"/>
  <c r="AA7" i="35"/>
  <c r="AA39" i="35"/>
  <c r="AA53" i="35"/>
  <c r="AA66" i="35"/>
  <c r="AA48" i="35"/>
  <c r="AA4" i="35"/>
  <c r="AA62" i="35"/>
  <c r="AA5" i="35"/>
  <c r="AA56" i="35"/>
  <c r="AA16" i="35"/>
  <c r="AA38" i="35"/>
  <c r="AA10" i="35"/>
  <c r="AA23" i="35"/>
  <c r="AA18" i="35"/>
  <c r="AA8" i="35"/>
  <c r="AA11" i="35"/>
  <c r="AA35" i="35"/>
  <c r="AA6" i="35"/>
  <c r="AA54" i="35"/>
  <c r="AA3" i="35"/>
  <c r="AA37" i="35"/>
  <c r="AA40" i="35"/>
  <c r="AA12" i="35"/>
  <c r="AA15" i="35"/>
  <c r="AA24" i="35"/>
  <c r="AA51" i="35"/>
  <c r="AA52" i="35"/>
  <c r="AA19" i="35"/>
  <c r="AA58" i="35"/>
  <c r="AA74" i="35"/>
  <c r="AA67" i="35"/>
  <c r="AA46" i="35"/>
  <c r="AA13" i="35"/>
  <c r="AA59" i="35"/>
  <c r="AA73" i="35"/>
  <c r="AA49" i="35"/>
  <c r="AA57" i="35"/>
  <c r="AA22" i="35"/>
  <c r="AA43" i="35"/>
  <c r="AA68" i="35"/>
  <c r="AA75" i="35"/>
  <c r="AA36" i="35"/>
  <c r="AA41" i="35"/>
  <c r="AA29" i="35"/>
  <c r="AA20" i="35"/>
  <c r="AA14" i="35"/>
  <c r="AA65" i="35"/>
  <c r="AA32" i="35"/>
  <c r="AA70" i="35"/>
  <c r="AA27" i="35"/>
  <c r="AA71" i="35"/>
  <c r="AA50" i="35"/>
  <c r="AA47" i="35"/>
  <c r="AA31" i="35"/>
  <c r="AA30" i="35"/>
  <c r="AA61" i="35"/>
  <c r="AA55" i="35"/>
  <c r="AA69" i="35"/>
  <c r="AA60" i="35"/>
  <c r="AA17" i="35"/>
  <c r="AA45" i="35"/>
  <c r="AA42" i="35"/>
  <c r="AA64" i="35"/>
  <c r="AA63" i="35"/>
  <c r="AA72" i="35"/>
  <c r="AA76" i="35"/>
  <c r="AA44" i="35"/>
  <c r="AA77" i="35"/>
  <c r="AA21" i="35"/>
  <c r="AA25" i="35"/>
  <c r="P18" i="35"/>
  <c r="P26" i="35"/>
  <c r="P13" i="35"/>
  <c r="P29" i="35"/>
  <c r="P62" i="35"/>
  <c r="P57" i="35"/>
  <c r="P55" i="35"/>
  <c r="P4" i="35"/>
  <c r="P23" i="35"/>
  <c r="P64" i="35"/>
  <c r="P44" i="35"/>
  <c r="P28" i="35"/>
  <c r="P34" i="35"/>
  <c r="P11" i="35"/>
  <c r="P73" i="35"/>
  <c r="P50" i="35"/>
  <c r="P46" i="35"/>
  <c r="P24" i="35"/>
  <c r="P37" i="35"/>
  <c r="P25" i="35"/>
  <c r="P61" i="35"/>
  <c r="P43" i="35"/>
  <c r="P56" i="35"/>
  <c r="P47" i="35"/>
  <c r="P27" i="35"/>
  <c r="P16" i="35"/>
  <c r="P76" i="35"/>
  <c r="P35" i="35"/>
  <c r="P9" i="35"/>
  <c r="P32" i="35"/>
  <c r="P63" i="35"/>
  <c r="P70" i="35"/>
  <c r="P72" i="35"/>
  <c r="P30" i="35"/>
  <c r="P6" i="35"/>
  <c r="P7" i="35"/>
  <c r="P49" i="35"/>
  <c r="P38" i="35"/>
  <c r="P31" i="35"/>
  <c r="P59" i="35"/>
  <c r="P33" i="35"/>
  <c r="P21" i="35"/>
  <c r="P52" i="35"/>
  <c r="P54" i="35"/>
  <c r="P14" i="35"/>
  <c r="P51" i="35"/>
  <c r="P42" i="35"/>
  <c r="P66" i="35"/>
  <c r="P41" i="35"/>
  <c r="P71" i="35"/>
  <c r="P20" i="35"/>
  <c r="P19" i="35"/>
  <c r="P8" i="35"/>
  <c r="P65" i="35"/>
  <c r="P39" i="35"/>
  <c r="P74" i="35"/>
  <c r="P68" i="35"/>
  <c r="P10" i="35"/>
  <c r="P2" i="35"/>
  <c r="P77" i="35"/>
  <c r="P48" i="35"/>
  <c r="P60" i="35"/>
  <c r="P5" i="35"/>
  <c r="P69" i="35"/>
  <c r="P58" i="35"/>
  <c r="P53" i="35"/>
  <c r="P36" i="35"/>
  <c r="P45" i="35"/>
  <c r="P67" i="35"/>
  <c r="P40" i="35"/>
  <c r="P22" i="35"/>
  <c r="P17" i="35"/>
  <c r="P12" i="35"/>
  <c r="P3" i="35"/>
  <c r="P75" i="35"/>
  <c r="P15" i="35"/>
  <c r="V25" i="35"/>
  <c r="V3" i="35"/>
  <c r="V5" i="35"/>
  <c r="V40" i="35"/>
  <c r="V16" i="35"/>
  <c r="V73" i="35"/>
  <c r="V52" i="35"/>
  <c r="V34" i="35"/>
  <c r="V6" i="35"/>
  <c r="V12" i="35"/>
  <c r="V67" i="35"/>
  <c r="V48" i="35"/>
  <c r="V26" i="35"/>
  <c r="V59" i="35"/>
  <c r="V42" i="35"/>
  <c r="V28" i="35"/>
  <c r="V77" i="35"/>
  <c r="V43" i="35"/>
  <c r="V22" i="35"/>
  <c r="V53" i="35"/>
  <c r="V10" i="35"/>
  <c r="V14" i="35"/>
  <c r="V76" i="35"/>
  <c r="V65" i="35"/>
  <c r="V33" i="35"/>
  <c r="V50" i="35"/>
  <c r="V37" i="35"/>
  <c r="V21" i="35"/>
  <c r="V60" i="35"/>
  <c r="V75" i="35"/>
  <c r="V39" i="35"/>
  <c r="V30" i="35"/>
  <c r="V2" i="35"/>
  <c r="V74" i="35"/>
  <c r="V72" i="35"/>
  <c r="V29" i="35"/>
  <c r="V17" i="35"/>
  <c r="V71" i="35"/>
  <c r="V45" i="35"/>
  <c r="V44" i="35"/>
  <c r="V4" i="35"/>
  <c r="V55" i="35"/>
  <c r="V38" i="35"/>
  <c r="V27" i="35"/>
  <c r="V56" i="35"/>
  <c r="V32" i="35"/>
  <c r="V46" i="35"/>
  <c r="V31" i="35"/>
  <c r="V66" i="35"/>
  <c r="V9" i="35"/>
  <c r="V13" i="35"/>
  <c r="V64" i="35"/>
  <c r="V18" i="35"/>
  <c r="V23" i="35"/>
  <c r="V41" i="35"/>
  <c r="V19" i="35"/>
  <c r="V58" i="35"/>
  <c r="V36" i="35"/>
  <c r="V15" i="35"/>
  <c r="V68" i="35"/>
  <c r="V62" i="35"/>
  <c r="V11" i="35"/>
  <c r="V8" i="35"/>
  <c r="V63" i="35"/>
  <c r="V57" i="35"/>
  <c r="V49" i="35"/>
  <c r="V61" i="35"/>
  <c r="V20" i="35"/>
  <c r="V51" i="35"/>
  <c r="V54" i="35"/>
  <c r="V70" i="35"/>
  <c r="V69" i="35"/>
  <c r="V47" i="35"/>
  <c r="V24" i="35"/>
  <c r="V7" i="35"/>
  <c r="V35" i="35"/>
  <c r="AM5" i="35"/>
  <c r="AM14" i="35"/>
  <c r="AM6" i="35"/>
  <c r="AM11" i="35"/>
  <c r="AM8" i="35"/>
  <c r="AM7" i="35"/>
  <c r="AM73" i="35"/>
  <c r="AM68" i="35"/>
  <c r="AM54" i="35"/>
  <c r="AM29" i="35"/>
  <c r="AM46" i="35"/>
  <c r="AM28" i="35"/>
  <c r="AM67" i="35"/>
  <c r="AM63" i="35"/>
  <c r="AM52" i="35"/>
  <c r="AM66" i="35"/>
  <c r="AM60" i="35"/>
  <c r="AM22" i="35"/>
  <c r="AM61" i="35"/>
  <c r="AM43" i="35"/>
  <c r="AM48" i="35"/>
  <c r="AM32" i="35"/>
  <c r="AM38" i="35"/>
  <c r="AM18" i="35"/>
  <c r="AM49" i="35"/>
  <c r="AM65" i="35"/>
  <c r="AM34" i="35"/>
  <c r="AM47" i="35"/>
  <c r="AM35" i="35"/>
  <c r="AM40" i="35"/>
  <c r="AM55" i="35"/>
  <c r="AM51" i="35"/>
  <c r="AM53" i="35"/>
  <c r="AM42" i="35"/>
  <c r="AM72" i="35"/>
  <c r="AM77" i="35"/>
  <c r="AM27" i="35"/>
  <c r="AM24" i="35"/>
  <c r="AM74" i="35"/>
  <c r="AM37" i="35"/>
  <c r="AM20" i="35"/>
  <c r="AM10" i="35"/>
  <c r="AM57" i="35"/>
  <c r="AM25" i="35"/>
  <c r="AM75" i="35"/>
  <c r="AM15" i="35"/>
  <c r="AM56" i="35"/>
  <c r="AM41" i="35"/>
  <c r="AM36" i="35"/>
  <c r="AM58" i="35"/>
  <c r="AM21" i="35"/>
  <c r="AM23" i="35"/>
  <c r="AM70" i="35"/>
  <c r="AM39" i="35"/>
  <c r="AM64" i="35"/>
  <c r="AM50" i="35"/>
  <c r="AM76" i="35"/>
  <c r="AM30" i="35"/>
  <c r="AM44" i="35"/>
  <c r="AM71" i="35"/>
  <c r="AM62" i="35"/>
  <c r="AM17" i="35"/>
  <c r="AM12" i="35"/>
  <c r="AM45" i="35"/>
  <c r="AM19" i="35"/>
  <c r="AM2" i="35"/>
  <c r="AM69" i="35"/>
  <c r="AM26" i="35"/>
  <c r="AM4" i="35"/>
  <c r="AM16" i="35"/>
  <c r="AM33" i="35"/>
  <c r="AM3" i="35"/>
  <c r="AM31" i="35"/>
  <c r="AM59" i="35"/>
  <c r="AM13" i="35"/>
  <c r="AM9" i="35"/>
  <c r="AK7" i="35"/>
  <c r="AK20" i="35"/>
  <c r="AK23" i="35"/>
  <c r="AK29" i="35"/>
  <c r="AK42" i="35"/>
  <c r="AK2" i="35"/>
  <c r="AK10" i="35"/>
  <c r="AK8" i="35"/>
  <c r="AK24" i="35"/>
  <c r="AK45" i="35"/>
  <c r="AK53" i="35"/>
  <c r="AK40" i="35"/>
  <c r="AK9" i="35"/>
  <c r="AK6" i="35"/>
  <c r="AK76" i="35"/>
  <c r="AK47" i="35"/>
  <c r="AK70" i="35"/>
  <c r="AK5" i="35"/>
  <c r="AK27" i="35"/>
  <c r="AK44" i="35"/>
  <c r="AK54" i="35"/>
  <c r="AK16" i="35"/>
  <c r="AK4" i="35"/>
  <c r="AK48" i="35"/>
  <c r="AK34" i="35"/>
  <c r="AK15" i="35"/>
  <c r="AK3" i="35"/>
  <c r="AK43" i="35"/>
  <c r="AK17" i="35"/>
  <c r="AK64" i="35"/>
  <c r="AK30" i="35"/>
  <c r="AK51" i="35"/>
  <c r="AK22" i="35"/>
  <c r="AK74" i="35"/>
  <c r="AK35" i="35"/>
  <c r="AK18" i="35"/>
  <c r="AK69" i="35"/>
  <c r="AK72" i="35"/>
  <c r="AK39" i="35"/>
  <c r="AK49" i="35"/>
  <c r="AK65" i="35"/>
  <c r="AK60" i="35"/>
  <c r="AK52" i="35"/>
  <c r="AK55" i="35"/>
  <c r="AK75" i="35"/>
  <c r="AK12" i="35"/>
  <c r="AK62" i="35"/>
  <c r="AK58" i="35"/>
  <c r="AK41" i="35"/>
  <c r="AK56" i="35"/>
  <c r="AK25" i="35"/>
  <c r="AK31" i="35"/>
  <c r="AK73" i="35"/>
  <c r="AK46" i="35"/>
  <c r="AK77" i="35"/>
  <c r="AK14" i="35"/>
  <c r="AK36" i="35"/>
  <c r="AK50" i="35"/>
  <c r="AK21" i="35"/>
  <c r="AK19" i="35"/>
  <c r="AK26" i="35"/>
  <c r="AK38" i="35"/>
  <c r="AK61" i="35"/>
  <c r="AK28" i="35"/>
  <c r="AK32" i="35"/>
  <c r="AK63" i="35"/>
  <c r="AK33" i="35"/>
  <c r="AK13" i="35"/>
  <c r="AK67" i="35"/>
  <c r="AK68" i="35"/>
  <c r="AK57" i="35"/>
  <c r="AK37" i="35"/>
  <c r="AK59" i="35"/>
  <c r="AK71" i="35"/>
  <c r="AK11" i="35"/>
  <c r="AK66" i="35"/>
  <c r="AF14" i="35"/>
  <c r="AF8" i="35"/>
  <c r="AF28" i="35"/>
  <c r="AF7" i="35"/>
  <c r="AF22" i="35"/>
  <c r="AF16" i="35"/>
  <c r="AF48" i="35"/>
  <c r="AF20" i="35"/>
  <c r="AF13" i="35"/>
  <c r="AF12" i="35"/>
  <c r="AF11" i="35"/>
  <c r="AF10" i="35"/>
  <c r="AF72" i="35"/>
  <c r="AF40" i="35"/>
  <c r="AF19" i="35"/>
  <c r="AF26" i="35"/>
  <c r="AF3" i="35"/>
  <c r="AF66" i="35"/>
  <c r="AF34" i="35"/>
  <c r="AF35" i="35"/>
  <c r="AF21" i="35"/>
  <c r="AF33" i="35"/>
  <c r="AF77" i="35"/>
  <c r="AF70" i="35"/>
  <c r="AF58" i="35"/>
  <c r="AF55" i="35"/>
  <c r="AF15" i="35"/>
  <c r="AF24" i="35"/>
  <c r="AF65" i="35"/>
  <c r="AF53" i="35"/>
  <c r="AF46" i="35"/>
  <c r="AF37" i="35"/>
  <c r="AF36" i="35"/>
  <c r="AF25" i="35"/>
  <c r="AF64" i="35"/>
  <c r="AF56" i="35"/>
  <c r="AF62" i="35"/>
  <c r="AF47" i="35"/>
  <c r="AF45" i="35"/>
  <c r="AF29" i="35"/>
  <c r="AF71" i="35"/>
  <c r="AF54" i="35"/>
  <c r="AF43" i="35"/>
  <c r="AF61" i="35"/>
  <c r="AF59" i="35"/>
  <c r="AF73" i="35"/>
  <c r="AF52" i="35"/>
  <c r="AF6" i="35"/>
  <c r="AF67" i="35"/>
  <c r="AF32" i="35"/>
  <c r="AF76" i="35"/>
  <c r="AF60" i="35"/>
  <c r="AF5" i="35"/>
  <c r="AF75" i="35"/>
  <c r="AF51" i="35"/>
  <c r="AF4" i="35"/>
  <c r="AF57" i="35"/>
  <c r="AF2" i="35"/>
  <c r="AF18" i="35"/>
  <c r="AF38" i="35"/>
  <c r="AF31" i="35"/>
  <c r="AF69" i="35"/>
  <c r="AF50" i="35"/>
  <c r="AF63" i="35"/>
  <c r="AF74" i="35"/>
  <c r="AF41" i="35"/>
  <c r="AF49" i="35"/>
  <c r="AF27" i="35"/>
  <c r="AF23" i="35"/>
  <c r="AF17" i="35"/>
  <c r="AF30" i="35"/>
  <c r="AF42" i="35"/>
  <c r="AF9" i="35"/>
  <c r="AF44" i="35"/>
  <c r="AF39" i="35"/>
  <c r="AF68" i="35"/>
  <c r="U41" i="35"/>
  <c r="U17" i="35"/>
  <c r="U9" i="35"/>
  <c r="U60" i="35"/>
  <c r="U10" i="35"/>
  <c r="U4" i="35"/>
  <c r="U3" i="35"/>
  <c r="U13" i="35"/>
  <c r="U2" i="35"/>
  <c r="U20" i="35"/>
  <c r="U7" i="35"/>
  <c r="U5" i="35"/>
  <c r="U16" i="35"/>
  <c r="U6" i="35"/>
  <c r="U71" i="35"/>
  <c r="U33" i="35"/>
  <c r="U19" i="35"/>
  <c r="U36" i="35"/>
  <c r="U14" i="35"/>
  <c r="U61" i="35"/>
  <c r="U62" i="35"/>
  <c r="U15" i="35"/>
  <c r="U21" i="35"/>
  <c r="U35" i="35"/>
  <c r="U54" i="35"/>
  <c r="U66" i="35"/>
  <c r="U11" i="35"/>
  <c r="U34" i="35"/>
  <c r="U26" i="35"/>
  <c r="U55" i="35"/>
  <c r="U72" i="35"/>
  <c r="U51" i="35"/>
  <c r="U59" i="35"/>
  <c r="U18" i="35"/>
  <c r="U58" i="35"/>
  <c r="U50" i="35"/>
  <c r="U31" i="35"/>
  <c r="U22" i="35"/>
  <c r="U52" i="35"/>
  <c r="U65" i="35"/>
  <c r="U30" i="35"/>
  <c r="U12" i="35"/>
  <c r="U47" i="35"/>
  <c r="U73" i="35"/>
  <c r="U28" i="35"/>
  <c r="U56" i="35"/>
  <c r="U37" i="35"/>
  <c r="U40" i="35"/>
  <c r="U43" i="35"/>
  <c r="U57" i="35"/>
  <c r="U39" i="35"/>
  <c r="U53" i="35"/>
  <c r="U77" i="35"/>
  <c r="U44" i="35"/>
  <c r="U27" i="35"/>
  <c r="U42" i="35"/>
  <c r="U63" i="35"/>
  <c r="U49" i="35"/>
  <c r="U76" i="35"/>
  <c r="U23" i="35"/>
  <c r="U70" i="35"/>
  <c r="U64" i="35"/>
  <c r="U45" i="35"/>
  <c r="U32" i="35"/>
  <c r="U24" i="35"/>
  <c r="U75" i="35"/>
  <c r="U38" i="35"/>
  <c r="U46" i="35"/>
  <c r="U69" i="35"/>
  <c r="U8" i="35"/>
  <c r="U74" i="35"/>
  <c r="U48" i="35"/>
  <c r="U25" i="35"/>
  <c r="U67" i="35"/>
  <c r="U29" i="35"/>
  <c r="U68" i="35"/>
  <c r="AH66" i="35"/>
  <c r="AH8" i="35"/>
  <c r="AH19" i="35"/>
  <c r="AH7" i="35"/>
  <c r="AH28" i="35"/>
  <c r="AH15" i="35"/>
  <c r="AH5" i="35"/>
  <c r="AH20" i="35"/>
  <c r="AH23" i="35"/>
  <c r="AH9" i="35"/>
  <c r="AH12" i="35"/>
  <c r="AH4" i="35"/>
  <c r="AH34" i="35"/>
  <c r="AH27" i="35"/>
  <c r="AH13" i="35"/>
  <c r="AH3" i="35"/>
  <c r="AH11" i="35"/>
  <c r="AH24" i="35"/>
  <c r="AH58" i="35"/>
  <c r="AH55" i="35"/>
  <c r="AH72" i="35"/>
  <c r="AH22" i="35"/>
  <c r="AH21" i="35"/>
  <c r="AH74" i="35"/>
  <c r="AH63" i="35"/>
  <c r="AH75" i="35"/>
  <c r="AH46" i="35"/>
  <c r="AH49" i="35"/>
  <c r="AH18" i="35"/>
  <c r="AH61" i="35"/>
  <c r="AH32" i="35"/>
  <c r="AH76" i="35"/>
  <c r="AH56" i="35"/>
  <c r="AH40" i="35"/>
  <c r="AH6" i="35"/>
  <c r="AH14" i="35"/>
  <c r="AH43" i="35"/>
  <c r="AH62" i="35"/>
  <c r="AH69" i="35"/>
  <c r="AH37" i="35"/>
  <c r="AH73" i="35"/>
  <c r="AH60" i="35"/>
  <c r="AH26" i="35"/>
  <c r="AH71" i="35"/>
  <c r="AH29" i="35"/>
  <c r="AH67" i="35"/>
  <c r="AH53" i="35"/>
  <c r="AH31" i="35"/>
  <c r="AH77" i="35"/>
  <c r="AH38" i="35"/>
  <c r="AH30" i="35"/>
  <c r="AH51" i="35"/>
  <c r="AH2" i="35"/>
  <c r="AH64" i="35"/>
  <c r="AH48" i="35"/>
  <c r="AH65" i="35"/>
  <c r="AH44" i="35"/>
  <c r="AH17" i="35"/>
  <c r="AH25" i="35"/>
  <c r="AH39" i="35"/>
  <c r="AH16" i="35"/>
  <c r="AH36" i="35"/>
  <c r="AH45" i="35"/>
  <c r="AH35" i="35"/>
  <c r="AH70" i="35"/>
  <c r="AH68" i="35"/>
  <c r="AH42" i="35"/>
  <c r="AH47" i="35"/>
  <c r="AH59" i="35"/>
  <c r="AH10" i="35"/>
  <c r="AH54" i="35"/>
  <c r="AH57" i="35"/>
  <c r="AH33" i="35"/>
  <c r="AH41" i="35"/>
  <c r="AH50" i="35"/>
  <c r="AH52" i="35"/>
  <c r="Q13" i="35"/>
  <c r="Q10" i="35"/>
  <c r="Q2" i="35"/>
  <c r="Q71" i="35"/>
  <c r="Q53" i="35"/>
  <c r="Q62" i="35"/>
  <c r="Q47" i="35"/>
  <c r="Q38" i="35"/>
  <c r="Q76" i="35"/>
  <c r="Q48" i="35"/>
  <c r="Q55" i="35"/>
  <c r="Q39" i="35"/>
  <c r="Q30" i="35"/>
  <c r="Q74" i="35"/>
  <c r="Q42" i="35"/>
  <c r="Q56" i="35"/>
  <c r="Q36" i="35"/>
  <c r="Q37" i="35"/>
  <c r="Q50" i="35"/>
  <c r="Q44" i="35"/>
  <c r="Q75" i="35"/>
  <c r="Q32" i="35"/>
  <c r="Q7" i="35"/>
  <c r="Q68" i="35"/>
  <c r="Q58" i="35"/>
  <c r="Q45" i="35"/>
  <c r="Q59" i="35"/>
  <c r="Q40" i="35"/>
  <c r="Q17" i="35"/>
  <c r="Q66" i="35"/>
  <c r="Q57" i="35"/>
  <c r="Q20" i="35"/>
  <c r="Q8" i="35"/>
  <c r="Q60" i="35"/>
  <c r="Q67" i="35"/>
  <c r="Q70" i="35"/>
  <c r="Q34" i="35"/>
  <c r="Q6" i="35"/>
  <c r="Q4" i="35"/>
  <c r="Q54" i="35"/>
  <c r="Q69" i="35"/>
  <c r="Q3" i="35"/>
  <c r="Q22" i="35"/>
  <c r="Q77" i="35"/>
  <c r="Q63" i="35"/>
  <c r="Q12" i="35"/>
  <c r="Q61" i="35"/>
  <c r="Q64" i="35"/>
  <c r="Q26" i="35"/>
  <c r="Q5" i="35"/>
  <c r="Q33" i="35"/>
  <c r="Q31" i="35"/>
  <c r="Q21" i="35"/>
  <c r="Q49" i="35"/>
  <c r="Q23" i="35"/>
  <c r="Q9" i="35"/>
  <c r="Q19" i="35"/>
  <c r="Q43" i="35"/>
  <c r="Q27" i="35"/>
  <c r="Q73" i="35"/>
  <c r="Q28" i="35"/>
  <c r="Q24" i="35"/>
  <c r="Q65" i="35"/>
  <c r="Q16" i="35"/>
  <c r="Q15" i="35"/>
  <c r="Q52" i="35"/>
  <c r="Q72" i="35"/>
  <c r="Q11" i="35"/>
  <c r="Q18" i="35"/>
  <c r="Q51" i="35"/>
  <c r="Q46" i="35"/>
  <c r="Q25" i="35"/>
  <c r="Q41" i="35"/>
  <c r="Q14" i="35"/>
  <c r="Q35" i="35"/>
  <c r="Q29" i="35"/>
  <c r="AN5" i="35"/>
  <c r="AN26" i="35"/>
  <c r="AN3" i="35"/>
  <c r="AN14" i="35"/>
  <c r="AN6" i="35"/>
  <c r="AN21" i="35"/>
  <c r="AN73" i="35"/>
  <c r="AN43" i="35"/>
  <c r="AN66" i="35"/>
  <c r="AN24" i="35"/>
  <c r="AN8" i="35"/>
  <c r="AN10" i="35"/>
  <c r="AN13" i="35"/>
  <c r="AN41" i="35"/>
  <c r="AN67" i="35"/>
  <c r="AN57" i="35"/>
  <c r="AN58" i="35"/>
  <c r="AN50" i="35"/>
  <c r="AN48" i="35"/>
  <c r="AN9" i="35"/>
  <c r="AN61" i="35"/>
  <c r="AN49" i="35"/>
  <c r="AN39" i="35"/>
  <c r="AN44" i="35"/>
  <c r="AN2" i="35"/>
  <c r="AN37" i="35"/>
  <c r="AN63" i="35"/>
  <c r="AN30" i="35"/>
  <c r="AN15" i="35"/>
  <c r="AN18" i="35"/>
  <c r="AN32" i="35"/>
  <c r="AN7" i="35"/>
  <c r="AN31" i="35"/>
  <c r="AN19" i="35"/>
  <c r="AN60" i="35"/>
  <c r="AN29" i="35"/>
  <c r="AN12" i="35"/>
  <c r="AN55" i="35"/>
  <c r="AN75" i="35"/>
  <c r="AN11" i="35"/>
  <c r="AN71" i="35"/>
  <c r="AN42" i="35"/>
  <c r="AN17" i="35"/>
  <c r="AN70" i="35"/>
  <c r="AN64" i="35"/>
  <c r="AN34" i="35"/>
  <c r="AN74" i="35"/>
  <c r="AN46" i="35"/>
  <c r="AN62" i="35"/>
  <c r="AN20" i="35"/>
  <c r="AN38" i="35"/>
  <c r="AN51" i="35"/>
  <c r="AN68" i="35"/>
  <c r="AN28" i="35"/>
  <c r="AN27" i="35"/>
  <c r="AN56" i="35"/>
  <c r="AN23" i="35"/>
  <c r="AN36" i="35"/>
  <c r="AN22" i="35"/>
  <c r="AN52" i="35"/>
  <c r="AN16" i="35"/>
  <c r="AN65" i="35"/>
  <c r="AN59" i="35"/>
  <c r="AN53" i="35"/>
  <c r="AN47" i="35"/>
  <c r="AN45" i="35"/>
  <c r="AN69" i="35"/>
  <c r="AN25" i="35"/>
  <c r="AN4" i="35"/>
  <c r="AN77" i="35"/>
  <c r="AN72" i="35"/>
  <c r="AN40" i="35"/>
  <c r="AN33" i="35"/>
  <c r="AN76" i="35"/>
  <c r="AN35" i="35"/>
  <c r="AN54" i="35"/>
  <c r="R10" i="35"/>
  <c r="R39" i="35"/>
  <c r="R77" i="35"/>
  <c r="R71" i="35"/>
  <c r="R47" i="35"/>
  <c r="R57" i="35"/>
  <c r="R19" i="35"/>
  <c r="R36" i="35"/>
  <c r="R76" i="35"/>
  <c r="R53" i="35"/>
  <c r="R45" i="35"/>
  <c r="R55" i="35"/>
  <c r="R13" i="35"/>
  <c r="R14" i="35"/>
  <c r="R70" i="35"/>
  <c r="R48" i="35"/>
  <c r="R74" i="35"/>
  <c r="R43" i="35"/>
  <c r="R37" i="35"/>
  <c r="R75" i="35"/>
  <c r="R46" i="35"/>
  <c r="R58" i="35"/>
  <c r="R38" i="35"/>
  <c r="R8" i="35"/>
  <c r="R11" i="35"/>
  <c r="R42" i="35"/>
  <c r="R24" i="35"/>
  <c r="R25" i="35"/>
  <c r="R27" i="35"/>
  <c r="R63" i="35"/>
  <c r="R72" i="35"/>
  <c r="R35" i="35"/>
  <c r="R20" i="35"/>
  <c r="R7" i="35"/>
  <c r="R64" i="35"/>
  <c r="R41" i="35"/>
  <c r="R26" i="35"/>
  <c r="R9" i="35"/>
  <c r="R69" i="35"/>
  <c r="R56" i="35"/>
  <c r="R18" i="35"/>
  <c r="R6" i="35"/>
  <c r="R60" i="35"/>
  <c r="R65" i="35"/>
  <c r="R32" i="35"/>
  <c r="R52" i="35"/>
  <c r="R21" i="35"/>
  <c r="R51" i="35"/>
  <c r="R44" i="35"/>
  <c r="R2" i="35"/>
  <c r="R62" i="35"/>
  <c r="R3" i="35"/>
  <c r="R73" i="35"/>
  <c r="R12" i="35"/>
  <c r="R17" i="35"/>
  <c r="R33" i="35"/>
  <c r="R67" i="35"/>
  <c r="R49" i="35"/>
  <c r="R68" i="35"/>
  <c r="R59" i="35"/>
  <c r="R66" i="35"/>
  <c r="R31" i="35"/>
  <c r="R30" i="35"/>
  <c r="R34" i="35"/>
  <c r="R29" i="35"/>
  <c r="R50" i="35"/>
  <c r="R54" i="35"/>
  <c r="R28" i="35"/>
  <c r="R16" i="35"/>
  <c r="R15" i="35"/>
  <c r="R23" i="35"/>
  <c r="R22" i="35"/>
  <c r="R40" i="35"/>
  <c r="R5" i="35"/>
  <c r="R61" i="35"/>
  <c r="R4" i="35"/>
  <c r="Y24" i="35"/>
  <c r="Y12" i="35"/>
  <c r="Y11" i="35"/>
  <c r="Y4" i="35"/>
  <c r="Y34" i="35"/>
  <c r="Y13" i="35"/>
  <c r="Y3" i="35"/>
  <c r="Y18" i="35"/>
  <c r="Y49" i="35"/>
  <c r="Y8" i="35"/>
  <c r="Y2" i="35"/>
  <c r="Y33" i="35"/>
  <c r="Y19" i="35"/>
  <c r="Y15" i="35"/>
  <c r="Y7" i="35"/>
  <c r="Y20" i="35"/>
  <c r="Y32" i="35"/>
  <c r="Y6" i="35"/>
  <c r="Y73" i="35"/>
  <c r="Y51" i="35"/>
  <c r="Y53" i="35"/>
  <c r="Y58" i="35"/>
  <c r="Y43" i="35"/>
  <c r="Y60" i="35"/>
  <c r="Y67" i="35"/>
  <c r="Y52" i="35"/>
  <c r="Y74" i="35"/>
  <c r="Y77" i="35"/>
  <c r="Y54" i="35"/>
  <c r="Y38" i="35"/>
  <c r="Y45" i="35"/>
  <c r="Y65" i="35"/>
  <c r="Y35" i="35"/>
  <c r="Y64" i="35"/>
  <c r="Y41" i="35"/>
  <c r="Y75" i="35"/>
  <c r="Y59" i="35"/>
  <c r="Y76" i="35"/>
  <c r="Y23" i="35"/>
  <c r="Y69" i="35"/>
  <c r="Y28" i="35"/>
  <c r="Y68" i="35"/>
  <c r="Y37" i="35"/>
  <c r="Y48" i="35"/>
  <c r="Y71" i="35"/>
  <c r="Y39" i="35"/>
  <c r="Y5" i="35"/>
  <c r="Y57" i="35"/>
  <c r="Y36" i="35"/>
  <c r="Y22" i="35"/>
  <c r="Y16" i="35"/>
  <c r="Y72" i="35"/>
  <c r="Y44" i="35"/>
  <c r="Y25" i="35"/>
  <c r="Y63" i="35"/>
  <c r="Y31" i="35"/>
  <c r="Y30" i="35"/>
  <c r="Y40" i="35"/>
  <c r="Y29" i="35"/>
  <c r="Y46" i="35"/>
  <c r="Y66" i="35"/>
  <c r="Y27" i="35"/>
  <c r="Y42" i="35"/>
  <c r="Y17" i="35"/>
  <c r="Y14" i="35"/>
  <c r="Y9" i="35"/>
  <c r="Y50" i="35"/>
  <c r="Y70" i="35"/>
  <c r="Y26" i="35"/>
  <c r="Y61" i="35"/>
  <c r="Y21" i="35"/>
  <c r="Y10" i="35"/>
  <c r="Y62" i="35"/>
  <c r="Y56" i="35"/>
  <c r="Y55" i="35"/>
  <c r="Y47" i="35"/>
  <c r="AL50" i="35"/>
  <c r="AL6" i="35"/>
  <c r="AL15" i="35"/>
  <c r="AL22" i="35"/>
  <c r="AL19" i="35"/>
  <c r="AL5" i="35"/>
  <c r="AL40" i="35"/>
  <c r="AL20" i="35"/>
  <c r="AL23" i="35"/>
  <c r="AL16" i="35"/>
  <c r="AL4" i="35"/>
  <c r="AL58" i="35"/>
  <c r="AL2" i="35"/>
  <c r="AL46" i="35"/>
  <c r="AL17" i="35"/>
  <c r="AL12" i="35"/>
  <c r="AL18" i="35"/>
  <c r="AL9" i="35"/>
  <c r="AL7" i="35"/>
  <c r="AL41" i="35"/>
  <c r="AL8" i="35"/>
  <c r="AL38" i="35"/>
  <c r="AL11" i="35"/>
  <c r="AL13" i="35"/>
  <c r="AL3" i="35"/>
  <c r="AL62" i="35"/>
  <c r="AL44" i="35"/>
  <c r="AL25" i="35"/>
  <c r="AL67" i="35"/>
  <c r="AL66" i="35"/>
  <c r="AL36" i="35"/>
  <c r="AL30" i="35"/>
  <c r="AL64" i="35"/>
  <c r="AL60" i="35"/>
  <c r="AL63" i="35"/>
  <c r="AL29" i="35"/>
  <c r="AL27" i="35"/>
  <c r="AL73" i="35"/>
  <c r="AL49" i="35"/>
  <c r="AL45" i="35"/>
  <c r="AL47" i="35"/>
  <c r="AL59" i="35"/>
  <c r="AL72" i="35"/>
  <c r="AL53" i="35"/>
  <c r="AL35" i="35"/>
  <c r="AL77" i="35"/>
  <c r="AL26" i="35"/>
  <c r="AL71" i="35"/>
  <c r="AL21" i="35"/>
  <c r="AL51" i="35"/>
  <c r="AL76" i="35"/>
  <c r="AL33" i="35"/>
  <c r="AL57" i="35"/>
  <c r="AL70" i="35"/>
  <c r="AL28" i="35"/>
  <c r="AL24" i="35"/>
  <c r="AL54" i="35"/>
  <c r="AL52" i="35"/>
  <c r="AL42" i="35"/>
  <c r="AL37" i="35"/>
  <c r="AL43" i="35"/>
  <c r="AL56" i="35"/>
  <c r="AL61" i="35"/>
  <c r="AL14" i="35"/>
  <c r="AL10" i="35"/>
  <c r="AL74" i="35"/>
  <c r="AL32" i="35"/>
  <c r="AL75" i="35"/>
  <c r="AL69" i="35"/>
  <c r="AL39" i="35"/>
  <c r="AL31" i="35"/>
  <c r="AL55" i="35"/>
  <c r="AL68" i="35"/>
  <c r="AL65" i="35"/>
  <c r="AL48" i="35"/>
  <c r="AL34" i="35"/>
  <c r="O45" i="35"/>
  <c r="O5" i="35"/>
  <c r="O24" i="35"/>
  <c r="O4" i="35"/>
  <c r="O48" i="35"/>
  <c r="O11" i="35"/>
  <c r="O28" i="35"/>
  <c r="O16" i="35"/>
  <c r="O19" i="35"/>
  <c r="O8" i="35"/>
  <c r="O10" i="35"/>
  <c r="O26" i="35"/>
  <c r="O9" i="35"/>
  <c r="O20" i="35"/>
  <c r="O3" i="35"/>
  <c r="O47" i="35"/>
  <c r="O30" i="35"/>
  <c r="O15" i="35"/>
  <c r="O12" i="35"/>
  <c r="O6" i="35"/>
  <c r="O59" i="35"/>
  <c r="O2" i="35"/>
  <c r="O39" i="35"/>
  <c r="O23" i="35"/>
  <c r="O76" i="35"/>
  <c r="O55" i="35"/>
  <c r="O65" i="35"/>
  <c r="O54" i="35"/>
  <c r="O75" i="35"/>
  <c r="O70" i="35"/>
  <c r="O32" i="35"/>
  <c r="O72" i="35"/>
  <c r="O31" i="35"/>
  <c r="O42" i="35"/>
  <c r="O46" i="35"/>
  <c r="O60" i="35"/>
  <c r="O40" i="35"/>
  <c r="O68" i="35"/>
  <c r="O74" i="35"/>
  <c r="O37" i="35"/>
  <c r="O43" i="35"/>
  <c r="O25" i="35"/>
  <c r="O7" i="35"/>
  <c r="O77" i="35"/>
  <c r="O21" i="35"/>
  <c r="O63" i="35"/>
  <c r="O36" i="35"/>
  <c r="O73" i="35"/>
  <c r="O58" i="35"/>
  <c r="O17" i="35"/>
  <c r="O14" i="35"/>
  <c r="O67" i="35"/>
  <c r="O53" i="35"/>
  <c r="O13" i="35"/>
  <c r="O22" i="35"/>
  <c r="O61" i="35"/>
  <c r="O69" i="35"/>
  <c r="O50" i="35"/>
  <c r="O27" i="35"/>
  <c r="O41" i="35"/>
  <c r="O56" i="35"/>
  <c r="O38" i="35"/>
  <c r="O35" i="35"/>
  <c r="O71" i="35"/>
  <c r="O64" i="35"/>
  <c r="O49" i="35"/>
  <c r="O18" i="35"/>
  <c r="O57" i="35"/>
  <c r="O66" i="35"/>
  <c r="O51" i="35"/>
  <c r="O52" i="35"/>
  <c r="O29" i="35"/>
  <c r="O44" i="35"/>
  <c r="O62" i="35"/>
  <c r="O33" i="35"/>
  <c r="O34" i="35"/>
  <c r="AD2" i="35"/>
  <c r="AD14" i="35"/>
  <c r="AD6" i="35"/>
  <c r="AD5" i="35"/>
  <c r="AD4" i="35"/>
  <c r="AD3" i="35"/>
  <c r="AD66" i="35"/>
  <c r="AD52" i="35"/>
  <c r="AD40" i="35"/>
  <c r="AD38" i="35"/>
  <c r="AD71" i="35"/>
  <c r="AD8" i="35"/>
  <c r="AD60" i="35"/>
  <c r="AD51" i="35"/>
  <c r="AD34" i="35"/>
  <c r="AD58" i="35"/>
  <c r="AD18" i="35"/>
  <c r="AD7" i="35"/>
  <c r="AD77" i="35"/>
  <c r="AD48" i="35"/>
  <c r="AD56" i="35"/>
  <c r="AD57" i="35"/>
  <c r="AD32" i="35"/>
  <c r="AD43" i="35"/>
  <c r="AD70" i="35"/>
  <c r="AD59" i="35"/>
  <c r="AD55" i="35"/>
  <c r="AD37" i="35"/>
  <c r="AD36" i="35"/>
  <c r="AD9" i="35"/>
  <c r="AD76" i="35"/>
  <c r="AD54" i="35"/>
  <c r="AD46" i="35"/>
  <c r="AD61" i="35"/>
  <c r="AD64" i="35"/>
  <c r="AD49" i="35"/>
  <c r="AD26" i="35"/>
  <c r="AD31" i="35"/>
  <c r="AD73" i="35"/>
  <c r="AD68" i="35"/>
  <c r="AD47" i="35"/>
  <c r="AD23" i="35"/>
  <c r="AD67" i="35"/>
  <c r="AD63" i="35"/>
  <c r="AD45" i="35"/>
  <c r="AD33" i="35"/>
  <c r="AD13" i="35"/>
  <c r="AD72" i="35"/>
  <c r="AD28" i="35"/>
  <c r="AD11" i="35"/>
  <c r="AD35" i="35"/>
  <c r="AD10" i="35"/>
  <c r="AD25" i="35"/>
  <c r="AD24" i="35"/>
  <c r="AD16" i="35"/>
  <c r="AD15" i="35"/>
  <c r="AD12" i="35"/>
  <c r="AD17" i="35"/>
  <c r="AD20" i="35"/>
  <c r="AD75" i="35"/>
  <c r="AD69" i="35"/>
  <c r="AD53" i="35"/>
  <c r="AD30" i="35"/>
  <c r="AD74" i="35"/>
  <c r="AD65" i="35"/>
  <c r="AD27" i="35"/>
  <c r="AD22" i="35"/>
  <c r="AD39" i="35"/>
  <c r="AD29" i="35"/>
  <c r="AD21" i="35"/>
  <c r="AD50" i="35"/>
  <c r="AD62" i="35"/>
  <c r="AD41" i="35"/>
  <c r="AD19" i="35"/>
  <c r="AD42" i="35"/>
  <c r="AD44" i="35"/>
  <c r="M26" i="35"/>
  <c r="M7" i="35"/>
  <c r="M2" i="35"/>
  <c r="M8" i="35"/>
  <c r="M4" i="35"/>
  <c r="M56" i="35"/>
  <c r="M37" i="35"/>
  <c r="M42" i="35"/>
  <c r="M66" i="35"/>
  <c r="M39" i="35"/>
  <c r="M50" i="35"/>
  <c r="M77" i="35"/>
  <c r="M32" i="35"/>
  <c r="M57" i="35"/>
  <c r="M38" i="35"/>
  <c r="M73" i="35"/>
  <c r="M65" i="35"/>
  <c r="M29" i="35"/>
  <c r="M18" i="35"/>
  <c r="M15" i="35"/>
  <c r="M45" i="35"/>
  <c r="M70" i="35"/>
  <c r="M21" i="35"/>
  <c r="M12" i="35"/>
  <c r="M52" i="35"/>
  <c r="M55" i="35"/>
  <c r="M76" i="35"/>
  <c r="M64" i="35"/>
  <c r="M14" i="35"/>
  <c r="M28" i="35"/>
  <c r="M11" i="35"/>
  <c r="M67" i="35"/>
  <c r="M31" i="35"/>
  <c r="M3" i="35"/>
  <c r="M23" i="35"/>
  <c r="M75" i="35"/>
  <c r="M25" i="35"/>
  <c r="M22" i="35"/>
  <c r="M59" i="35"/>
  <c r="M35" i="35"/>
  <c r="M33" i="35"/>
  <c r="M68" i="35"/>
  <c r="M9" i="35"/>
  <c r="M19" i="35"/>
  <c r="M43" i="35"/>
  <c r="M20" i="35"/>
  <c r="M10" i="35"/>
  <c r="M62" i="35"/>
  <c r="M5" i="35"/>
  <c r="M46" i="35"/>
  <c r="M63" i="35"/>
  <c r="M13" i="35"/>
  <c r="M61" i="35"/>
  <c r="M6" i="35"/>
  <c r="M47" i="35"/>
  <c r="M71" i="35"/>
  <c r="M74" i="35"/>
  <c r="M72" i="35"/>
  <c r="M58" i="35"/>
  <c r="M34" i="35"/>
  <c r="M44" i="35"/>
  <c r="M49" i="35"/>
  <c r="M60" i="35"/>
  <c r="M30" i="35"/>
  <c r="M69" i="35"/>
  <c r="M40" i="35"/>
  <c r="M53" i="35"/>
  <c r="M51" i="35"/>
  <c r="M16" i="35"/>
  <c r="M27" i="35"/>
  <c r="M41" i="35"/>
  <c r="M24" i="35"/>
  <c r="M54" i="35"/>
  <c r="M48" i="35"/>
  <c r="M36" i="35"/>
  <c r="M17" i="35"/>
  <c r="Z13" i="35"/>
  <c r="Z10" i="35"/>
  <c r="Z3" i="35"/>
  <c r="Z18" i="35"/>
  <c r="Z9" i="35"/>
  <c r="Z8" i="35"/>
  <c r="Z2" i="35"/>
  <c r="Z15" i="35"/>
  <c r="Z22" i="35"/>
  <c r="Z33" i="35"/>
  <c r="Z19" i="35"/>
  <c r="Z7" i="35"/>
  <c r="Z4" i="35"/>
  <c r="Z11" i="35"/>
  <c r="Z23" i="35"/>
  <c r="Z5" i="35"/>
  <c r="Z6" i="35"/>
  <c r="Z73" i="35"/>
  <c r="Z76" i="35"/>
  <c r="Z57" i="35"/>
  <c r="Z40" i="35"/>
  <c r="Z14" i="35"/>
  <c r="Z72" i="35"/>
  <c r="Z70" i="35"/>
  <c r="Z59" i="35"/>
  <c r="Z28" i="35"/>
  <c r="Z12" i="35"/>
  <c r="Z66" i="35"/>
  <c r="Z55" i="35"/>
  <c r="Z51" i="35"/>
  <c r="Z46" i="35"/>
  <c r="Z26" i="35"/>
  <c r="Z77" i="35"/>
  <c r="Z50" i="35"/>
  <c r="Z30" i="35"/>
  <c r="Z24" i="35"/>
  <c r="Z52" i="35"/>
  <c r="Z63" i="35"/>
  <c r="Z31" i="35"/>
  <c r="Z35" i="35"/>
  <c r="Z44" i="35"/>
  <c r="Z29" i="35"/>
  <c r="Z38" i="35"/>
  <c r="Z37" i="35"/>
  <c r="Z32" i="35"/>
  <c r="Z27" i="35"/>
  <c r="Z74" i="35"/>
  <c r="Z47" i="35"/>
  <c r="Z67" i="35"/>
  <c r="Z34" i="35"/>
  <c r="Z75" i="35"/>
  <c r="Z54" i="35"/>
  <c r="Z69" i="35"/>
  <c r="Z48" i="35"/>
  <c r="Z45" i="35"/>
  <c r="Z16" i="35"/>
  <c r="Z64" i="35"/>
  <c r="Z25" i="35"/>
  <c r="Z21" i="35"/>
  <c r="Z61" i="35"/>
  <c r="Z68" i="35"/>
  <c r="Z62" i="35"/>
  <c r="Z36" i="35"/>
  <c r="Z53" i="35"/>
  <c r="Z49" i="35"/>
  <c r="Z43" i="35"/>
  <c r="Z20" i="35"/>
  <c r="Z71" i="35"/>
  <c r="Z65" i="35"/>
  <c r="Z41" i="35"/>
  <c r="Z60" i="35"/>
  <c r="Z17" i="35"/>
  <c r="Z58" i="35"/>
  <c r="Z42" i="35"/>
  <c r="Z39" i="35"/>
  <c r="Z56" i="35"/>
  <c r="S12" i="35"/>
  <c r="S45" i="35"/>
  <c r="S21" i="35"/>
  <c r="S10" i="35"/>
  <c r="S24" i="35"/>
  <c r="S17" i="35"/>
  <c r="S11" i="35"/>
  <c r="S31" i="35"/>
  <c r="S49" i="35"/>
  <c r="S14" i="35"/>
  <c r="S13" i="35"/>
  <c r="S8" i="35"/>
  <c r="S18" i="35"/>
  <c r="S30" i="35"/>
  <c r="S2" i="35"/>
  <c r="S39" i="35"/>
  <c r="S25" i="35"/>
  <c r="S29" i="35"/>
  <c r="S9" i="35"/>
  <c r="S5" i="35"/>
  <c r="S71" i="35"/>
  <c r="S47" i="35"/>
  <c r="S50" i="35"/>
  <c r="S44" i="35"/>
  <c r="S72" i="35"/>
  <c r="S51" i="35"/>
  <c r="S6" i="35"/>
  <c r="S65" i="35"/>
  <c r="S41" i="35"/>
  <c r="S57" i="35"/>
  <c r="S68" i="35"/>
  <c r="S32" i="35"/>
  <c r="S59" i="35"/>
  <c r="S55" i="35"/>
  <c r="S16" i="35"/>
  <c r="S53" i="35"/>
  <c r="S40" i="35"/>
  <c r="S27" i="35"/>
  <c r="S48" i="35"/>
  <c r="S58" i="35"/>
  <c r="S26" i="35"/>
  <c r="S4" i="35"/>
  <c r="S42" i="35"/>
  <c r="S66" i="35"/>
  <c r="S7" i="35"/>
  <c r="S22" i="35"/>
  <c r="S54" i="35"/>
  <c r="S75" i="35"/>
  <c r="S43" i="35"/>
  <c r="S69" i="35"/>
  <c r="S61" i="35"/>
  <c r="S35" i="35"/>
  <c r="S28" i="35"/>
  <c r="S60" i="35"/>
  <c r="S70" i="35"/>
  <c r="S19" i="35"/>
  <c r="S74" i="35"/>
  <c r="S20" i="35"/>
  <c r="S34" i="35"/>
  <c r="S33" i="35"/>
  <c r="S46" i="35"/>
  <c r="S63" i="35"/>
  <c r="S77" i="35"/>
  <c r="S76" i="35"/>
  <c r="S36" i="35"/>
  <c r="S73" i="35"/>
  <c r="S38" i="35"/>
  <c r="S15" i="35"/>
  <c r="S67" i="35"/>
  <c r="S56" i="35"/>
  <c r="S52" i="35"/>
  <c r="S62" i="35"/>
  <c r="S64" i="35"/>
  <c r="S3" i="35"/>
  <c r="S37" i="35"/>
  <c r="S23" i="35"/>
  <c r="X2" i="35"/>
  <c r="X75" i="35"/>
  <c r="X57" i="35"/>
  <c r="X54" i="35"/>
  <c r="X53" i="35"/>
  <c r="X27" i="35"/>
  <c r="X7" i="35"/>
  <c r="X31" i="35"/>
  <c r="X63" i="35"/>
  <c r="X73" i="35"/>
  <c r="X38" i="35"/>
  <c r="X49" i="35"/>
  <c r="X36" i="35"/>
  <c r="X15" i="35"/>
  <c r="X25" i="35"/>
  <c r="X69" i="35"/>
  <c r="X32" i="35"/>
  <c r="X22" i="35"/>
  <c r="X28" i="35"/>
  <c r="X9" i="35"/>
  <c r="X74" i="35"/>
  <c r="X71" i="35"/>
  <c r="X18" i="35"/>
  <c r="X77" i="35"/>
  <c r="X5" i="35"/>
  <c r="X72" i="35"/>
  <c r="X50" i="35"/>
  <c r="X59" i="35"/>
  <c r="X17" i="35"/>
  <c r="X23" i="35"/>
  <c r="X66" i="35"/>
  <c r="X37" i="35"/>
  <c r="X39" i="35"/>
  <c r="X16" i="35"/>
  <c r="X6" i="35"/>
  <c r="X76" i="35"/>
  <c r="X34" i="35"/>
  <c r="X13" i="35"/>
  <c r="X21" i="35"/>
  <c r="X70" i="35"/>
  <c r="X26" i="35"/>
  <c r="X12" i="35"/>
  <c r="X24" i="35"/>
  <c r="X68" i="35"/>
  <c r="X47" i="35"/>
  <c r="X4" i="35"/>
  <c r="X8" i="35"/>
  <c r="X51" i="35"/>
  <c r="X42" i="35"/>
  <c r="X29" i="35"/>
  <c r="X58" i="35"/>
  <c r="X52" i="35"/>
  <c r="X55" i="35"/>
  <c r="X33" i="35"/>
  <c r="X46" i="35"/>
  <c r="X41" i="35"/>
  <c r="X20" i="35"/>
  <c r="X56" i="35"/>
  <c r="X67" i="35"/>
  <c r="X11" i="35"/>
  <c r="X60" i="35"/>
  <c r="X19" i="35"/>
  <c r="X62" i="35"/>
  <c r="X30" i="35"/>
  <c r="X64" i="35"/>
  <c r="X48" i="35"/>
  <c r="X3" i="35"/>
  <c r="X35" i="35"/>
  <c r="X14" i="35"/>
  <c r="X10" i="35"/>
  <c r="X45" i="35"/>
  <c r="X40" i="35"/>
  <c r="X43" i="35"/>
  <c r="X44" i="35"/>
  <c r="X65" i="35"/>
  <c r="X61" i="35"/>
  <c r="L43" i="35"/>
  <c r="L4" i="35"/>
  <c r="L7" i="35"/>
  <c r="L16" i="35"/>
  <c r="L9" i="35"/>
  <c r="L61" i="35"/>
  <c r="L38" i="35"/>
  <c r="L14" i="35"/>
  <c r="L40" i="35"/>
  <c r="L21" i="35"/>
  <c r="L5" i="35"/>
  <c r="L70" i="35"/>
  <c r="L49" i="35"/>
  <c r="L64" i="35"/>
  <c r="L36" i="35"/>
  <c r="L50" i="35"/>
  <c r="L45" i="35"/>
  <c r="L26" i="35"/>
  <c r="L71" i="35"/>
  <c r="L68" i="35"/>
  <c r="L75" i="35"/>
  <c r="L62" i="35"/>
  <c r="L22" i="35"/>
  <c r="L27" i="35"/>
  <c r="L17" i="35"/>
  <c r="L8" i="35"/>
  <c r="L74" i="35"/>
  <c r="L42" i="35"/>
  <c r="L48" i="35"/>
  <c r="L33" i="35"/>
  <c r="L13" i="35"/>
  <c r="L73" i="35"/>
  <c r="L32" i="35"/>
  <c r="L41" i="35"/>
  <c r="L29" i="35"/>
  <c r="L24" i="35"/>
  <c r="L59" i="35"/>
  <c r="L51" i="35"/>
  <c r="L15" i="35"/>
  <c r="L54" i="35"/>
  <c r="L28" i="35"/>
  <c r="L23" i="35"/>
  <c r="L19" i="35"/>
  <c r="L65" i="35"/>
  <c r="L30" i="35"/>
  <c r="L11" i="35"/>
  <c r="L58" i="35"/>
  <c r="L47" i="35"/>
  <c r="L57" i="35"/>
  <c r="L53" i="35"/>
  <c r="L35" i="35"/>
  <c r="L20" i="35"/>
  <c r="L72" i="35"/>
  <c r="L77" i="35"/>
  <c r="L37" i="35"/>
  <c r="L12" i="35"/>
  <c r="L52" i="35"/>
  <c r="L56" i="35"/>
  <c r="L18" i="35"/>
  <c r="L10" i="35"/>
  <c r="L69" i="35"/>
  <c r="L46" i="35"/>
  <c r="L39" i="35"/>
  <c r="L2" i="35"/>
  <c r="L60" i="35"/>
  <c r="L25" i="35"/>
  <c r="L34" i="35"/>
  <c r="L76" i="35"/>
  <c r="L55" i="35"/>
  <c r="L63" i="35"/>
  <c r="L67" i="35"/>
  <c r="L66" i="35"/>
  <c r="L44" i="35"/>
  <c r="L31" i="35"/>
  <c r="L6" i="35"/>
  <c r="L3" i="35"/>
  <c r="AJ20" i="35"/>
  <c r="AJ2" i="35"/>
  <c r="AJ13" i="35"/>
  <c r="AJ67" i="35"/>
  <c r="AJ38" i="35"/>
  <c r="AJ17" i="35"/>
  <c r="AJ27" i="35"/>
  <c r="AJ63" i="35"/>
  <c r="AJ59" i="35"/>
  <c r="AJ50" i="35"/>
  <c r="AJ64" i="35"/>
  <c r="AJ11" i="35"/>
  <c r="AJ23" i="35"/>
  <c r="AJ15" i="35"/>
  <c r="AJ57" i="35"/>
  <c r="AJ53" i="35"/>
  <c r="AJ47" i="35"/>
  <c r="AJ49" i="35"/>
  <c r="AJ8" i="35"/>
  <c r="AJ12" i="35"/>
  <c r="AJ73" i="35"/>
  <c r="AJ43" i="35"/>
  <c r="AJ18" i="35"/>
  <c r="AJ39" i="35"/>
  <c r="AJ33" i="35"/>
  <c r="AJ6" i="35"/>
  <c r="AJ61" i="35"/>
  <c r="AJ68" i="35"/>
  <c r="AJ14" i="35"/>
  <c r="AJ36" i="35"/>
  <c r="AJ25" i="35"/>
  <c r="AJ76" i="35"/>
  <c r="AJ55" i="35"/>
  <c r="AJ19" i="35"/>
  <c r="AJ9" i="35"/>
  <c r="AJ77" i="35"/>
  <c r="AJ30" i="35"/>
  <c r="AJ42" i="35"/>
  <c r="AJ70" i="35"/>
  <c r="AJ51" i="35"/>
  <c r="AJ24" i="35"/>
  <c r="AJ54" i="35"/>
  <c r="AJ56" i="35"/>
  <c r="AJ41" i="35"/>
  <c r="AJ45" i="35"/>
  <c r="AJ44" i="35"/>
  <c r="AJ16" i="35"/>
  <c r="AJ74" i="35"/>
  <c r="AJ22" i="35"/>
  <c r="AJ4" i="35"/>
  <c r="AJ46" i="35"/>
  <c r="AJ28" i="35"/>
  <c r="AJ32" i="35"/>
  <c r="AJ40" i="35"/>
  <c r="AJ65" i="35"/>
  <c r="AJ52" i="35"/>
  <c r="AJ35" i="35"/>
  <c r="AJ48" i="35"/>
  <c r="AJ21" i="35"/>
  <c r="AJ29" i="35"/>
  <c r="AJ7" i="35"/>
  <c r="AJ37" i="35"/>
  <c r="AJ75" i="35"/>
  <c r="AJ3" i="35"/>
  <c r="AJ66" i="35"/>
  <c r="AJ60" i="35"/>
  <c r="AJ26" i="35"/>
  <c r="AJ10" i="35"/>
  <c r="AJ34" i="35"/>
  <c r="AJ5" i="35"/>
  <c r="AJ69" i="35"/>
  <c r="AJ31" i="35"/>
  <c r="AJ72" i="35"/>
  <c r="AJ62" i="35"/>
  <c r="AJ71" i="35"/>
  <c r="AJ58" i="35"/>
  <c r="N9" i="35"/>
  <c r="N3" i="35"/>
  <c r="N18" i="35"/>
  <c r="N6" i="35"/>
  <c r="N69" i="35"/>
  <c r="N56" i="35"/>
  <c r="N57" i="35"/>
  <c r="N12" i="35"/>
  <c r="N20" i="35"/>
  <c r="N67" i="35"/>
  <c r="N47" i="35"/>
  <c r="N43" i="35"/>
  <c r="N11" i="35"/>
  <c r="N10" i="35"/>
  <c r="N5" i="35"/>
  <c r="N74" i="35"/>
  <c r="N58" i="35"/>
  <c r="N64" i="35"/>
  <c r="N38" i="35"/>
  <c r="N61" i="35"/>
  <c r="N40" i="35"/>
  <c r="N62" i="35"/>
  <c r="N76" i="35"/>
  <c r="N45" i="35"/>
  <c r="N33" i="35"/>
  <c r="N46" i="35"/>
  <c r="N24" i="35"/>
  <c r="N60" i="35"/>
  <c r="N48" i="35"/>
  <c r="N17" i="35"/>
  <c r="N41" i="35"/>
  <c r="N77" i="35"/>
  <c r="N31" i="35"/>
  <c r="N16" i="35"/>
  <c r="N19" i="35"/>
  <c r="N2" i="35"/>
  <c r="N44" i="35"/>
  <c r="N32" i="35"/>
  <c r="N52" i="35"/>
  <c r="N59" i="35"/>
  <c r="N29" i="35"/>
  <c r="N26" i="35"/>
  <c r="N72" i="35"/>
  <c r="N25" i="35"/>
  <c r="N22" i="35"/>
  <c r="N70" i="35"/>
  <c r="N66" i="35"/>
  <c r="N21" i="35"/>
  <c r="N27" i="35"/>
  <c r="N4" i="35"/>
  <c r="N68" i="35"/>
  <c r="N35" i="35"/>
  <c r="N54" i="35"/>
  <c r="N15" i="35"/>
  <c r="N23" i="35"/>
  <c r="N7" i="35"/>
  <c r="N39" i="35"/>
  <c r="N49" i="35"/>
  <c r="N13" i="35"/>
  <c r="N37" i="35"/>
  <c r="N65" i="35"/>
  <c r="N14" i="35"/>
  <c r="N73" i="35"/>
  <c r="N28" i="35"/>
  <c r="N71" i="35"/>
  <c r="N8" i="35"/>
  <c r="N36" i="35"/>
  <c r="N30" i="35"/>
  <c r="N63" i="35"/>
  <c r="N42" i="35"/>
  <c r="N55" i="35"/>
  <c r="N51" i="35"/>
  <c r="N53" i="35"/>
  <c r="N75" i="35"/>
  <c r="N50" i="35"/>
  <c r="N34" i="35"/>
  <c r="AG18" i="35"/>
  <c r="AG6" i="35"/>
  <c r="AG38" i="35"/>
  <c r="AG75" i="35"/>
  <c r="AG46" i="35"/>
  <c r="AG23" i="35"/>
  <c r="AG63" i="35"/>
  <c r="AG20" i="35"/>
  <c r="AG4" i="35"/>
  <c r="AG69" i="35"/>
  <c r="AG71" i="35"/>
  <c r="AG19" i="35"/>
  <c r="AG61" i="35"/>
  <c r="AG13" i="35"/>
  <c r="AG77" i="35"/>
  <c r="AG72" i="35"/>
  <c r="AG15" i="35"/>
  <c r="AG56" i="35"/>
  <c r="AG31" i="35"/>
  <c r="AG5" i="35"/>
  <c r="AG53" i="35"/>
  <c r="AG29" i="35"/>
  <c r="AG35" i="35"/>
  <c r="AG43" i="35"/>
  <c r="AG24" i="35"/>
  <c r="AG2" i="35"/>
  <c r="AG66" i="35"/>
  <c r="AG45" i="35"/>
  <c r="AG48" i="35"/>
  <c r="AG44" i="35"/>
  <c r="AG47" i="35"/>
  <c r="AG51" i="35"/>
  <c r="AG21" i="35"/>
  <c r="AG67" i="35"/>
  <c r="AG11" i="35"/>
  <c r="AG30" i="35"/>
  <c r="AG37" i="35"/>
  <c r="AG59" i="35"/>
  <c r="AG62" i="35"/>
  <c r="AG26" i="35"/>
  <c r="AG22" i="35"/>
  <c r="AG8" i="35"/>
  <c r="AG64" i="35"/>
  <c r="AG27" i="35"/>
  <c r="AG16" i="35"/>
  <c r="AG54" i="35"/>
  <c r="AG25" i="35"/>
  <c r="AG55" i="35"/>
  <c r="AG65" i="35"/>
  <c r="AG73" i="35"/>
  <c r="AG9" i="35"/>
  <c r="AG10" i="35"/>
  <c r="AG50" i="35"/>
  <c r="AG60" i="35"/>
  <c r="AG34" i="35"/>
  <c r="AG7" i="35"/>
  <c r="AG76" i="35"/>
  <c r="AG40" i="35"/>
  <c r="AG70" i="35"/>
  <c r="AG58" i="35"/>
  <c r="AG57" i="35"/>
  <c r="AG28" i="35"/>
  <c r="AG39" i="35"/>
  <c r="AG42" i="35"/>
  <c r="AG68" i="35"/>
  <c r="AG12" i="35"/>
  <c r="AG36" i="35"/>
  <c r="AG17" i="35"/>
  <c r="AG14" i="35"/>
  <c r="AG52" i="35"/>
  <c r="AG32" i="35"/>
  <c r="AG49" i="35"/>
  <c r="AG3" i="35"/>
  <c r="AG41" i="35"/>
  <c r="AG74" i="35"/>
  <c r="AG33" i="35"/>
  <c r="AB6" i="35"/>
  <c r="AB55" i="35"/>
  <c r="AB59" i="35"/>
  <c r="AB51" i="35"/>
  <c r="AB18" i="35"/>
  <c r="AB2" i="35"/>
  <c r="AB56" i="35"/>
  <c r="AB3" i="35"/>
  <c r="AB77" i="35"/>
  <c r="AB50" i="35"/>
  <c r="AB31" i="35"/>
  <c r="AB10" i="35"/>
  <c r="AB40" i="35"/>
  <c r="AB5" i="35"/>
  <c r="AB67" i="35"/>
  <c r="AB66" i="35"/>
  <c r="AB47" i="35"/>
  <c r="AB53" i="35"/>
  <c r="AB61" i="35"/>
  <c r="AB36" i="35"/>
  <c r="AB44" i="35"/>
  <c r="AB8" i="35"/>
  <c r="AB11" i="35"/>
  <c r="AB23" i="35"/>
  <c r="AB76" i="35"/>
  <c r="AB60" i="35"/>
  <c r="AB27" i="35"/>
  <c r="AB74" i="35"/>
  <c r="AB13" i="35"/>
  <c r="AB7" i="35"/>
  <c r="AB16" i="35"/>
  <c r="AB70" i="35"/>
  <c r="AB52" i="35"/>
  <c r="AB14" i="35"/>
  <c r="AB37" i="35"/>
  <c r="AB48" i="35"/>
  <c r="AB25" i="35"/>
  <c r="AB49" i="35"/>
  <c r="AB24" i="35"/>
  <c r="AB15" i="35"/>
  <c r="AB75" i="35"/>
  <c r="AB54" i="35"/>
  <c r="AB4" i="35"/>
  <c r="AB21" i="35"/>
  <c r="AB45" i="35"/>
  <c r="AB38" i="35"/>
  <c r="AB35" i="35"/>
  <c r="AB69" i="35"/>
  <c r="AB39" i="35"/>
  <c r="AB71" i="35"/>
  <c r="AB62" i="35"/>
  <c r="AB65" i="35"/>
  <c r="AB12" i="35"/>
  <c r="AB41" i="35"/>
  <c r="AB19" i="35"/>
  <c r="AB73" i="35"/>
  <c r="AB57" i="35"/>
  <c r="AB26" i="35"/>
  <c r="AB42" i="35"/>
  <c r="AB46" i="35"/>
  <c r="AB32" i="35"/>
  <c r="AB68" i="35"/>
  <c r="AB33" i="35"/>
  <c r="AB29" i="35"/>
  <c r="AB58" i="35"/>
  <c r="AB17" i="35"/>
  <c r="AB64" i="35"/>
  <c r="AB22" i="35"/>
  <c r="AB63" i="35"/>
  <c r="AB28" i="35"/>
  <c r="AB20" i="35"/>
  <c r="AB34" i="35"/>
  <c r="AB9" i="35"/>
  <c r="AB30" i="35"/>
  <c r="AB72" i="35"/>
  <c r="AB43" i="35"/>
  <c r="K19" i="35"/>
  <c r="K37" i="35"/>
  <c r="K5" i="35"/>
  <c r="AO5" i="35" s="1"/>
  <c r="K3" i="35"/>
  <c r="K18" i="35"/>
  <c r="K20" i="35"/>
  <c r="K8" i="35"/>
  <c r="K25" i="35"/>
  <c r="K35" i="35"/>
  <c r="K23" i="35"/>
  <c r="K28" i="35"/>
  <c r="K60" i="35"/>
  <c r="K53" i="35"/>
  <c r="K71" i="35"/>
  <c r="K13" i="35"/>
  <c r="K2" i="35"/>
  <c r="K9" i="35"/>
  <c r="K74" i="35"/>
  <c r="K47" i="35"/>
  <c r="K22" i="35"/>
  <c r="K15" i="35"/>
  <c r="K77" i="35"/>
  <c r="K42" i="35"/>
  <c r="K48" i="35"/>
  <c r="K14" i="35"/>
  <c r="K73" i="35"/>
  <c r="K54" i="35"/>
  <c r="K12" i="35"/>
  <c r="K69" i="35"/>
  <c r="K41" i="35"/>
  <c r="K6" i="35"/>
  <c r="AO6" i="35" s="1"/>
  <c r="K75" i="35"/>
  <c r="K67" i="35"/>
  <c r="K26" i="35"/>
  <c r="K11" i="35"/>
  <c r="K45" i="35"/>
  <c r="K10" i="35"/>
  <c r="K33" i="35"/>
  <c r="K64" i="35"/>
  <c r="K40" i="35"/>
  <c r="K29" i="35"/>
  <c r="K57" i="35"/>
  <c r="K68" i="35"/>
  <c r="K17" i="35"/>
  <c r="K51" i="35"/>
  <c r="K61" i="35"/>
  <c r="AO61" i="35" s="1"/>
  <c r="K16" i="35"/>
  <c r="K4" i="35"/>
  <c r="K50" i="35"/>
  <c r="K36" i="35"/>
  <c r="K46" i="35"/>
  <c r="K72" i="35"/>
  <c r="K52" i="35"/>
  <c r="K56" i="35"/>
  <c r="K70" i="35"/>
  <c r="K32" i="35"/>
  <c r="K7" i="35"/>
  <c r="K66" i="35"/>
  <c r="K31" i="35"/>
  <c r="K58" i="35"/>
  <c r="K43" i="35"/>
  <c r="K44" i="35"/>
  <c r="K34" i="35"/>
  <c r="K30" i="35"/>
  <c r="K39" i="35"/>
  <c r="K65" i="35"/>
  <c r="K38" i="35"/>
  <c r="K62" i="35"/>
  <c r="K59" i="35"/>
  <c r="K55" i="35"/>
  <c r="K49" i="35"/>
  <c r="K27" i="35"/>
  <c r="K24" i="35"/>
  <c r="K63" i="35"/>
  <c r="AO63" i="35" s="1"/>
  <c r="K76" i="35"/>
  <c r="K21" i="35"/>
  <c r="AE9" i="35"/>
  <c r="AE2" i="35"/>
  <c r="AE15" i="35"/>
  <c r="AE50" i="35"/>
  <c r="AE26" i="35"/>
  <c r="AE68" i="35"/>
  <c r="AE18" i="35"/>
  <c r="AE33" i="35"/>
  <c r="AE7" i="35"/>
  <c r="AE37" i="35"/>
  <c r="AE31" i="35"/>
  <c r="AE14" i="35"/>
  <c r="AE8" i="35"/>
  <c r="AE28" i="35"/>
  <c r="AE19" i="35"/>
  <c r="AE36" i="35"/>
  <c r="AE30" i="35"/>
  <c r="AE22" i="35"/>
  <c r="AE6" i="35"/>
  <c r="AE5" i="35"/>
  <c r="AE24" i="35"/>
  <c r="AE11" i="35"/>
  <c r="AE4" i="35"/>
  <c r="AE32" i="35"/>
  <c r="AE13" i="35"/>
  <c r="AE63" i="35"/>
  <c r="AE20" i="35"/>
  <c r="AE35" i="35"/>
  <c r="AE17" i="35"/>
  <c r="AE12" i="35"/>
  <c r="AE21" i="35"/>
  <c r="AE25" i="35"/>
  <c r="AE29" i="35"/>
  <c r="AE10" i="35"/>
  <c r="AE3" i="35"/>
  <c r="AE16" i="35"/>
  <c r="AE39" i="35"/>
  <c r="AE72" i="35"/>
  <c r="AE49" i="35"/>
  <c r="AE56" i="35"/>
  <c r="AE40" i="35"/>
  <c r="AE62" i="35"/>
  <c r="AE44" i="35"/>
  <c r="AE60" i="35"/>
  <c r="AE52" i="35"/>
  <c r="AE27" i="35"/>
  <c r="AE51" i="35"/>
  <c r="AE57" i="35"/>
  <c r="AE65" i="35"/>
  <c r="AE64" i="35"/>
  <c r="AE23" i="35"/>
  <c r="AE76" i="35"/>
  <c r="AE59" i="35"/>
  <c r="AE47" i="35"/>
  <c r="AE55" i="35"/>
  <c r="AE53" i="35"/>
  <c r="AE41" i="35"/>
  <c r="AE54" i="35"/>
  <c r="AE34" i="35"/>
  <c r="AE58" i="35"/>
  <c r="AE46" i="35"/>
  <c r="AE67" i="35"/>
  <c r="AE70" i="35"/>
  <c r="AE45" i="35"/>
  <c r="AE43" i="35"/>
  <c r="AE48" i="35"/>
  <c r="AE42" i="35"/>
  <c r="AE73" i="35"/>
  <c r="AE38" i="35"/>
  <c r="AE77" i="35"/>
  <c r="AE71" i="35"/>
  <c r="AE61" i="35"/>
  <c r="AE75" i="35"/>
  <c r="AE69" i="35"/>
  <c r="AE66" i="35"/>
  <c r="AE74" i="35"/>
  <c r="AC12" i="35"/>
  <c r="AC40" i="35"/>
  <c r="AC11" i="35"/>
  <c r="AC10" i="35"/>
  <c r="AC16" i="35"/>
  <c r="AC58" i="35"/>
  <c r="AC8" i="35"/>
  <c r="AC6" i="35"/>
  <c r="AC26" i="35"/>
  <c r="AC2" i="35"/>
  <c r="AC34" i="35"/>
  <c r="AC19" i="35"/>
  <c r="AC7" i="35"/>
  <c r="AC5" i="35"/>
  <c r="AC31" i="35"/>
  <c r="AC66" i="35"/>
  <c r="AC51" i="35"/>
  <c r="AC55" i="35"/>
  <c r="AC74" i="35"/>
  <c r="AC3" i="35"/>
  <c r="AC22" i="35"/>
  <c r="AC14" i="35"/>
  <c r="AC25" i="35"/>
  <c r="AC4" i="35"/>
  <c r="AC72" i="35"/>
  <c r="AC48" i="35"/>
  <c r="AC47" i="35"/>
  <c r="AC27" i="35"/>
  <c r="AC60" i="35"/>
  <c r="AC42" i="35"/>
  <c r="AC44" i="35"/>
  <c r="AC73" i="35"/>
  <c r="AC71" i="35"/>
  <c r="AC35" i="35"/>
  <c r="AC56" i="35"/>
  <c r="AC32" i="35"/>
  <c r="AC49" i="35"/>
  <c r="AC61" i="35"/>
  <c r="AC39" i="35"/>
  <c r="AC65" i="35"/>
  <c r="AC59" i="35"/>
  <c r="AC38" i="35"/>
  <c r="AC29" i="35"/>
  <c r="AC68" i="35"/>
  <c r="AC30" i="35"/>
  <c r="AC57" i="35"/>
  <c r="AC18" i="35"/>
  <c r="AC50" i="35"/>
  <c r="AC36" i="35"/>
  <c r="AC70" i="35"/>
  <c r="AC33" i="35"/>
  <c r="AC76" i="35"/>
  <c r="AC21" i="35"/>
  <c r="AC62" i="35"/>
  <c r="AC28" i="35"/>
  <c r="AC37" i="35"/>
  <c r="AC52" i="35"/>
  <c r="AC24" i="35"/>
  <c r="AC13" i="35"/>
  <c r="AC20" i="35"/>
  <c r="AC9" i="35"/>
  <c r="AC77" i="35"/>
  <c r="AC75" i="35"/>
  <c r="AC64" i="35"/>
  <c r="AC63" i="35"/>
  <c r="AC53" i="35"/>
  <c r="AC41" i="35"/>
  <c r="AC23" i="35"/>
  <c r="AC67" i="35"/>
  <c r="AC43" i="35"/>
  <c r="AC15" i="35"/>
  <c r="AC69" i="35"/>
  <c r="AC46" i="35"/>
  <c r="AC45" i="35"/>
  <c r="AC17" i="35"/>
  <c r="AC54" i="35"/>
  <c r="W33" i="11"/>
  <c r="Y33" i="11" s="1"/>
  <c r="W31" i="11"/>
  <c r="Z31" i="11" s="1"/>
  <c r="E68" i="29"/>
  <c r="E46" i="24"/>
  <c r="E51" i="29"/>
  <c r="E40" i="24"/>
  <c r="E60" i="29"/>
  <c r="E43" i="24"/>
  <c r="E63" i="29"/>
  <c r="E54" i="24"/>
  <c r="E67" i="29"/>
  <c r="E47" i="24"/>
  <c r="E62" i="29"/>
  <c r="E53" i="24"/>
  <c r="E55" i="29"/>
  <c r="E41" i="24"/>
  <c r="E42" i="29"/>
  <c r="O39" i="24"/>
  <c r="E56" i="29"/>
  <c r="E33" i="24"/>
  <c r="E43" i="29"/>
  <c r="E48" i="24"/>
  <c r="E46" i="29"/>
  <c r="E56" i="24"/>
  <c r="E47" i="29"/>
  <c r="J39" i="24"/>
  <c r="E64" i="29"/>
  <c r="E55" i="24"/>
  <c r="E65" i="29"/>
  <c r="E37" i="24"/>
  <c r="E57" i="29"/>
  <c r="E34" i="24"/>
  <c r="E39" i="29"/>
  <c r="E51" i="24"/>
  <c r="E41" i="29"/>
  <c r="E52" i="24"/>
  <c r="E49" i="29"/>
  <c r="J40" i="24"/>
  <c r="E45" i="29"/>
  <c r="O40" i="24"/>
  <c r="E53" i="29"/>
  <c r="E44" i="24"/>
  <c r="E58" i="29"/>
  <c r="E35" i="24"/>
  <c r="E48" i="29"/>
  <c r="E36" i="24"/>
  <c r="E66" i="29"/>
  <c r="E39" i="24"/>
  <c r="E59" i="29"/>
  <c r="E38" i="24"/>
  <c r="E40" i="29"/>
  <c r="J44" i="24"/>
  <c r="E44" i="29"/>
  <c r="E49" i="24"/>
  <c r="E54" i="29"/>
  <c r="E42" i="24"/>
  <c r="E50" i="29"/>
  <c r="J36" i="24"/>
  <c r="E61" i="29"/>
  <c r="E32" i="24"/>
  <c r="AD21" i="11"/>
  <c r="AD5" i="11"/>
  <c r="AD16" i="11"/>
  <c r="AD15" i="11"/>
  <c r="AD11" i="11"/>
  <c r="AD24" i="11"/>
  <c r="AD6" i="11"/>
  <c r="AD32" i="11"/>
  <c r="AD14" i="11"/>
  <c r="AD27" i="11"/>
  <c r="AD20" i="11"/>
  <c r="AD33" i="11"/>
  <c r="AD7" i="11"/>
  <c r="AD22" i="11"/>
  <c r="AD25" i="11"/>
  <c r="AD30" i="11"/>
  <c r="AD10" i="11"/>
  <c r="AD9" i="11"/>
  <c r="AD23" i="11"/>
  <c r="AD12" i="11"/>
  <c r="AD17" i="11"/>
  <c r="AD26" i="11"/>
  <c r="AD4" i="11"/>
  <c r="AD19" i="11"/>
  <c r="AD8" i="11"/>
  <c r="AD31" i="11"/>
  <c r="AD18" i="11"/>
  <c r="AD28" i="11"/>
  <c r="V20" i="11"/>
  <c r="V19" i="11"/>
  <c r="V29" i="11"/>
  <c r="V25" i="11"/>
  <c r="V4" i="11"/>
  <c r="V32" i="11"/>
  <c r="V18" i="11"/>
  <c r="V30" i="11"/>
  <c r="V5" i="11"/>
  <c r="V22" i="11"/>
  <c r="V11" i="11"/>
  <c r="V7" i="11"/>
  <c r="V14" i="11"/>
  <c r="V10" i="11"/>
  <c r="V6" i="11"/>
  <c r="V8" i="11"/>
  <c r="V12" i="11"/>
  <c r="V13" i="11"/>
  <c r="V17" i="11"/>
  <c r="V9" i="11"/>
  <c r="V28" i="11"/>
  <c r="V15" i="11"/>
  <c r="X24" i="11"/>
  <c r="V24" i="11"/>
  <c r="X21" i="11"/>
  <c r="W21" i="11"/>
  <c r="X16" i="11"/>
  <c r="V16" i="11"/>
  <c r="V23" i="11"/>
  <c r="X26" i="11"/>
  <c r="V26" i="11"/>
  <c r="X27" i="11"/>
  <c r="V27" i="11"/>
  <c r="X32" i="11"/>
  <c r="X20" i="11"/>
  <c r="X8" i="11"/>
  <c r="X5" i="11"/>
  <c r="X19" i="11"/>
  <c r="X18" i="11"/>
  <c r="X9" i="11"/>
  <c r="X10" i="11"/>
  <c r="X22" i="11"/>
  <c r="X15" i="11"/>
  <c r="X25" i="11"/>
  <c r="X17" i="11"/>
  <c r="X6" i="11"/>
  <c r="X7" i="11"/>
  <c r="X12" i="11"/>
  <c r="X11" i="11"/>
  <c r="X29" i="11"/>
  <c r="X14" i="11"/>
  <c r="X30" i="11"/>
  <c r="X28" i="11"/>
  <c r="X4" i="11"/>
  <c r="X13" i="11"/>
  <c r="O35" i="29" l="1"/>
  <c r="M35" i="29"/>
  <c r="AO69" i="35"/>
  <c r="AO76" i="35"/>
  <c r="AO46" i="35"/>
  <c r="AO64" i="35"/>
  <c r="AO13" i="35"/>
  <c r="AO72" i="35"/>
  <c r="AO2" i="35"/>
  <c r="AO3" i="35"/>
  <c r="AO73" i="35"/>
  <c r="AO71" i="35"/>
  <c r="AO14" i="35"/>
  <c r="I86" i="42"/>
  <c r="G86" i="42"/>
  <c r="H86" i="42"/>
  <c r="G79" i="42"/>
  <c r="I79" i="42"/>
  <c r="H79" i="42"/>
  <c r="H77" i="42"/>
  <c r="I77" i="42"/>
  <c r="G77" i="42"/>
  <c r="G74" i="42"/>
  <c r="I74" i="42"/>
  <c r="H74" i="42"/>
  <c r="I80" i="42"/>
  <c r="H80" i="42"/>
  <c r="G80" i="42"/>
  <c r="H78" i="42"/>
  <c r="G78" i="42"/>
  <c r="I78" i="42"/>
  <c r="AO44" i="35"/>
  <c r="AO33" i="35"/>
  <c r="AP48" i="35"/>
  <c r="AP49" i="35"/>
  <c r="AP54" i="35"/>
  <c r="AP25" i="35"/>
  <c r="I100" i="42"/>
  <c r="H100" i="42"/>
  <c r="G100" i="42"/>
  <c r="I73" i="42"/>
  <c r="G73" i="42"/>
  <c r="H73" i="42"/>
  <c r="I94" i="42"/>
  <c r="G94" i="42"/>
  <c r="H94" i="42"/>
  <c r="I99" i="42"/>
  <c r="G99" i="42"/>
  <c r="H99" i="42"/>
  <c r="I98" i="42"/>
  <c r="G98" i="42"/>
  <c r="H98" i="42"/>
  <c r="H83" i="42"/>
  <c r="I83" i="42"/>
  <c r="G83" i="42"/>
  <c r="AO34" i="35"/>
  <c r="AO43" i="35"/>
  <c r="G84" i="42"/>
  <c r="I84" i="42"/>
  <c r="H84" i="42"/>
  <c r="I95" i="42"/>
  <c r="G95" i="42"/>
  <c r="H95" i="42"/>
  <c r="H102" i="42"/>
  <c r="I102" i="42"/>
  <c r="G102" i="42"/>
  <c r="H96" i="42"/>
  <c r="G96" i="42"/>
  <c r="I96" i="42"/>
  <c r="I89" i="42"/>
  <c r="G89" i="42"/>
  <c r="H89" i="42"/>
  <c r="G81" i="42"/>
  <c r="H81" i="42"/>
  <c r="I81" i="42"/>
  <c r="I85" i="42"/>
  <c r="H85" i="42"/>
  <c r="G85" i="42"/>
  <c r="H88" i="42"/>
  <c r="I88" i="42"/>
  <c r="G88" i="42"/>
  <c r="H101" i="42"/>
  <c r="I101" i="42"/>
  <c r="G101" i="42"/>
  <c r="I75" i="42"/>
  <c r="G75" i="42"/>
  <c r="H75" i="42"/>
  <c r="H92" i="42"/>
  <c r="G92" i="42"/>
  <c r="I92" i="42"/>
  <c r="H93" i="42"/>
  <c r="I93" i="42"/>
  <c r="G93" i="42"/>
  <c r="I76" i="42"/>
  <c r="G76" i="42"/>
  <c r="H76" i="42"/>
  <c r="G91" i="42"/>
  <c r="H91" i="42"/>
  <c r="I91" i="42"/>
  <c r="I87" i="42"/>
  <c r="H87" i="42"/>
  <c r="G87" i="42"/>
  <c r="I97" i="42"/>
  <c r="H97" i="42"/>
  <c r="G97" i="42"/>
  <c r="G90" i="42"/>
  <c r="H90" i="42"/>
  <c r="I90" i="42"/>
  <c r="AO54" i="35"/>
  <c r="AR62" i="35"/>
  <c r="AR50" i="35"/>
  <c r="AP36" i="35"/>
  <c r="AP63" i="35"/>
  <c r="AP76" i="35"/>
  <c r="AO36" i="35"/>
  <c r="AP55" i="35"/>
  <c r="AO39" i="35"/>
  <c r="AO26" i="35"/>
  <c r="AO17" i="35"/>
  <c r="AO20" i="35"/>
  <c r="AO60" i="35"/>
  <c r="AP12" i="35"/>
  <c r="AO49" i="35"/>
  <c r="AO31" i="35"/>
  <c r="AO42" i="35"/>
  <c r="AP58" i="35"/>
  <c r="AR57" i="35"/>
  <c r="AR15" i="35"/>
  <c r="AR36" i="35"/>
  <c r="AO27" i="35"/>
  <c r="AR58" i="35"/>
  <c r="AO50" i="35"/>
  <c r="AP34" i="35"/>
  <c r="AP41" i="35"/>
  <c r="AP20" i="35"/>
  <c r="AP60" i="35"/>
  <c r="AP38" i="35"/>
  <c r="AR5" i="35"/>
  <c r="AP26" i="35"/>
  <c r="AO70" i="35"/>
  <c r="AO47" i="35"/>
  <c r="AO24" i="35"/>
  <c r="AO77" i="35"/>
  <c r="AR65" i="35"/>
  <c r="AR21" i="35"/>
  <c r="AP59" i="35"/>
  <c r="AO10" i="35"/>
  <c r="AO66" i="35"/>
  <c r="AO9" i="35"/>
  <c r="AR25" i="35"/>
  <c r="AP22" i="35"/>
  <c r="AO19" i="35"/>
  <c r="AP5" i="35"/>
  <c r="AP52" i="35"/>
  <c r="AP32" i="35"/>
  <c r="AO4" i="35"/>
  <c r="AO48" i="35"/>
  <c r="AR51" i="35"/>
  <c r="AP24" i="35"/>
  <c r="AO16" i="35"/>
  <c r="AR45" i="35"/>
  <c r="AR18" i="35"/>
  <c r="AP21" i="35"/>
  <c r="AR56" i="35"/>
  <c r="AR16" i="35"/>
  <c r="AP27" i="35"/>
  <c r="AP3" i="35"/>
  <c r="AP39" i="35"/>
  <c r="AO59" i="35"/>
  <c r="AO7" i="35"/>
  <c r="AO51" i="35"/>
  <c r="AO67" i="35"/>
  <c r="AO15" i="35"/>
  <c r="AO35" i="35"/>
  <c r="AR14" i="35"/>
  <c r="AR20" i="35"/>
  <c r="AR47" i="35"/>
  <c r="AR39" i="35"/>
  <c r="AR74" i="35"/>
  <c r="AR63" i="35"/>
  <c r="AP16" i="35"/>
  <c r="AP74" i="35"/>
  <c r="AP43" i="35"/>
  <c r="AP31" i="35"/>
  <c r="AP45" i="35"/>
  <c r="AP66" i="35"/>
  <c r="Z21" i="11"/>
  <c r="AO62" i="35"/>
  <c r="AO32" i="35"/>
  <c r="AO75" i="35"/>
  <c r="AO22" i="35"/>
  <c r="AO25" i="35"/>
  <c r="AP7" i="35"/>
  <c r="AR35" i="35"/>
  <c r="AR41" i="35"/>
  <c r="AR68" i="35"/>
  <c r="AR37" i="35"/>
  <c r="AR9" i="35"/>
  <c r="AR31" i="35"/>
  <c r="AP51" i="35"/>
  <c r="AP71" i="35"/>
  <c r="AP19" i="35"/>
  <c r="AP67" i="35"/>
  <c r="AP15" i="35"/>
  <c r="AP42" i="35"/>
  <c r="AR44" i="35"/>
  <c r="AR42" i="35"/>
  <c r="AR77" i="35"/>
  <c r="AR8" i="35"/>
  <c r="AR73" i="35"/>
  <c r="AR3" i="35"/>
  <c r="AR46" i="35"/>
  <c r="AR24" i="35"/>
  <c r="AR66" i="35"/>
  <c r="AR28" i="35"/>
  <c r="AR7" i="35"/>
  <c r="AP53" i="35"/>
  <c r="AP47" i="35"/>
  <c r="AP9" i="35"/>
  <c r="AP11" i="35"/>
  <c r="AP18" i="35"/>
  <c r="AP37" i="35"/>
  <c r="AO28" i="35"/>
  <c r="AR19" i="35"/>
  <c r="AR72" i="35"/>
  <c r="AR75" i="35"/>
  <c r="AP46" i="35"/>
  <c r="AP57" i="35"/>
  <c r="AO53" i="35"/>
  <c r="AR43" i="35"/>
  <c r="AR34" i="35"/>
  <c r="AR2" i="35"/>
  <c r="AR40" i="35"/>
  <c r="AR49" i="35"/>
  <c r="AP75" i="35"/>
  <c r="AO11" i="35"/>
  <c r="AR67" i="35"/>
  <c r="AR38" i="35"/>
  <c r="AP23" i="35"/>
  <c r="AP50" i="35"/>
  <c r="AO55" i="35"/>
  <c r="AO23" i="35"/>
  <c r="AR10" i="35"/>
  <c r="AR4" i="35"/>
  <c r="AR71" i="35"/>
  <c r="AP70" i="35"/>
  <c r="AO38" i="35"/>
  <c r="AO68" i="35"/>
  <c r="AO8" i="35"/>
  <c r="Y31" i="11"/>
  <c r="AO65" i="35"/>
  <c r="AO56" i="35"/>
  <c r="AO57" i="35"/>
  <c r="AO41" i="35"/>
  <c r="AO74" i="35"/>
  <c r="AP8" i="35"/>
  <c r="AR48" i="35"/>
  <c r="AR33" i="35"/>
  <c r="AR12" i="35"/>
  <c r="AR23" i="35"/>
  <c r="AR22" i="35"/>
  <c r="AR27" i="35"/>
  <c r="AP40" i="35"/>
  <c r="AP6" i="35"/>
  <c r="AP68" i="35"/>
  <c r="AP28" i="35"/>
  <c r="AP29" i="35"/>
  <c r="AP56" i="35"/>
  <c r="AO37" i="35"/>
  <c r="AR29" i="35"/>
  <c r="AR60" i="35"/>
  <c r="AP44" i="35"/>
  <c r="AO45" i="35"/>
  <c r="AP2" i="35"/>
  <c r="AR76" i="35"/>
  <c r="AP62" i="35"/>
  <c r="AR6" i="35"/>
  <c r="AP10" i="35"/>
  <c r="AP72" i="35"/>
  <c r="F42" i="29"/>
  <c r="AO52" i="35"/>
  <c r="AO29" i="35"/>
  <c r="AO18" i="35"/>
  <c r="AR64" i="35"/>
  <c r="AR55" i="35"/>
  <c r="AR26" i="35"/>
  <c r="AR17" i="35"/>
  <c r="AR32" i="35"/>
  <c r="AR53" i="35"/>
  <c r="AP69" i="35"/>
  <c r="AP61" i="35"/>
  <c r="AP33" i="35"/>
  <c r="AP14" i="35"/>
  <c r="AP65" i="35"/>
  <c r="AP4" i="35"/>
  <c r="AR13" i="35"/>
  <c r="AO58" i="35"/>
  <c r="AR11" i="35"/>
  <c r="AP77" i="35"/>
  <c r="AO21" i="35"/>
  <c r="AO30" i="35"/>
  <c r="AO40" i="35"/>
  <c r="AO12" i="35"/>
  <c r="AR61" i="35"/>
  <c r="AR30" i="35"/>
  <c r="AR52" i="35"/>
  <c r="AR70" i="35"/>
  <c r="AR59" i="35"/>
  <c r="AR69" i="35"/>
  <c r="AR54" i="35"/>
  <c r="AP17" i="35"/>
  <c r="AP30" i="35"/>
  <c r="AP13" i="35"/>
  <c r="AP35" i="35"/>
  <c r="AP64" i="35"/>
  <c r="AP73" i="35"/>
  <c r="Z33" i="11"/>
  <c r="X34" i="11"/>
  <c r="W14" i="11"/>
  <c r="Z14" i="11" s="1"/>
  <c r="AE12" i="11"/>
  <c r="AG12" i="11" s="1"/>
  <c r="B17" i="42" s="1"/>
  <c r="AE14" i="11"/>
  <c r="AG14" i="11" s="1"/>
  <c r="B19" i="42" s="1"/>
  <c r="AE6" i="11"/>
  <c r="AH6" i="11" s="1"/>
  <c r="AE18" i="11"/>
  <c r="AH18" i="11" s="1"/>
  <c r="AE23" i="11"/>
  <c r="AH23" i="11" s="1"/>
  <c r="AE9" i="11"/>
  <c r="AH9" i="11" s="1"/>
  <c r="AE10" i="11"/>
  <c r="AH10" i="11" s="1"/>
  <c r="AE28" i="11"/>
  <c r="AG28" i="11" s="1"/>
  <c r="B33" i="42" s="1"/>
  <c r="AE25" i="11"/>
  <c r="AG25" i="11" s="1"/>
  <c r="B30" i="42" s="1"/>
  <c r="AE15" i="11"/>
  <c r="AH15" i="11" s="1"/>
  <c r="AE8" i="11"/>
  <c r="AH8" i="11" s="1"/>
  <c r="AE19" i="11"/>
  <c r="AH19" i="11" s="1"/>
  <c r="AE5" i="11"/>
  <c r="AH5" i="11" s="1"/>
  <c r="AE24" i="11"/>
  <c r="AH24" i="11" s="1"/>
  <c r="AE31" i="11"/>
  <c r="AH31" i="11" s="1"/>
  <c r="AE16" i="11"/>
  <c r="AH16" i="11" s="1"/>
  <c r="AE33" i="11"/>
  <c r="AG33" i="11" s="1"/>
  <c r="B38" i="42" s="1"/>
  <c r="AE4" i="11"/>
  <c r="AI4" i="11" s="1"/>
  <c r="AE20" i="11"/>
  <c r="AH20" i="11" s="1"/>
  <c r="AE21" i="11"/>
  <c r="AH21" i="11" s="1"/>
  <c r="AE30" i="11"/>
  <c r="AH30" i="11" s="1"/>
  <c r="AE11" i="11"/>
  <c r="AH11" i="11" s="1"/>
  <c r="AE22" i="11"/>
  <c r="AH22" i="11" s="1"/>
  <c r="AE7" i="11"/>
  <c r="AH7" i="11" s="1"/>
  <c r="AE26" i="11"/>
  <c r="AH26" i="11" s="1"/>
  <c r="AE29" i="11"/>
  <c r="AE32" i="11"/>
  <c r="AH32" i="11" s="1"/>
  <c r="AE17" i="11"/>
  <c r="AH17" i="11" s="1"/>
  <c r="AE27" i="11"/>
  <c r="AG27" i="11" s="1"/>
  <c r="B32" i="42" s="1"/>
  <c r="W25" i="11"/>
  <c r="Z25" i="11" s="1"/>
  <c r="W20" i="11"/>
  <c r="Z20" i="11" s="1"/>
  <c r="W29" i="11"/>
  <c r="Z29" i="11" s="1"/>
  <c r="W7" i="11"/>
  <c r="Z7" i="11" s="1"/>
  <c r="W22" i="11"/>
  <c r="Z22" i="11" s="1"/>
  <c r="W27" i="11"/>
  <c r="Z27" i="11" s="1"/>
  <c r="W17" i="11"/>
  <c r="Z17" i="11" s="1"/>
  <c r="W16" i="11"/>
  <c r="Z16" i="11" s="1"/>
  <c r="W5" i="11"/>
  <c r="Z5" i="11" s="1"/>
  <c r="W9" i="11"/>
  <c r="Z9" i="11" s="1"/>
  <c r="W18" i="11"/>
  <c r="Y18" i="11" s="1"/>
  <c r="W13" i="11"/>
  <c r="Y13" i="11" s="1"/>
  <c r="W32" i="11"/>
  <c r="Z32" i="11" s="1"/>
  <c r="W24" i="11"/>
  <c r="Z24" i="11" s="1"/>
  <c r="W15" i="11"/>
  <c r="Z15" i="11" s="1"/>
  <c r="W28" i="11"/>
  <c r="Z28" i="11" s="1"/>
  <c r="W30" i="11"/>
  <c r="Z30" i="11" s="1"/>
  <c r="W10" i="11"/>
  <c r="Y10" i="11" s="1"/>
  <c r="W23" i="11"/>
  <c r="Z23" i="11" s="1"/>
  <c r="W12" i="11"/>
  <c r="Y12" i="11" s="1"/>
  <c r="W4" i="11"/>
  <c r="Z4" i="11" s="1"/>
  <c r="F56" i="29"/>
  <c r="M52" i="24"/>
  <c r="M54" i="24"/>
  <c r="F38" i="29"/>
  <c r="M53" i="24"/>
  <c r="M51" i="24"/>
  <c r="M49" i="24"/>
  <c r="W11" i="11"/>
  <c r="Z11" i="11" s="1"/>
  <c r="Y21" i="11"/>
  <c r="W26" i="11"/>
  <c r="Z26" i="11" s="1"/>
  <c r="W8" i="11"/>
  <c r="Z8" i="11" s="1"/>
  <c r="W6" i="11"/>
  <c r="Z6" i="11" s="1"/>
  <c r="W19" i="11"/>
  <c r="Z19" i="11" s="1"/>
  <c r="AI16" i="11" l="1"/>
  <c r="AI15" i="11"/>
  <c r="AI20" i="11"/>
  <c r="AI23" i="11"/>
  <c r="AI8" i="11"/>
  <c r="AI21" i="11"/>
  <c r="AI25" i="11"/>
  <c r="AI14" i="11"/>
  <c r="AI12" i="11"/>
  <c r="AI27" i="11"/>
  <c r="AI33" i="11"/>
  <c r="AI7" i="11"/>
  <c r="AI28" i="11"/>
  <c r="AI18" i="11"/>
  <c r="AI30" i="11"/>
  <c r="AI11" i="11"/>
  <c r="AI5" i="11"/>
  <c r="AI24" i="11"/>
  <c r="AI22" i="11"/>
  <c r="AI9" i="11"/>
  <c r="AI31" i="11"/>
  <c r="AI32" i="11"/>
  <c r="AI10" i="11"/>
  <c r="AI17" i="11"/>
  <c r="AG29" i="11"/>
  <c r="B34" i="42" s="1"/>
  <c r="G34" i="42" s="1"/>
  <c r="AI29" i="11"/>
  <c r="AI6" i="11"/>
  <c r="AI19" i="11"/>
  <c r="AI26" i="11"/>
  <c r="D19" i="42"/>
  <c r="E19" i="42"/>
  <c r="G19" i="42"/>
  <c r="G30" i="42"/>
  <c r="E30" i="42"/>
  <c r="D30" i="42"/>
  <c r="D33" i="42"/>
  <c r="E33" i="42"/>
  <c r="G33" i="42"/>
  <c r="D17" i="42"/>
  <c r="E17" i="42"/>
  <c r="G17" i="42"/>
  <c r="G32" i="42"/>
  <c r="D32" i="42"/>
  <c r="E32" i="42"/>
  <c r="E38" i="42"/>
  <c r="G38" i="42"/>
  <c r="D38" i="42"/>
  <c r="Y14" i="11"/>
  <c r="AH4" i="11"/>
  <c r="AH25" i="11"/>
  <c r="AH28" i="11"/>
  <c r="AH12" i="11"/>
  <c r="AH14" i="11"/>
  <c r="AH27" i="11"/>
  <c r="Z13" i="11"/>
  <c r="AH29" i="11"/>
  <c r="Z18" i="11"/>
  <c r="AH33" i="11"/>
  <c r="Z10" i="11"/>
  <c r="Z12" i="11"/>
  <c r="AG6" i="11"/>
  <c r="B11" i="42" s="1"/>
  <c r="Y17" i="11"/>
  <c r="AG30" i="11"/>
  <c r="B35" i="42" s="1"/>
  <c r="AG31" i="11"/>
  <c r="B36" i="42" s="1"/>
  <c r="AG11" i="11"/>
  <c r="B16" i="42" s="1"/>
  <c r="AG21" i="11"/>
  <c r="B26" i="42" s="1"/>
  <c r="Y16" i="11"/>
  <c r="Y20" i="11"/>
  <c r="AG23" i="11"/>
  <c r="B28" i="42" s="1"/>
  <c r="Y15" i="11"/>
  <c r="AG26" i="11"/>
  <c r="B31" i="42" s="1"/>
  <c r="Y30" i="11"/>
  <c r="AG4" i="11"/>
  <c r="B9" i="42" s="1"/>
  <c r="Y4" i="11"/>
  <c r="AG22" i="11"/>
  <c r="B27" i="42" s="1"/>
  <c r="AG17" i="11"/>
  <c r="B22" i="42" s="1"/>
  <c r="AG10" i="11"/>
  <c r="B15" i="42" s="1"/>
  <c r="AG7" i="11"/>
  <c r="B12" i="42" s="1"/>
  <c r="AG20" i="11"/>
  <c r="B25" i="42" s="1"/>
  <c r="AG15" i="11"/>
  <c r="B20" i="42" s="1"/>
  <c r="AG9" i="11"/>
  <c r="B14" i="42" s="1"/>
  <c r="Y22" i="11"/>
  <c r="Y32" i="11"/>
  <c r="AG18" i="11"/>
  <c r="B23" i="42" s="1"/>
  <c r="AG32" i="11"/>
  <c r="B37" i="42" s="1"/>
  <c r="AG24" i="11"/>
  <c r="B29" i="42" s="1"/>
  <c r="Y9" i="11"/>
  <c r="AG5" i="11"/>
  <c r="B10" i="42" s="1"/>
  <c r="AG16" i="11"/>
  <c r="B21" i="42" s="1"/>
  <c r="Y27" i="11"/>
  <c r="AG8" i="11"/>
  <c r="B13" i="42" s="1"/>
  <c r="AG19" i="11"/>
  <c r="B24" i="42" s="1"/>
  <c r="Y29" i="11"/>
  <c r="Y23" i="11"/>
  <c r="Y24" i="11"/>
  <c r="Y25" i="11"/>
  <c r="Y5" i="11"/>
  <c r="Y28" i="11"/>
  <c r="Y7" i="11"/>
  <c r="Y11" i="11"/>
  <c r="Y19" i="11"/>
  <c r="Y6" i="11"/>
  <c r="Y8" i="11"/>
  <c r="Y26" i="11"/>
  <c r="D34" i="42" l="1"/>
  <c r="E34" i="42"/>
  <c r="G23" i="42"/>
  <c r="E23" i="42"/>
  <c r="D23" i="42"/>
  <c r="D28" i="42"/>
  <c r="E28" i="42"/>
  <c r="G28" i="42"/>
  <c r="G24" i="42"/>
  <c r="D24" i="42"/>
  <c r="E24" i="42"/>
  <c r="E20" i="42"/>
  <c r="D20" i="42"/>
  <c r="G20" i="42"/>
  <c r="G13" i="42"/>
  <c r="E13" i="42"/>
  <c r="D13" i="42"/>
  <c r="G25" i="42"/>
  <c r="D25" i="42"/>
  <c r="E25" i="42"/>
  <c r="D12" i="42"/>
  <c r="G12" i="42"/>
  <c r="E12" i="42"/>
  <c r="G26" i="42"/>
  <c r="D26" i="42"/>
  <c r="E26" i="42"/>
  <c r="G9" i="42"/>
  <c r="D9" i="42"/>
  <c r="E9" i="42"/>
  <c r="G21" i="42"/>
  <c r="E21" i="42"/>
  <c r="D21" i="42"/>
  <c r="G15" i="42"/>
  <c r="D15" i="42"/>
  <c r="E15" i="42"/>
  <c r="G16" i="42"/>
  <c r="E16" i="42"/>
  <c r="D16" i="42"/>
  <c r="E22" i="42"/>
  <c r="D22" i="42"/>
  <c r="G22" i="42"/>
  <c r="D36" i="42"/>
  <c r="E36" i="42"/>
  <c r="G36" i="42"/>
  <c r="E37" i="42"/>
  <c r="D37" i="42"/>
  <c r="G37" i="42"/>
  <c r="G31" i="42"/>
  <c r="D31" i="42"/>
  <c r="E31" i="42"/>
  <c r="D27" i="42"/>
  <c r="E27" i="42"/>
  <c r="G27" i="42"/>
  <c r="G35" i="42"/>
  <c r="E35" i="42"/>
  <c r="D35" i="42"/>
  <c r="G11" i="42"/>
  <c r="E11" i="42"/>
  <c r="D11" i="42"/>
  <c r="E14" i="42"/>
  <c r="G14" i="42"/>
  <c r="D14" i="42"/>
  <c r="E10" i="42"/>
  <c r="D10" i="42"/>
  <c r="G10" i="42"/>
  <c r="G29" i="42"/>
  <c r="D29" i="42"/>
  <c r="E29" i="42"/>
  <c r="Z34" i="11"/>
  <c r="Y34" i="11"/>
  <c r="P49" i="28" l="1"/>
  <c r="P51" i="28" s="1"/>
  <c r="Q49" i="28" l="1"/>
  <c r="Q51" i="28" s="1"/>
  <c r="AB13" i="11" l="1"/>
  <c r="R13" i="11"/>
  <c r="G52" i="29" s="1"/>
  <c r="H47" i="29" s="1"/>
  <c r="C82" i="42" l="1"/>
  <c r="C18" i="42"/>
  <c r="AD13" i="11"/>
  <c r="AF13" i="11"/>
  <c r="AF34" i="11" s="1"/>
  <c r="N13" i="11"/>
  <c r="Q13" i="11" s="1"/>
  <c r="F18" i="42" l="1"/>
  <c r="F39" i="42" s="1"/>
  <c r="I82" i="42"/>
  <c r="H82" i="42"/>
  <c r="G82" i="42"/>
  <c r="P13" i="11"/>
  <c r="E52" i="29" s="1"/>
  <c r="F47" i="29" s="1"/>
  <c r="J50" i="29" s="1"/>
  <c r="E12" i="35"/>
  <c r="AE13" i="11"/>
  <c r="AI13" i="11" s="1"/>
  <c r="AI34" i="11" s="1"/>
  <c r="E45" i="24"/>
  <c r="M50" i="24" s="1"/>
  <c r="P50" i="24" s="1"/>
  <c r="AG13" i="11"/>
  <c r="B18" i="42" s="1"/>
  <c r="L35" i="29" l="1"/>
  <c r="N35" i="29"/>
  <c r="AG34" i="11"/>
  <c r="T21" i="35"/>
  <c r="AQ21" i="35" s="1"/>
  <c r="AS21" i="35" s="1"/>
  <c r="AT21" i="35" s="1"/>
  <c r="T24" i="35"/>
  <c r="AQ24" i="35" s="1"/>
  <c r="AS24" i="35" s="1"/>
  <c r="AT24" i="35" s="1"/>
  <c r="T17" i="35"/>
  <c r="AQ17" i="35" s="1"/>
  <c r="AS17" i="35" s="1"/>
  <c r="AT17" i="35" s="1"/>
  <c r="T11" i="35"/>
  <c r="AQ11" i="35" s="1"/>
  <c r="AS11" i="35" s="1"/>
  <c r="AT11" i="35" s="1"/>
  <c r="T12" i="35"/>
  <c r="AQ12" i="35" s="1"/>
  <c r="AS12" i="35" s="1"/>
  <c r="AT12" i="35" s="1"/>
  <c r="T10" i="35"/>
  <c r="AQ10" i="35" s="1"/>
  <c r="AS10" i="35" s="1"/>
  <c r="AT10" i="35" s="1"/>
  <c r="T4" i="35"/>
  <c r="AQ4" i="35" s="1"/>
  <c r="AS4" i="35" s="1"/>
  <c r="AT4" i="35" s="1"/>
  <c r="T26" i="35"/>
  <c r="AQ26" i="35" s="1"/>
  <c r="AS26" i="35" s="1"/>
  <c r="AT26" i="35" s="1"/>
  <c r="T13" i="35"/>
  <c r="AQ13" i="35" s="1"/>
  <c r="AS13" i="35" s="1"/>
  <c r="AT13" i="35" s="1"/>
  <c r="T18" i="35"/>
  <c r="AQ18" i="35" s="1"/>
  <c r="AS18" i="35" s="1"/>
  <c r="AT18" i="35" s="1"/>
  <c r="T9" i="35"/>
  <c r="AQ9" i="35" s="1"/>
  <c r="AS9" i="35" s="1"/>
  <c r="AT9" i="35" s="1"/>
  <c r="T3" i="35"/>
  <c r="AQ3" i="35" s="1"/>
  <c r="AS3" i="35" s="1"/>
  <c r="AT3" i="35" s="1"/>
  <c r="T64" i="35"/>
  <c r="AQ64" i="35" s="1"/>
  <c r="AS64" i="35" s="1"/>
  <c r="AT64" i="35" s="1"/>
  <c r="T28" i="35"/>
  <c r="AQ28" i="35" s="1"/>
  <c r="AS28" i="35" s="1"/>
  <c r="AT28" i="35" s="1"/>
  <c r="T14" i="35"/>
  <c r="AQ14" i="35" s="1"/>
  <c r="AS14" i="35" s="1"/>
  <c r="AT14" i="35" s="1"/>
  <c r="T8" i="35"/>
  <c r="AQ8" i="35" s="1"/>
  <c r="AS8" i="35" s="1"/>
  <c r="AT8" i="35" s="1"/>
  <c r="T2" i="35"/>
  <c r="AQ2" i="35" s="1"/>
  <c r="AS2" i="35" s="1"/>
  <c r="AT2" i="35" s="1"/>
  <c r="T38" i="35"/>
  <c r="AQ38" i="35" s="1"/>
  <c r="AS38" i="35" s="1"/>
  <c r="AT38" i="35" s="1"/>
  <c r="T6" i="35"/>
  <c r="AQ6" i="35" s="1"/>
  <c r="AS6" i="35" s="1"/>
  <c r="AT6" i="35" s="1"/>
  <c r="T15" i="35"/>
  <c r="AQ15" i="35" s="1"/>
  <c r="AS15" i="35" s="1"/>
  <c r="AT15" i="35" s="1"/>
  <c r="T7" i="35"/>
  <c r="AQ7" i="35" s="1"/>
  <c r="AS7" i="35" s="1"/>
  <c r="AT7" i="35" s="1"/>
  <c r="T20" i="35"/>
  <c r="AQ20" i="35" s="1"/>
  <c r="AS20" i="35" s="1"/>
  <c r="AT20" i="35" s="1"/>
  <c r="T5" i="35"/>
  <c r="AQ5" i="35" s="1"/>
  <c r="AS5" i="35" s="1"/>
  <c r="AT5" i="35" s="1"/>
  <c r="T22" i="35"/>
  <c r="AQ22" i="35" s="1"/>
  <c r="AS22" i="35" s="1"/>
  <c r="AT22" i="35" s="1"/>
  <c r="T63" i="35"/>
  <c r="AQ63" i="35" s="1"/>
  <c r="AS63" i="35" s="1"/>
  <c r="AT63" i="35" s="1"/>
  <c r="T41" i="35"/>
  <c r="AQ41" i="35" s="1"/>
  <c r="AS41" i="35" s="1"/>
  <c r="AT41" i="35" s="1"/>
  <c r="T37" i="35"/>
  <c r="AQ37" i="35" s="1"/>
  <c r="AS37" i="35" s="1"/>
  <c r="AT37" i="35" s="1"/>
  <c r="T30" i="35"/>
  <c r="AQ30" i="35" s="1"/>
  <c r="AS30" i="35" s="1"/>
  <c r="AT30" i="35" s="1"/>
  <c r="T67" i="35"/>
  <c r="AQ67" i="35" s="1"/>
  <c r="AS67" i="35" s="1"/>
  <c r="AT67" i="35" s="1"/>
  <c r="T39" i="35"/>
  <c r="AQ39" i="35" s="1"/>
  <c r="AS39" i="35" s="1"/>
  <c r="AT39" i="35" s="1"/>
  <c r="T77" i="35"/>
  <c r="AQ77" i="35" s="1"/>
  <c r="AS77" i="35" s="1"/>
  <c r="AT77" i="35" s="1"/>
  <c r="T53" i="35"/>
  <c r="AQ53" i="35" s="1"/>
  <c r="AS53" i="35" s="1"/>
  <c r="AT53" i="35" s="1"/>
  <c r="T61" i="35"/>
  <c r="AQ61" i="35" s="1"/>
  <c r="AS61" i="35" s="1"/>
  <c r="AT61" i="35" s="1"/>
  <c r="T46" i="35"/>
  <c r="AQ46" i="35" s="1"/>
  <c r="AS46" i="35" s="1"/>
  <c r="AT46" i="35" s="1"/>
  <c r="T32" i="35"/>
  <c r="AQ32" i="35" s="1"/>
  <c r="AS32" i="35" s="1"/>
  <c r="AT32" i="35" s="1"/>
  <c r="T47" i="35"/>
  <c r="AQ47" i="35" s="1"/>
  <c r="AS47" i="35" s="1"/>
  <c r="AT47" i="35" s="1"/>
  <c r="T29" i="35"/>
  <c r="AQ29" i="35" s="1"/>
  <c r="AS29" i="35" s="1"/>
  <c r="AT29" i="35" s="1"/>
  <c r="T54" i="35"/>
  <c r="AQ54" i="35" s="1"/>
  <c r="AS54" i="35" s="1"/>
  <c r="AT54" i="35" s="1"/>
  <c r="T73" i="35"/>
  <c r="AQ73" i="35" s="1"/>
  <c r="AS73" i="35" s="1"/>
  <c r="AT73" i="35" s="1"/>
  <c r="T31" i="35"/>
  <c r="AQ31" i="35" s="1"/>
  <c r="AS31" i="35" s="1"/>
  <c r="AT31" i="35" s="1"/>
  <c r="T71" i="35"/>
  <c r="AQ71" i="35" s="1"/>
  <c r="AS71" i="35" s="1"/>
  <c r="AT71" i="35" s="1"/>
  <c r="T70" i="35"/>
  <c r="AQ70" i="35" s="1"/>
  <c r="AS70" i="35" s="1"/>
  <c r="AT70" i="35" s="1"/>
  <c r="T68" i="35"/>
  <c r="AQ68" i="35" s="1"/>
  <c r="AS68" i="35" s="1"/>
  <c r="AT68" i="35" s="1"/>
  <c r="T27" i="35"/>
  <c r="AQ27" i="35" s="1"/>
  <c r="AS27" i="35" s="1"/>
  <c r="AT27" i="35" s="1"/>
  <c r="T56" i="35"/>
  <c r="AQ56" i="35" s="1"/>
  <c r="AS56" i="35" s="1"/>
  <c r="AT56" i="35" s="1"/>
  <c r="T62" i="35"/>
  <c r="AQ62" i="35" s="1"/>
  <c r="AS62" i="35" s="1"/>
  <c r="AT62" i="35" s="1"/>
  <c r="T40" i="35"/>
  <c r="AQ40" i="35" s="1"/>
  <c r="AS40" i="35" s="1"/>
  <c r="AT40" i="35" s="1"/>
  <c r="T58" i="35"/>
  <c r="AQ58" i="35" s="1"/>
  <c r="AS58" i="35" s="1"/>
  <c r="AT58" i="35" s="1"/>
  <c r="T76" i="35"/>
  <c r="AQ76" i="35" s="1"/>
  <c r="AS76" i="35" s="1"/>
  <c r="AT76" i="35" s="1"/>
  <c r="T33" i="35"/>
  <c r="AQ33" i="35" s="1"/>
  <c r="AS33" i="35" s="1"/>
  <c r="AT33" i="35" s="1"/>
  <c r="T65" i="35"/>
  <c r="AQ65" i="35" s="1"/>
  <c r="AS65" i="35" s="1"/>
  <c r="AT65" i="35" s="1"/>
  <c r="T34" i="35"/>
  <c r="AQ34" i="35" s="1"/>
  <c r="AS34" i="35" s="1"/>
  <c r="AT34" i="35" s="1"/>
  <c r="T36" i="35"/>
  <c r="AQ36" i="35" s="1"/>
  <c r="AS36" i="35" s="1"/>
  <c r="AT36" i="35" s="1"/>
  <c r="T59" i="35"/>
  <c r="AQ59" i="35" s="1"/>
  <c r="AS59" i="35" s="1"/>
  <c r="AT59" i="35" s="1"/>
  <c r="T52" i="35"/>
  <c r="AQ52" i="35" s="1"/>
  <c r="AS52" i="35" s="1"/>
  <c r="AT52" i="35" s="1"/>
  <c r="T42" i="35"/>
  <c r="AQ42" i="35" s="1"/>
  <c r="AS42" i="35" s="1"/>
  <c r="AT42" i="35" s="1"/>
  <c r="T48" i="35"/>
  <c r="AQ48" i="35" s="1"/>
  <c r="AS48" i="35" s="1"/>
  <c r="AT48" i="35" s="1"/>
  <c r="T44" i="35"/>
  <c r="AQ44" i="35" s="1"/>
  <c r="AS44" i="35" s="1"/>
  <c r="AT44" i="35" s="1"/>
  <c r="T19" i="35"/>
  <c r="AQ19" i="35" s="1"/>
  <c r="AS19" i="35" s="1"/>
  <c r="AT19" i="35" s="1"/>
  <c r="T45" i="35"/>
  <c r="AQ45" i="35" s="1"/>
  <c r="AS45" i="35" s="1"/>
  <c r="AT45" i="35" s="1"/>
  <c r="T49" i="35"/>
  <c r="AQ49" i="35" s="1"/>
  <c r="AS49" i="35" s="1"/>
  <c r="AT49" i="35" s="1"/>
  <c r="T72" i="35"/>
  <c r="AQ72" i="35" s="1"/>
  <c r="AS72" i="35" s="1"/>
  <c r="AT72" i="35" s="1"/>
  <c r="T35" i="35"/>
  <c r="AQ35" i="35" s="1"/>
  <c r="AS35" i="35" s="1"/>
  <c r="AT35" i="35" s="1"/>
  <c r="T43" i="35"/>
  <c r="AQ43" i="35" s="1"/>
  <c r="AS43" i="35" s="1"/>
  <c r="AT43" i="35" s="1"/>
  <c r="T50" i="35"/>
  <c r="AQ50" i="35" s="1"/>
  <c r="AS50" i="35" s="1"/>
  <c r="AT50" i="35" s="1"/>
  <c r="T51" i="35"/>
  <c r="AQ51" i="35" s="1"/>
  <c r="AS51" i="35" s="1"/>
  <c r="AT51" i="35" s="1"/>
  <c r="T75" i="35"/>
  <c r="AQ75" i="35" s="1"/>
  <c r="AS75" i="35" s="1"/>
  <c r="AT75" i="35" s="1"/>
  <c r="T25" i="35"/>
  <c r="AQ25" i="35" s="1"/>
  <c r="AS25" i="35" s="1"/>
  <c r="AT25" i="35" s="1"/>
  <c r="T69" i="35"/>
  <c r="AQ69" i="35" s="1"/>
  <c r="AS69" i="35" s="1"/>
  <c r="AT69" i="35" s="1"/>
  <c r="T74" i="35"/>
  <c r="AQ74" i="35" s="1"/>
  <c r="AS74" i="35" s="1"/>
  <c r="AT74" i="35" s="1"/>
  <c r="T16" i="35"/>
  <c r="AQ16" i="35" s="1"/>
  <c r="AS16" i="35" s="1"/>
  <c r="AT16" i="35" s="1"/>
  <c r="T66" i="35"/>
  <c r="AQ66" i="35" s="1"/>
  <c r="AS66" i="35" s="1"/>
  <c r="AT66" i="35" s="1"/>
  <c r="T55" i="35"/>
  <c r="AQ55" i="35" s="1"/>
  <c r="AS55" i="35" s="1"/>
  <c r="AT55" i="35" s="1"/>
  <c r="T57" i="35"/>
  <c r="AQ57" i="35" s="1"/>
  <c r="AS57" i="35" s="1"/>
  <c r="AT57" i="35" s="1"/>
  <c r="T60" i="35"/>
  <c r="AQ60" i="35" s="1"/>
  <c r="AS60" i="35" s="1"/>
  <c r="AT60" i="35" s="1"/>
  <c r="T23" i="35"/>
  <c r="AQ23" i="35" s="1"/>
  <c r="AS23" i="35" s="1"/>
  <c r="AT23" i="35" s="1"/>
  <c r="AH13" i="11"/>
  <c r="AH34" i="11" s="1"/>
  <c r="R32" i="24"/>
  <c r="P30" i="24"/>
  <c r="AN7" i="11" l="1"/>
  <c r="AN6" i="11"/>
  <c r="AI37" i="11"/>
  <c r="AN5" i="11"/>
  <c r="AN8" i="11"/>
  <c r="AP4" i="11"/>
  <c r="AO4" i="11"/>
  <c r="G18" i="42"/>
  <c r="G39" i="42" s="1"/>
  <c r="E18" i="42"/>
  <c r="E39" i="42" s="1"/>
  <c r="D18" i="42"/>
  <c r="D39" i="42" s="1"/>
  <c r="B39" i="42"/>
  <c r="K55" i="11"/>
  <c r="F55" i="11"/>
  <c r="G55" i="11" s="1"/>
  <c r="I55" i="11" s="1"/>
  <c r="AP5" i="11" l="1"/>
  <c r="AO5" i="11"/>
  <c r="T55" i="11"/>
  <c r="AP6" i="11" l="1"/>
  <c r="AO6" i="11"/>
  <c r="X55" i="11"/>
  <c r="V55" i="11"/>
  <c r="AP7" i="11" l="1"/>
  <c r="AO7" i="11"/>
  <c r="W55" i="11"/>
  <c r="Z55" i="11" s="1"/>
  <c r="AP8" i="11" l="1"/>
  <c r="AP9" i="11" s="1"/>
  <c r="AO8" i="11"/>
  <c r="AO9" i="11" s="1"/>
  <c r="AN9" i="11"/>
  <c r="Y55" i="11"/>
</calcChain>
</file>

<file path=xl/sharedStrings.xml><?xml version="1.0" encoding="utf-8"?>
<sst xmlns="http://schemas.openxmlformats.org/spreadsheetml/2006/main" count="2795" uniqueCount="634">
  <si>
    <t>EFECTOS DE FALLO</t>
  </si>
  <si>
    <t>CLASIFICACIÓN A</t>
  </si>
  <si>
    <t>CLASIFICACIÓN B</t>
  </si>
  <si>
    <t>FRECUENCIA</t>
  </si>
  <si>
    <t>FUNCIÓN / PROCESO</t>
  </si>
  <si>
    <t>FALLOS FUNCIONALES</t>
  </si>
  <si>
    <t>MODOS DE FALLO</t>
  </si>
  <si>
    <t>CONSECUENCIAS DE FALLO</t>
  </si>
  <si>
    <t>VALORACIÓN DE RIESGO</t>
  </si>
  <si>
    <t>FALLO OCULTO</t>
  </si>
  <si>
    <t xml:space="preserve">SEGURIDAD Y MEDIO AMBIENTE </t>
  </si>
  <si>
    <t>PRODUCCIÓN</t>
  </si>
  <si>
    <t>MANTENIMIENTO</t>
  </si>
  <si>
    <t>GRAVEDAD</t>
  </si>
  <si>
    <t>FRECUENCIA DE FALLOS</t>
  </si>
  <si>
    <t>DETECTABILIDAD</t>
  </si>
  <si>
    <t>N.P.R.</t>
  </si>
  <si>
    <t>SUBSISTEMA</t>
  </si>
  <si>
    <t>COMPONENTE</t>
  </si>
  <si>
    <t>COLUMNA</t>
  </si>
  <si>
    <t>EMPAQUETADURA</t>
  </si>
  <si>
    <t>EQUIPOS EXTERNOS</t>
  </si>
  <si>
    <t>EQUIPOS INTERNOS</t>
  </si>
  <si>
    <t>CONTROL Y MONITOREO</t>
  </si>
  <si>
    <t>VARIOS</t>
  </si>
  <si>
    <t>SOPORTE</t>
  </si>
  <si>
    <t>QUEMADOR</t>
  </si>
  <si>
    <t>TUBOS DE HUMO</t>
  </si>
  <si>
    <t>CUERPO</t>
  </si>
  <si>
    <t>TUBERIAS DE ALIMENTACION DE AGUA CONDENSADA</t>
  </si>
  <si>
    <t>TUBERIA DE PURGA</t>
  </si>
  <si>
    <t>VALVULAS DE SEGURIDAD</t>
  </si>
  <si>
    <t>CUERPO INTERNO</t>
  </si>
  <si>
    <t>CONTACTOR</t>
  </si>
  <si>
    <t>BOTONERA</t>
  </si>
  <si>
    <t>CONTROLADOR DE QUEMADOR</t>
  </si>
  <si>
    <t>CONTROLADOR DE LLAMA</t>
  </si>
  <si>
    <t>PRESSURETROL DE OPERACIÓN</t>
  </si>
  <si>
    <t>MANOMETRO DE PRESION</t>
  </si>
  <si>
    <t>MANOMETRO DE TEMPERATURA</t>
  </si>
  <si>
    <t>VALVULA DE CONTROL DE GAS</t>
  </si>
  <si>
    <t>VALVULA REGULADORA DE AIRE</t>
  </si>
  <si>
    <t>MCDONELL</t>
  </si>
  <si>
    <t>VENTILADOR DE MOTOR</t>
  </si>
  <si>
    <t>VISOR DE LLAMA</t>
  </si>
  <si>
    <t>EMPAQUES DE QUEMADOR</t>
  </si>
  <si>
    <t>ELECTRODOS</t>
  </si>
  <si>
    <t>TRANSFORMADOR DE IGNICIÓN</t>
  </si>
  <si>
    <t>VISOR DE NIVEL DE AGUA</t>
  </si>
  <si>
    <t>EMPAQUES DE COMPUERTAS</t>
  </si>
  <si>
    <t>VALVULA DE PASO DE VAPOR</t>
  </si>
  <si>
    <t>CUERPO EXTERNO</t>
  </si>
  <si>
    <t>CAMARA DE COMBUSTION</t>
  </si>
  <si>
    <t>BREAKERS</t>
  </si>
  <si>
    <t>SUMINISTRO DE ENERGIA ELECTRICA INTERNA</t>
  </si>
  <si>
    <t>Componente</t>
  </si>
  <si>
    <t>Item</t>
  </si>
  <si>
    <t>Frecuencia de falla (veces /año)</t>
  </si>
  <si>
    <t>Fugas de agua</t>
  </si>
  <si>
    <t>Fallo en el control</t>
  </si>
  <si>
    <t>Pérdida de presión, posible daño estructural</t>
  </si>
  <si>
    <t>Riesgo de explosión, pérdida de producción</t>
  </si>
  <si>
    <t>Pérdida de presión, posible contaminación del producto</t>
  </si>
  <si>
    <t>Riesgo de fuga peligrosa, pérdida de eficiencia</t>
  </si>
  <si>
    <t>VÁLVULA DE PASO DE VAPOR</t>
  </si>
  <si>
    <t>Pérdida de control</t>
  </si>
  <si>
    <t>Pérdida de capacidad de control, posible sobrepresión</t>
  </si>
  <si>
    <t>Riesgo de accidente, pérdida de eficiencia</t>
  </si>
  <si>
    <t>Exposición de componentes internos, posible daño estructural</t>
  </si>
  <si>
    <t>Riesgo de daño estructural, pérdida de aislamiento</t>
  </si>
  <si>
    <t>TUBERÍAS DE ALIMENTACIÓN DE AGUA CONDENSADA</t>
  </si>
  <si>
    <t>Pérdida de agua, posible contaminación del vapor</t>
  </si>
  <si>
    <t>Riesgo de pérdida de eficiencia, pérdida de producción</t>
  </si>
  <si>
    <t>TUBERÍA DE PURGA</t>
  </si>
  <si>
    <t>Acumulación de condensado, posible daño de equipos</t>
  </si>
  <si>
    <t>Riesgo de daño de equipos, pérdida de eficiencia</t>
  </si>
  <si>
    <t>Debilidad estructural</t>
  </si>
  <si>
    <t>Caída de componentes, posible daño estructural</t>
  </si>
  <si>
    <t>Riesgo de accidente, pérdida de producción</t>
  </si>
  <si>
    <t>No se abre en caso de emergencia</t>
  </si>
  <si>
    <t>Falta de protección contra sobrepresión, posible accidente</t>
  </si>
  <si>
    <t>Riesgo de accidente, daño a la caldera</t>
  </si>
  <si>
    <t>Pérdida de eficiencia, posible daño estructural</t>
  </si>
  <si>
    <t>Riesgo de explosión, pérdida de eficiencia</t>
  </si>
  <si>
    <t>Fallo de encendido, mal funcionamiento</t>
  </si>
  <si>
    <t>Pérdida de eficiencia, posible apagado del sistema</t>
  </si>
  <si>
    <t>Riesgo de pérdida de producción, ineficiencia</t>
  </si>
  <si>
    <t>Pérdida de eficiencia de transferencia de calor</t>
  </si>
  <si>
    <t>CÁMARA DE COMBUSTIÓN</t>
  </si>
  <si>
    <t>Pérdida de control de combustión, posible daño estructural</t>
  </si>
  <si>
    <t>Pérdida de control de la llama, posible apagado</t>
  </si>
  <si>
    <t>Riesgo de apagado del sistema, pérdida de producción</t>
  </si>
  <si>
    <t>Fallo de encendido</t>
  </si>
  <si>
    <t>Pérdida de encendido, posible apagado del sistema</t>
  </si>
  <si>
    <t>Pérdida de control de la ignición, posible apagado</t>
  </si>
  <si>
    <t>Fallo de botones, mal funcionamiento</t>
  </si>
  <si>
    <t>Pérdida de control y operatividad, posible apagado</t>
  </si>
  <si>
    <t>No se activa en caso de cortocircuito</t>
  </si>
  <si>
    <t>Riesgo de cortocircuito, daño eléctrico</t>
  </si>
  <si>
    <t>Riesgo de daño eléctrico, pérdida de producción</t>
  </si>
  <si>
    <t>Pérdida de control de la combustión, posible apagado</t>
  </si>
  <si>
    <t>SUMINISTRO DE ENERGÍA ELÉCTRICA INTERNA</t>
  </si>
  <si>
    <t>Pérdida de suministro</t>
  </si>
  <si>
    <t>Pérdida de energía eléctrica, posible apagado</t>
  </si>
  <si>
    <t>Pérdida de control de la presión, posible sobrepresión</t>
  </si>
  <si>
    <t>Riesgo de sobrepresión, pérdida de producción</t>
  </si>
  <si>
    <t>MANÓMETRO DE PRESIÓN</t>
  </si>
  <si>
    <t>Lectura incorrecta</t>
  </si>
  <si>
    <t>Pérdida de lectura precisa, posible sobrepresión</t>
  </si>
  <si>
    <t>Riesgo de sobrepresión, pérdida de control</t>
  </si>
  <si>
    <t>MANÓMETRO DE TEMPERATURA</t>
  </si>
  <si>
    <t>Pérdida de lectura precisa, posible sobrecalentamiento</t>
  </si>
  <si>
    <t>Riesgo de sobrecalentamiento, pérdida de control</t>
  </si>
  <si>
    <t>VÁLVULA DE CONTROL DE GAS</t>
  </si>
  <si>
    <t>Pérdida de control del combustible, posible apagado</t>
  </si>
  <si>
    <t>VÁLVULA REGULADORA DE AIRE</t>
  </si>
  <si>
    <t>Pérdida de control del agua, posible sobrecalentamiento</t>
  </si>
  <si>
    <t>Fallo en el funcionamiento</t>
  </si>
  <si>
    <t>Pérdida de suministro de aire, posible apagado</t>
  </si>
  <si>
    <t>Fugas de aire, gases o vapor</t>
  </si>
  <si>
    <t>Pérdida de hermeticidad, posible sobrecalentamiento</t>
  </si>
  <si>
    <t>Riesgo de sobrecalentamiento, pérdida de eficiencia</t>
  </si>
  <si>
    <t>No detecta la llama</t>
  </si>
  <si>
    <t>Fallo en la detección de la llama, posible apagado</t>
  </si>
  <si>
    <t>Riesgo de apagado del sistema, pérdida de control</t>
  </si>
  <si>
    <t>Fugas de aire o combustible</t>
  </si>
  <si>
    <t>Pérdida de hermeticidad, posible apagado del sistema</t>
  </si>
  <si>
    <t>Riesgo de apagado del sistema, pérdida de eficiencia</t>
  </si>
  <si>
    <t>No detecta el nivel de agua</t>
  </si>
  <si>
    <t>Fallo en la detección del nivel de agua, posible apagado</t>
  </si>
  <si>
    <t xml:space="preserve">Fugas de vapor </t>
  </si>
  <si>
    <t>A</t>
  </si>
  <si>
    <t>Deformación</t>
  </si>
  <si>
    <t>Agrietamiento</t>
  </si>
  <si>
    <t>Desgaste</t>
  </si>
  <si>
    <t>B</t>
  </si>
  <si>
    <t>Bloqueo</t>
  </si>
  <si>
    <t>Fugas</t>
  </si>
  <si>
    <t>Daños Mecánicos</t>
  </si>
  <si>
    <t>Golpes</t>
  </si>
  <si>
    <t>Corrosión</t>
  </si>
  <si>
    <t>C</t>
  </si>
  <si>
    <t>D</t>
  </si>
  <si>
    <t>E</t>
  </si>
  <si>
    <t>Obstrucción</t>
  </si>
  <si>
    <t>Fallo eléctrico</t>
  </si>
  <si>
    <t>F</t>
  </si>
  <si>
    <t>Fallo de ignición</t>
  </si>
  <si>
    <t>Daño mecánico</t>
  </si>
  <si>
    <t>Suciedad</t>
  </si>
  <si>
    <t>G</t>
  </si>
  <si>
    <t>H</t>
  </si>
  <si>
    <t>I</t>
  </si>
  <si>
    <t>J</t>
  </si>
  <si>
    <t>K</t>
  </si>
  <si>
    <t>L</t>
  </si>
  <si>
    <t>Fallo electrónico</t>
  </si>
  <si>
    <t>Daño en la escala</t>
  </si>
  <si>
    <t>Fugas de vapor</t>
  </si>
  <si>
    <t>Fugas de gases de humo</t>
  </si>
  <si>
    <t>Sobrecalentamiento</t>
  </si>
  <si>
    <t>Salida de vapor saturado generado por el intercambio de calor dentro de la caldera</t>
  </si>
  <si>
    <t xml:space="preserve">Contener el agua y el vapor dentro de la caldera para lograr aumentar la presión y la temperatura. </t>
  </si>
  <si>
    <t xml:space="preserve">Contener el agua y los tubos de fuego donde mediante la transferencia de calor aumenta la temperatura y la presión del agua. </t>
  </si>
  <si>
    <t>Dispositivos de control monitorear y regular parametros (Presión, temperatura, flujo de gas y aire) de operación de la caldera</t>
  </si>
  <si>
    <t>Equipos auxiliares que permiten visualizar la llama generada en la combustión, los niveles de agua.</t>
  </si>
  <si>
    <t>Fallo en sellado entre componentes</t>
  </si>
  <si>
    <t>No mantiene el vapor a alta presión</t>
  </si>
  <si>
    <t>No controla el flujo de vapor</t>
  </si>
  <si>
    <t>No protege componentes internos</t>
  </si>
  <si>
    <t>Falla en el suministro de agua al sistema</t>
  </si>
  <si>
    <t>No sostiene componentes</t>
  </si>
  <si>
    <t>No se puede eliminar condensado y sedimentos</t>
  </si>
  <si>
    <t>No alivia la presión en caso de sobrepresión</t>
  </si>
  <si>
    <t>Falla en contesión de la llama y gases de combustión</t>
  </si>
  <si>
    <t>Falla de combustión eficiente del combustible</t>
  </si>
  <si>
    <t>No hay transferencia calor desde la combustión</t>
  </si>
  <si>
    <t>No puede contener la combustión y dirigirla</t>
  </si>
  <si>
    <t>No encendiende y mantiene la llama</t>
  </si>
  <si>
    <t>No proporciona energía para la ignición</t>
  </si>
  <si>
    <t>No controla y opera el sistema</t>
  </si>
  <si>
    <t>No controla el flujo de energía eléctrica</t>
  </si>
  <si>
    <t>No protege el sistema eléctrico</t>
  </si>
  <si>
    <t>No regula el funcionamiento del quemador</t>
  </si>
  <si>
    <t>Falla en monitorear y mantener la llama</t>
  </si>
  <si>
    <t>Falla en alimentar el sistema eléctrico</t>
  </si>
  <si>
    <t>No controla la presión de operación</t>
  </si>
  <si>
    <t>No hay lectura de la presión del sistema</t>
  </si>
  <si>
    <t>No hay lectura de la temperatura del sistema</t>
  </si>
  <si>
    <t>No regula el flujo de gas</t>
  </si>
  <si>
    <t>No regula el flujo de aire</t>
  </si>
  <si>
    <t>Falla en proporcionar aire de combustión</t>
  </si>
  <si>
    <t>Falle en sellado hermético de compuertas</t>
  </si>
  <si>
    <t>Falla en sellado hermético del quemador</t>
  </si>
  <si>
    <t>Falla en monitoreo el nivel de agua en la caldera</t>
  </si>
  <si>
    <t>Fallas en monitoreo de la presencia de la llama</t>
  </si>
  <si>
    <t>MATRIZ AMFEC</t>
  </si>
  <si>
    <t>SI</t>
  </si>
  <si>
    <t>NO</t>
  </si>
  <si>
    <t>Deterioro de empaque de la tuberia</t>
  </si>
  <si>
    <t>TIPO DE MANTENIMIENTO</t>
  </si>
  <si>
    <t>Inspección</t>
  </si>
  <si>
    <t>Preventivo</t>
  </si>
  <si>
    <t>Reemplazo</t>
  </si>
  <si>
    <t>Inspección y Calibración</t>
  </si>
  <si>
    <t>Inspección y Reforzamiento</t>
  </si>
  <si>
    <t>Inspección y Reemplazo</t>
  </si>
  <si>
    <t>Prueba y Mantenimiento Eléctrico</t>
  </si>
  <si>
    <t>PLAN DE MANTENIMIENTO</t>
  </si>
  <si>
    <t>PERSONAL RESPONSABLE DE REALIZAR LA TAREA</t>
  </si>
  <si>
    <t>Personal Calificado</t>
  </si>
  <si>
    <t>A1</t>
  </si>
  <si>
    <t>A2</t>
  </si>
  <si>
    <t>A3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</si>
  <si>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</si>
  <si>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</si>
  <si>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</si>
  <si>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</si>
  <si>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</si>
  <si>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</si>
  <si>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</si>
  <si>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</si>
  <si>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</si>
  <si>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</si>
  <si>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</si>
  <si>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</si>
  <si>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</si>
  <si>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</si>
  <si>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</si>
  <si>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</si>
  <si>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</si>
  <si>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</si>
  <si>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</si>
  <si>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</si>
  <si>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</si>
  <si>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</si>
  <si>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</si>
  <si>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</si>
  <si>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</si>
  <si>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Código</t>
  </si>
  <si>
    <t>B1</t>
  </si>
  <si>
    <t>R (S)</t>
  </si>
  <si>
    <t>R (S) total</t>
  </si>
  <si>
    <t>ACTUAL</t>
  </si>
  <si>
    <t>TIPO DE TAREA DE MANTENIMIENTO</t>
  </si>
  <si>
    <t>Desgaste del empaque</t>
  </si>
  <si>
    <t>Fatiga estructural</t>
  </si>
  <si>
    <t>Deformación estructural</t>
  </si>
  <si>
    <t>Agrietamiento estructural</t>
  </si>
  <si>
    <t>Obstruccion en tuberia de salida de vapor</t>
  </si>
  <si>
    <t>Bloqueo externo</t>
  </si>
  <si>
    <t>No controla el flujo/ nivel de agua</t>
  </si>
  <si>
    <t>Riesgo de sobrecalentamiento, pérdida de control, nivel inadeacuado de agua</t>
  </si>
  <si>
    <t>PH del agua suavizada</t>
  </si>
  <si>
    <t>Predictivo</t>
  </si>
  <si>
    <t>Controlar el PH del agua suavizada que este entre los valores de 8.5 -10</t>
  </si>
  <si>
    <t>Inspección, Limpieza y Reemplazo</t>
  </si>
  <si>
    <t>SISTEMA</t>
  </si>
  <si>
    <r>
      <rPr>
        <sz val="16"/>
        <rFont val="Times New Roman"/>
        <family val="1"/>
      </rPr>
      <t>Elaborado por</t>
    </r>
    <r>
      <rPr>
        <b/>
        <sz val="16"/>
        <rFont val="Times New Roman"/>
        <family val="1"/>
      </rPr>
      <t>:</t>
    </r>
    <r>
      <rPr>
        <b/>
        <sz val="14"/>
        <rFont val="Times New Roman"/>
        <family val="1"/>
      </rPr>
      <t xml:space="preserve">           Ing. Sofia Guevara, Ing. Juan Aguilar , Ing. Erick Mejía</t>
    </r>
  </si>
  <si>
    <t>DESCRIPCIÓN TAREA PROPUESTA DE MANTENIMIENTO</t>
  </si>
  <si>
    <t>CALDERA PIROTUBULAR</t>
  </si>
  <si>
    <t>NPR</t>
  </si>
  <si>
    <t>CRITICIDAD</t>
  </si>
  <si>
    <t>N°</t>
  </si>
  <si>
    <t>Ramking  Criticidad</t>
  </si>
  <si>
    <t>MTTF (Horas)</t>
  </si>
  <si>
    <t>Tiempo de mantenimiento Recomendado (Meses)</t>
  </si>
  <si>
    <t>Tiempo de operación Anual (Horas)</t>
  </si>
  <si>
    <t>ACCIÓN A REALIZAR</t>
  </si>
  <si>
    <t>Revisar el funcionamiento del ventilador del quemador</t>
  </si>
  <si>
    <t>Observar los componentes del ventilador que estén trabajando en forma normal</t>
  </si>
  <si>
    <t>Verificar la presión de combustible (LPG)</t>
  </si>
  <si>
    <t>Verificar la forma y color de llama</t>
  </si>
  <si>
    <t>Comprobar visualmente la forma homogenea.</t>
  </si>
  <si>
    <t>diario</t>
  </si>
  <si>
    <t>Revisar el visor de nivel de agua</t>
  </si>
  <si>
    <t>Observar el tubo de nivel de agua del Mcdonell</t>
  </si>
  <si>
    <t>Elevación de temperatura</t>
  </si>
  <si>
    <t>Verificar la temperatura del agua del condensado</t>
  </si>
  <si>
    <t>Registrar la temperatura del agua.</t>
  </si>
  <si>
    <t>Elevada Temperatura</t>
  </si>
  <si>
    <t>Debe cumplir el ciclo (pre-purga, ignición, prueba de llama, llama principal, post purga)</t>
  </si>
  <si>
    <t xml:space="preserve">Tomar muestras del agua </t>
  </si>
  <si>
    <t>Abrir la valvula de purga rapida y luego la valvula de purga de apertura lenta, para evitar choques.</t>
  </si>
  <si>
    <t>Verificar la presencia de oxido o solidos en suspensión</t>
  </si>
  <si>
    <t>Revisar toda las tuberias y retorno de condensado</t>
  </si>
  <si>
    <t>Verificar las fugas de las valvulas</t>
  </si>
  <si>
    <t>Limpiar el carboncillo formado y mantenes la separación adecuada</t>
  </si>
  <si>
    <t>semanal</t>
  </si>
  <si>
    <t xml:space="preserve">Verificación y Limpieza del electrodo </t>
  </si>
  <si>
    <t>Revisar el visor de llama</t>
  </si>
  <si>
    <t>Observar el visor</t>
  </si>
  <si>
    <t>Limpiar las toberas, Limpiar los electrodos y darle la tolerancia adecuada, Revisar si las aletas tienen deformiddad, Revisar las varillas de control, Limpiar los componentes y revisar lo cables electricos.</t>
  </si>
  <si>
    <t>mensual</t>
  </si>
  <si>
    <t>Esta tarea realizarla cuando la caldera se encuentra totalmente apagada o antes de encenderla, limpiar y secar</t>
  </si>
  <si>
    <t>Revisar, limpiar y probar valvula solenoide y controles</t>
  </si>
  <si>
    <t>Limpiar y comprobar su funcionamiento mediante pruebas electricas, si están averidas reemplazarlas.</t>
  </si>
  <si>
    <t>Verificar funcionamiento</t>
  </si>
  <si>
    <t>Probar el funcionamiento del componente, si están averiados reemplazarlo.</t>
  </si>
  <si>
    <t xml:space="preserve">Inspeccionar los puntos calientes </t>
  </si>
  <si>
    <t>Utilizar camara termografica</t>
  </si>
  <si>
    <t>Verificar el estado y funcionamiento de las trampas de vapor y accesorios en el retorno de condensado</t>
  </si>
  <si>
    <t>Utilizar ultrasonido</t>
  </si>
  <si>
    <t>Limpiar visor de nivel de agua</t>
  </si>
  <si>
    <t>Limpiar visor de llama</t>
  </si>
  <si>
    <t>Limpieza de visor y su base (extracción de sedimentos)</t>
  </si>
  <si>
    <t>Cambiar empaquetaduras</t>
  </si>
  <si>
    <t>semestral</t>
  </si>
  <si>
    <t>Cambiar las empaquetaduras del tubo visor del nivel de agua</t>
  </si>
  <si>
    <t>Calibrar y/o reemplazar</t>
  </si>
  <si>
    <t>Verificar los valores del termometro de gases</t>
  </si>
  <si>
    <t>Revisión de tubos</t>
  </si>
  <si>
    <t>Cambiar empaquetaduras de compuertas</t>
  </si>
  <si>
    <t>Reemplzar las empaquetaduras de las puertas.</t>
  </si>
  <si>
    <t>anual</t>
  </si>
  <si>
    <t>Verificar el estado general</t>
  </si>
  <si>
    <t>Verificar en que condiciones se encuentra, si hay fisuras visibles u otro aspecto relevante para su reparacion</t>
  </si>
  <si>
    <t>Realizar limpieza mecanica de los tubos de humo (deshollinado)</t>
  </si>
  <si>
    <t>Limpiar el hollin con una escobilla de fierro los tubos de humo, flue.</t>
  </si>
  <si>
    <t>Dejar que se enfrié la caldera para ver en que condiciones se encuentra la superficie de los tubos, verificar si hay corrosión, picadura o inscrustaciones</t>
  </si>
  <si>
    <t>Revisión y limpieza, bomba de combustible, motor de ventilador, delfector, regulador de aire,sensor de llama, reemplazar de ser necesario. Toberas desbocadas y no atomiza bien al quemar los combustibles, Electrodos con desgaste o con presencia de fisura.</t>
  </si>
  <si>
    <t>Ver si existe fuga de vapor en las valvulas de seguridad o niples de conexión, probar la apertura de las valvulas. Anualmente regulación y certificación de la presión de descarga.</t>
  </si>
  <si>
    <t>Revisar todo el sistema electrico</t>
  </si>
  <si>
    <t>Medición de la resistividad de la puesta a tierra, Revisión y limpieza desde la alimentación electrica hasta la caldera</t>
  </si>
  <si>
    <t>Revisar el aislamiento termico del cuerpo</t>
  </si>
  <si>
    <t>Verficar los puntos calientes de la caldera, Verificar estado de aislamiento termico.</t>
  </si>
  <si>
    <t xml:space="preserve">Verificar los valores del manometro </t>
  </si>
  <si>
    <t>Revisar valvula de vapor</t>
  </si>
  <si>
    <t xml:space="preserve">Realizar una medición de espesores de placas de la caldera, mediante equipos de ultrasonidos para calderas con mayor de 10 años de vida util, </t>
  </si>
  <si>
    <t>Revisar componentes de la valvula check-globo</t>
  </si>
  <si>
    <t>Cambio de accesorios internos, revision de juntas de dilatación</t>
  </si>
  <si>
    <t>Retirar piezas</t>
  </si>
  <si>
    <t>Verificación del anclaje, pintado de escaleras, plataformas de apertura de valvulas.</t>
  </si>
  <si>
    <t xml:space="preserve">Realizar mantenimiento de la estructura </t>
  </si>
  <si>
    <t>Comprobar que no hay fugas de gases, en los empaques  de ambas tapas, ni visor.</t>
  </si>
  <si>
    <t>Desmontaje totalemente del quemador y cambiar los componentes en mal estado. Cambiar toberas y electrodos</t>
  </si>
  <si>
    <t>Verificar el estado por fisuras</t>
  </si>
  <si>
    <t xml:space="preserve">Revisar toda las tuberias </t>
  </si>
  <si>
    <t>Lubricar los rodamientos y piezas moviles</t>
  </si>
  <si>
    <t>Lubricar los rodajes, ejes y partes metalicas moviles en contacto</t>
  </si>
  <si>
    <t>Revisar la empaquetadura</t>
  </si>
  <si>
    <t>Cambiar la empaquetardura de ser necesario</t>
  </si>
  <si>
    <t xml:space="preserve">Revisar estado general </t>
  </si>
  <si>
    <t>Limpieza y comprobar funcionamiento</t>
  </si>
  <si>
    <t>ACCION A REALIZAR</t>
  </si>
  <si>
    <t>Inspeccionar las placas, Realizar prueba hidrostática al 50% a la presión de trabajo durante una hora, debe ser realizado por personal especializado</t>
  </si>
  <si>
    <t>Factor de escala Weibull</t>
  </si>
  <si>
    <t>Parametro de forma Weibull betha (1-4)</t>
  </si>
  <si>
    <t>R (t) antes</t>
  </si>
  <si>
    <t>TOP (horas) anual</t>
  </si>
  <si>
    <t>MTTR = tiempo medio de reparación (horas)</t>
  </si>
  <si>
    <t>TOTAL</t>
  </si>
  <si>
    <t>Costo de componente ($)</t>
  </si>
  <si>
    <t>FF (fallos/año)</t>
  </si>
  <si>
    <t>Año</t>
  </si>
  <si>
    <t>n</t>
  </si>
  <si>
    <t>S</t>
  </si>
  <si>
    <t>ni</t>
  </si>
  <si>
    <t>TO (horas) ordenados</t>
  </si>
  <si>
    <t>B= ln(to)</t>
  </si>
  <si>
    <t>bi=1/ln(to)</t>
  </si>
  <si>
    <t>bi^2</t>
  </si>
  <si>
    <t>ps=yi</t>
  </si>
  <si>
    <t>ln(1/yi)</t>
  </si>
  <si>
    <t>A= ln(ln(1/yi))</t>
  </si>
  <si>
    <t>Zi= A/B</t>
  </si>
  <si>
    <t>Zi*bi</t>
  </si>
  <si>
    <t>R(t). Weibull</t>
  </si>
  <si>
    <t>TPO. Weibull</t>
  </si>
  <si>
    <t>Total</t>
  </si>
  <si>
    <t>A(t) antes</t>
  </si>
  <si>
    <t>Tiempo (horas)</t>
  </si>
  <si>
    <t>Tiempo de mantenimiento Recomendado (DIAS)</t>
  </si>
  <si>
    <t>R(t)</t>
  </si>
  <si>
    <t>Costo de componente anualizado ($)</t>
  </si>
  <si>
    <t>n° personas</t>
  </si>
  <si>
    <t>Verificar el coRrecto funcionamiento del programador</t>
  </si>
  <si>
    <t>INGENIERO</t>
  </si>
  <si>
    <t>SUPERVISOR</t>
  </si>
  <si>
    <t>PERSONAL EXTERNO</t>
  </si>
  <si>
    <t>SUPERINTENDENTE</t>
  </si>
  <si>
    <t>Puesto</t>
  </si>
  <si>
    <t>Costo por Hora</t>
  </si>
  <si>
    <t>TOTAL DEVENGO</t>
  </si>
  <si>
    <t>TOTAL COSTO EMPRESA</t>
  </si>
  <si>
    <t>ISSS PATRONAL (7.50%)</t>
  </si>
  <si>
    <t>AFP PATRONAL (7.75%)</t>
  </si>
  <si>
    <t>INSAFORP PATRONAL (1%)</t>
  </si>
  <si>
    <t>PROVISION INDEMNIZACION (8.33%)</t>
  </si>
  <si>
    <t>PROVISION VACACION (5.42%)</t>
  </si>
  <si>
    <t>PROVISION AGUINALDO (6%)</t>
  </si>
  <si>
    <t>Costo PROMEDIO  de mano de obra ($/hr)</t>
  </si>
  <si>
    <t>Costo por penalización ($/hr)</t>
  </si>
  <si>
    <t>Revisar si existe un bloque de piezas externas</t>
  </si>
  <si>
    <t xml:space="preserve">Costo por hora </t>
  </si>
  <si>
    <t>MO ($)</t>
  </si>
  <si>
    <t>Repuestos ($)</t>
  </si>
  <si>
    <t>Frecuencia de la tarea de mantenimiento</t>
  </si>
  <si>
    <t xml:space="preserve">PERSONAL RESPONSABLE </t>
  </si>
  <si>
    <t>Total Anual ($)</t>
  </si>
  <si>
    <t>Efectuar purgas de fondo</t>
  </si>
  <si>
    <t>Limpieza</t>
  </si>
  <si>
    <t>Sellar las fugas y reajustar pernos de las compuertas de ser necesario.</t>
  </si>
  <si>
    <t>Revisar el funcionamiento del quemador, desarmando y limpiando el sistema de encendido y los electrodos</t>
  </si>
  <si>
    <t>Revisar, limpiar y probar las valvulas de seguridad</t>
  </si>
  <si>
    <t>Inspección /  Calibración / Reemplazo</t>
  </si>
  <si>
    <t>La presión de combustible debe estar en el rango de trabajo</t>
  </si>
  <si>
    <t>Mecánico</t>
  </si>
  <si>
    <t>Mecánico / Personal Calificado</t>
  </si>
  <si>
    <t>%</t>
  </si>
  <si>
    <t>Costo Anual</t>
  </si>
  <si>
    <t>OPERADOR</t>
  </si>
  <si>
    <t>MECANICO</t>
  </si>
  <si>
    <t>v</t>
  </si>
  <si>
    <t>C = n*S(Zi*bi) - (SZi*Sbi)</t>
  </si>
  <si>
    <t>D = Sbi*S(Zi*bi) - (SZi*Sbi)</t>
  </si>
  <si>
    <r>
      <t>b = S(Zi*bi)/(Sbi-(</t>
    </r>
    <r>
      <rPr>
        <b/>
        <sz val="10"/>
        <rFont val="Calibri"/>
        <family val="2"/>
      </rPr>
      <t>lnθ</t>
    </r>
    <r>
      <rPr>
        <b/>
        <sz val="10"/>
        <rFont val="Symbol"/>
        <family val="1"/>
        <charset val="2"/>
      </rPr>
      <t>*Sbi))</t>
    </r>
  </si>
  <si>
    <r>
      <t>θ = exp(X/</t>
    </r>
    <r>
      <rPr>
        <b/>
        <sz val="11"/>
        <color rgb="FF000000"/>
        <rFont val="Calibri"/>
        <family val="2"/>
      </rPr>
      <t>Δ</t>
    </r>
    <r>
      <rPr>
        <b/>
        <sz val="11"/>
        <color rgb="FF000000"/>
        <rFont val="Times New Roman"/>
        <family val="1"/>
      </rPr>
      <t>)</t>
    </r>
  </si>
  <si>
    <t>MTTF (horas) antes</t>
  </si>
  <si>
    <t>FF Frecuencia de falla (veces /año) antes</t>
  </si>
  <si>
    <t>Total Unitario ($)</t>
  </si>
  <si>
    <t>Frecuencia de falla (veces /hora) antes</t>
  </si>
  <si>
    <t>A4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</si>
  <si>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</si>
  <si>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</si>
  <si>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</si>
  <si>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</si>
  <si>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</si>
  <si>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</si>
  <si>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</si>
  <si>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</si>
  <si>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</si>
  <si>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</si>
  <si>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</si>
  <si>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F1</t>
  </si>
  <si>
    <t>F2</t>
  </si>
  <si>
    <t>F3</t>
  </si>
  <si>
    <t>F4</t>
  </si>
  <si>
    <t>FUTURO</t>
  </si>
  <si>
    <t>C7</t>
  </si>
  <si>
    <t>C8</t>
  </si>
  <si>
    <t>C9</t>
  </si>
  <si>
    <t>D13</t>
  </si>
  <si>
    <t>Tiempo (dias)</t>
  </si>
  <si>
    <t>Tiempo (año)</t>
  </si>
  <si>
    <t>MANO DE OBRA</t>
  </si>
  <si>
    <t>tiempo de ejecucion de manntto. (min)</t>
  </si>
  <si>
    <t>tiempo de ejecucion de mantto. (hora)</t>
  </si>
  <si>
    <t>Horas total al mes para caldera</t>
  </si>
  <si>
    <t>Materiales + Herramientas + EPP ($)</t>
  </si>
  <si>
    <t xml:space="preserve">Horas total al mes </t>
  </si>
  <si>
    <t>Costos de logistica ($) por año</t>
  </si>
  <si>
    <t>1A11</t>
  </si>
  <si>
    <t>1A12</t>
  </si>
  <si>
    <t>1A13</t>
  </si>
  <si>
    <t>1A14</t>
  </si>
  <si>
    <t>1B15</t>
  </si>
  <si>
    <t>1B16</t>
  </si>
  <si>
    <t>1C21</t>
  </si>
  <si>
    <t>1C22</t>
  </si>
  <si>
    <t>1C23</t>
  </si>
  <si>
    <t>2A11</t>
  </si>
  <si>
    <t>2A12</t>
  </si>
  <si>
    <t>2A13</t>
  </si>
  <si>
    <t>2B21</t>
  </si>
  <si>
    <t>2B22</t>
  </si>
  <si>
    <t>2B23</t>
  </si>
  <si>
    <t>2C31</t>
  </si>
  <si>
    <t>2C32</t>
  </si>
  <si>
    <t>2D41</t>
  </si>
  <si>
    <t>2D42</t>
  </si>
  <si>
    <t>2E51</t>
  </si>
  <si>
    <t>2E52</t>
  </si>
  <si>
    <t>3A11</t>
  </si>
  <si>
    <t>3A12</t>
  </si>
  <si>
    <t>3B21</t>
  </si>
  <si>
    <t>3B22</t>
  </si>
  <si>
    <t>3C31</t>
  </si>
  <si>
    <t>3C32</t>
  </si>
  <si>
    <t>3C33</t>
  </si>
  <si>
    <t>3D41</t>
  </si>
  <si>
    <t>3E51</t>
  </si>
  <si>
    <t>3F61</t>
  </si>
  <si>
    <t>4A11</t>
  </si>
  <si>
    <t>4B21</t>
  </si>
  <si>
    <t>4C31</t>
  </si>
  <si>
    <t>4D41</t>
  </si>
  <si>
    <t>4E51</t>
  </si>
  <si>
    <t>4F61</t>
  </si>
  <si>
    <t>4G71</t>
  </si>
  <si>
    <t>4H81</t>
  </si>
  <si>
    <t>4I91</t>
  </si>
  <si>
    <t>4J101</t>
  </si>
  <si>
    <t>4J102</t>
  </si>
  <si>
    <t>4K111</t>
  </si>
  <si>
    <t>4K112</t>
  </si>
  <si>
    <t>4L121</t>
  </si>
  <si>
    <t>4L122</t>
  </si>
  <si>
    <t>5A11</t>
  </si>
  <si>
    <t>5A12</t>
  </si>
  <si>
    <t>5B21</t>
  </si>
  <si>
    <t>5B22</t>
  </si>
  <si>
    <t>5C31</t>
  </si>
  <si>
    <t>5C32</t>
  </si>
  <si>
    <t>5D41</t>
  </si>
  <si>
    <t>5D42</t>
  </si>
  <si>
    <t>5E51</t>
  </si>
  <si>
    <t>5E52</t>
  </si>
  <si>
    <t>Riesgo $/año</t>
  </si>
  <si>
    <t>Costos de perdida de producción ($) por año</t>
  </si>
  <si>
    <t>R (t) propuesto</t>
  </si>
  <si>
    <t>A(t) propuesto</t>
  </si>
  <si>
    <t>MTTF (horas) propuesto</t>
  </si>
  <si>
    <t>Frecuencia de falla (veces /hora) propuesto</t>
  </si>
  <si>
    <t>FF Frecuencia de falla (veces /año) propuesto</t>
  </si>
  <si>
    <t>Frecuencia de falla (veces /hora) actual</t>
  </si>
  <si>
    <t>R(S)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</si>
  <si>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</si>
  <si>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</si>
  <si>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</si>
  <si>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</si>
  <si>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</si>
  <si>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</si>
  <si>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</si>
  <si>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</si>
  <si>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</si>
  <si>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</si>
  <si>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</si>
  <si>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</si>
  <si>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</si>
  <si>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total $</t>
  </si>
  <si>
    <t>Plan Actual</t>
  </si>
  <si>
    <t>Plan Propuesto</t>
  </si>
  <si>
    <t>F (t) antes</t>
  </si>
  <si>
    <t>F (t) propuesto</t>
  </si>
  <si>
    <t>Costo Mtto. (Actual)</t>
  </si>
  <si>
    <t>Costo Mtto. (Propuesto)</t>
  </si>
  <si>
    <t>Ahorro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</si>
  <si>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</si>
  <si>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</si>
  <si>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</si>
  <si>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</si>
  <si>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</si>
  <si>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</si>
  <si>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</si>
  <si>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</si>
  <si>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</si>
  <si>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</si>
  <si>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</si>
  <si>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</si>
  <si>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</si>
  <si>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</si>
  <si>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</si>
  <si>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</si>
  <si>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</si>
  <si>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</si>
  <si>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</si>
  <si>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</si>
  <si>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</si>
  <si>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</si>
  <si>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</si>
  <si>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z</t>
  </si>
  <si>
    <t>x</t>
  </si>
  <si>
    <t>y</t>
  </si>
  <si>
    <t>Costos + (z*error tipico)</t>
  </si>
  <si>
    <t>Costos - (z*error tipico)</t>
  </si>
  <si>
    <t>Indisponibilidad</t>
  </si>
  <si>
    <t>ecuacion</t>
  </si>
  <si>
    <t>diferencia</t>
  </si>
  <si>
    <t xml:space="preserve">Si existe una relacion entre las variables costos e indisponibilidad de tipo lineal, del Analisis de regresión la siguiente ecuacion : </t>
  </si>
  <si>
    <t>Vapor No Generado (Ton /Año)</t>
  </si>
  <si>
    <t>Tiempo esperado anual fuera de servicio por falla hr/año</t>
  </si>
  <si>
    <t xml:space="preserve">Vapor Generado (Ton /Año) </t>
  </si>
  <si>
    <t>PROPUESTO</t>
  </si>
  <si>
    <t xml:space="preserve">Vapor Generado </t>
  </si>
  <si>
    <t>Ton/Año</t>
  </si>
  <si>
    <t>Indisponibilidad (Actual)</t>
  </si>
  <si>
    <t>Indisponibilidad (Propuesta)</t>
  </si>
  <si>
    <t>TOP</t>
  </si>
  <si>
    <t>TOP hasta la falla</t>
  </si>
  <si>
    <t>T</t>
  </si>
  <si>
    <t>r</t>
  </si>
  <si>
    <t>MTTF mejorado</t>
  </si>
  <si>
    <t>Insufficient heat tranfer</t>
  </si>
  <si>
    <t>Other</t>
  </si>
  <si>
    <t>Abnormal instrument reading</t>
  </si>
  <si>
    <t>Minor in service problems</t>
  </si>
  <si>
    <t>External leakage</t>
  </si>
  <si>
    <t>Modo de fallo OREDA</t>
  </si>
  <si>
    <r>
      <rPr>
        <b/>
        <sz val="11"/>
        <color theme="1"/>
        <rFont val="Calibri"/>
        <family val="2"/>
      </rPr>
      <t xml:space="preserve">μ </t>
    </r>
    <r>
      <rPr>
        <b/>
        <sz val="11"/>
        <color theme="1"/>
        <rFont val="Calibri"/>
        <family val="2"/>
        <scheme val="minor"/>
      </rPr>
      <t>de OREDA</t>
    </r>
  </si>
  <si>
    <t>σ OREDA</t>
  </si>
  <si>
    <t>FF mejorado</t>
  </si>
  <si>
    <t>A (S)</t>
  </si>
  <si>
    <t>A (S) total</t>
  </si>
  <si>
    <t>R(T) % mejora</t>
  </si>
  <si>
    <t>A(t) % mejora</t>
  </si>
  <si>
    <t>$/año</t>
  </si>
  <si>
    <t>Costos administrativos de diseño de Plan RCM</t>
  </si>
  <si>
    <t>$ en un año</t>
  </si>
  <si>
    <t>Costos de Capacitacion</t>
  </si>
  <si>
    <t>Costos por Software de Mantenimiento</t>
  </si>
  <si>
    <t>Costos Total Mtto. = 3595795.68 * Indisponibilidad + 7.145</t>
  </si>
  <si>
    <t>diff.</t>
  </si>
  <si>
    <t>F(t)</t>
  </si>
  <si>
    <t>BODY</t>
  </si>
  <si>
    <t>PACKAGING</t>
  </si>
  <si>
    <t>STEAM PASSAGE VALVE</t>
  </si>
  <si>
    <t>EXTERNAL BODY</t>
  </si>
  <si>
    <t>CONDENSED WATER FEED PIPES</t>
  </si>
  <si>
    <t>DRAIN PIPING</t>
  </si>
  <si>
    <t>SUPPORT</t>
  </si>
  <si>
    <t>SAFETY VALVES</t>
  </si>
  <si>
    <t>INTERNAL BODY</t>
  </si>
  <si>
    <t>BURNER</t>
  </si>
  <si>
    <t>SMOKE PIPES</t>
  </si>
  <si>
    <t>COMBUSTION CHAMBER</t>
  </si>
  <si>
    <t>ELECTRODES</t>
  </si>
  <si>
    <t>IGNITION TRANSFORMER</t>
  </si>
  <si>
    <t>BUTTON PANEL</t>
  </si>
  <si>
    <t>BURNER CONTROLLER</t>
  </si>
  <si>
    <t>FLAME CONTROLLER</t>
  </si>
  <si>
    <t>INTERNAL POWER SUPPLY</t>
  </si>
  <si>
    <t>OPERATING PRESSURETROL</t>
  </si>
  <si>
    <t>PRESSURE GAUGE</t>
  </si>
  <si>
    <t>TEMPERATURE MANOMETER</t>
  </si>
  <si>
    <t>GAS CONTROL VALVE</t>
  </si>
  <si>
    <t>AIR REGULATING VALVE</t>
  </si>
  <si>
    <t>MOTOR FAN</t>
  </si>
  <si>
    <t>DAMPER GASKETS</t>
  </si>
  <si>
    <t>FLAME DISPLAY</t>
  </si>
  <si>
    <t>BURNER GASKETS</t>
  </si>
  <si>
    <t>WATER LEVEL SIGHT GLASS</t>
  </si>
  <si>
    <t>Maint. Cost (Proposed)</t>
  </si>
  <si>
    <t>Maint. Cost (Actual)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</si>
</sst>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00_-;\-* #,##0.0000_-;_-* &quot;-&quot;??_-;_-@_-"/>
    <numFmt numFmtId="165" formatCode="_-* #,##0_-;\-* #,##0_-;_-* &quot;-&quot;??_-;_-@_-"/>
    <numFmt numFmtId="166" formatCode="_-* #,##0.0_-;\-* #,##0.0_-;_-* &quot;-&quot;??_-;_-@_-"/>
    <numFmt numFmtId="167" formatCode="_-* #,##0.00000_-;\-* #,##0.00000_-;_-* &quot;-&quot;??_-;_-@_-"/>
    <numFmt numFmtId="168" formatCode="_-* #,##0.000000_-;\-* #,##0.000000_-;_-* &quot;-&quot;??_-;_-@_-"/>
    <numFmt numFmtId="169" formatCode="_(&quot;$&quot;* #,##0.00_);_(&quot;$&quot;* \(#,##0.00\);_(&quot;$&quot;* &quot;-&quot;??_);_(@_)"/>
    <numFmt numFmtId="171" formatCode="0.000"/>
    <numFmt numFmtId="172" formatCode="0.000000000"/>
    <numFmt numFmtId="175" formatCode="0.0%"/>
    <numFmt numFmtId="176" formatCode="_-* #,##0.00000000_-;\-* #,##0.00000000_-;_-* &quot;-&quot;??_-;_-@_-"/>
    <numFmt numFmtId="177" formatCode="0.0000"/>
    <numFmt numFmtId="178" formatCode="_-* #,##0.0000_-;\-* #,##0.0000_-;_-* &quot;-&quot;????_-;_-@_-"/>
    <numFmt numFmtId="179" formatCode="_-* #,##0.000_-;\-* #,##0.000_-;_-* &quot;-&quot;??_-;_-@_-"/>
    <numFmt numFmtId="180" formatCode="0.000%"/>
    <numFmt numFmtId="181" formatCode="_-* #,##0.00000_-;\-* #,##0.00000_-;_-* &quot;-&quot;?????_-;_-@_-"/>
    <numFmt numFmtId="182" formatCode="_-* #,##0.0000_-;\-* #,##0.0000_-;_-* &quot;-&quot;?????_-;_-@_-"/>
    <numFmt numFmtId="186" formatCode="_-* #,##0.00\ &quot;€&quot;_-;\-* #,##0.00\ &quot;€&quot;_-;_-* &quot;-&quot;??\ &quot;€&quot;_-;_-@_-"/>
    <numFmt numFmtId="189" formatCode="0.000000"/>
    <numFmt numFmtId="190" formatCode="_-* #,##0.000000000_-;\-* #,##0.000000000_-;_-* &quot;-&quot;??_-;_-@_-"/>
    <numFmt numFmtId="191" formatCode="_-* #,##0.000000_-;\-* #,##0.000000_-;_-* &quot;-&quot;????_-;_-@_-"/>
    <numFmt numFmtId="192" formatCode="_-* #,##0.00000000_-;\-* #,##0.00000000_-;_-* &quot;-&quot;????_-;_-@_-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0"/>
      <color theme="1"/>
      <name val="Times New Roman"/>
      <family val="1"/>
    </font>
    <font>
      <b/>
      <sz val="14"/>
      <name val="Times New Roman"/>
      <family val="1"/>
    </font>
    <font>
      <b/>
      <sz val="10"/>
      <color theme="0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9"/>
      <name val="Times New Roman"/>
      <family val="1"/>
    </font>
    <font>
      <b/>
      <sz val="10"/>
      <name val="Symbol"/>
      <family val="1"/>
      <charset val="2"/>
    </font>
    <font>
      <b/>
      <sz val="11"/>
      <color rgb="FF000000"/>
      <name val="Times New Roman"/>
      <family val="1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Avenir Next Regular"/>
    </font>
    <font>
      <b/>
      <sz val="9"/>
      <color theme="0"/>
      <name val="Times New Roman"/>
      <family val="1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3ED3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 applyFill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86" fontId="1" fillId="0" borderId="0" applyFont="0" applyFill="0" applyBorder="0" applyAlignment="0" applyProtection="0"/>
  </cellStyleXfs>
  <cellXfs count="532">
    <xf numFmtId="0" fontId="0" fillId="0" borderId="0" xfId="0"/>
    <xf numFmtId="0" fontId="6" fillId="0" borderId="0" xfId="0" applyFont="1"/>
    <xf numFmtId="0" fontId="6" fillId="0" borderId="26" xfId="2" applyFont="1" applyFill="1" applyBorder="1" applyAlignment="1">
      <alignment horizontal="center" vertical="center"/>
    </xf>
    <xf numFmtId="0" fontId="6" fillId="0" borderId="27" xfId="2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center" vertical="center"/>
    </xf>
    <xf numFmtId="0" fontId="6" fillId="0" borderId="22" xfId="2" applyFont="1" applyFill="1" applyBorder="1" applyAlignment="1">
      <alignment horizontal="center" vertical="center"/>
    </xf>
    <xf numFmtId="0" fontId="6" fillId="0" borderId="23" xfId="2" applyFont="1" applyFill="1" applyBorder="1" applyAlignment="1">
      <alignment horizontal="center" vertical="center"/>
    </xf>
    <xf numFmtId="0" fontId="6" fillId="0" borderId="24" xfId="2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49" xfId="2" applyFont="1" applyFill="1" applyBorder="1" applyAlignment="1">
      <alignment horizontal="center" vertical="center"/>
    </xf>
    <xf numFmtId="0" fontId="6" fillId="0" borderId="34" xfId="2" applyFont="1" applyFill="1" applyBorder="1" applyAlignment="1">
      <alignment horizontal="center" vertical="center"/>
    </xf>
    <xf numFmtId="0" fontId="6" fillId="0" borderId="33" xfId="2" applyFont="1" applyFill="1" applyBorder="1" applyAlignment="1">
      <alignment horizontal="center" vertical="center"/>
    </xf>
    <xf numFmtId="0" fontId="10" fillId="0" borderId="45" xfId="0" applyFont="1" applyBorder="1" applyAlignment="1">
      <alignment horizontal="center" vertical="center" wrapText="1"/>
    </xf>
    <xf numFmtId="0" fontId="15" fillId="0" borderId="26" xfId="0" applyFont="1" applyBorder="1" applyAlignment="1">
      <alignment vertical="center"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6" fillId="0" borderId="51" xfId="2" applyFont="1" applyFill="1" applyBorder="1" applyAlignment="1">
      <alignment horizontal="center" vertical="center"/>
    </xf>
    <xf numFmtId="0" fontId="6" fillId="0" borderId="32" xfId="2" applyFont="1" applyFill="1" applyBorder="1" applyAlignment="1">
      <alignment horizontal="center" vertical="center"/>
    </xf>
    <xf numFmtId="0" fontId="6" fillId="0" borderId="31" xfId="2" applyFont="1" applyFill="1" applyBorder="1" applyAlignment="1">
      <alignment horizontal="center" vertical="center"/>
    </xf>
    <xf numFmtId="0" fontId="15" fillId="0" borderId="22" xfId="0" applyFont="1" applyBorder="1" applyAlignment="1">
      <alignment vertical="center" wrapText="1"/>
    </xf>
    <xf numFmtId="0" fontId="16" fillId="0" borderId="30" xfId="0" applyFont="1" applyBorder="1" applyAlignment="1">
      <alignment horizontal="center" vertical="center" wrapText="1"/>
    </xf>
    <xf numFmtId="0" fontId="15" fillId="0" borderId="51" xfId="0" applyFont="1" applyBorder="1" applyAlignment="1">
      <alignment vertical="center" wrapText="1"/>
    </xf>
    <xf numFmtId="0" fontId="15" fillId="0" borderId="49" xfId="0" applyFont="1" applyBorder="1" applyAlignment="1">
      <alignment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4" fillId="0" borderId="52" xfId="2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2" borderId="52" xfId="2" applyFont="1" applyFill="1" applyBorder="1" applyAlignment="1">
      <alignment horizontal="center" vertical="center"/>
    </xf>
    <xf numFmtId="0" fontId="4" fillId="0" borderId="35" xfId="2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6" fillId="0" borderId="56" xfId="0" applyFont="1" applyBorder="1" applyAlignment="1">
      <alignment horizontal="center" wrapText="1"/>
    </xf>
    <xf numFmtId="0" fontId="13" fillId="10" borderId="50" xfId="0" applyFont="1" applyFill="1" applyBorder="1" applyAlignment="1">
      <alignment horizontal="center" vertical="center" wrapText="1"/>
    </xf>
    <xf numFmtId="0" fontId="13" fillId="10" borderId="28" xfId="0" applyFont="1" applyFill="1" applyBorder="1" applyAlignment="1">
      <alignment horizontal="center" vertical="center" wrapText="1"/>
    </xf>
    <xf numFmtId="0" fontId="13" fillId="11" borderId="28" xfId="0" applyFont="1" applyFill="1" applyBorder="1" applyAlignment="1">
      <alignment horizontal="center" vertical="center" wrapText="1"/>
    </xf>
    <xf numFmtId="0" fontId="13" fillId="14" borderId="28" xfId="0" applyFont="1" applyFill="1" applyBorder="1" applyAlignment="1">
      <alignment horizontal="center" vertical="center" wrapText="1"/>
    </xf>
    <xf numFmtId="0" fontId="13" fillId="13" borderId="28" xfId="0" applyFont="1" applyFill="1" applyBorder="1" applyAlignment="1">
      <alignment horizontal="center" vertical="center" wrapText="1"/>
    </xf>
    <xf numFmtId="0" fontId="16" fillId="0" borderId="43" xfId="0" applyFont="1" applyBorder="1" applyAlignment="1">
      <alignment horizontal="center" wrapText="1"/>
    </xf>
    <xf numFmtId="0" fontId="15" fillId="10" borderId="34" xfId="0" applyFont="1" applyFill="1" applyBorder="1" applyAlignment="1">
      <alignment horizontal="center" vertical="center" wrapText="1"/>
    </xf>
    <xf numFmtId="0" fontId="15" fillId="10" borderId="27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14" borderId="27" xfId="0" applyFont="1" applyFill="1" applyBorder="1" applyAlignment="1">
      <alignment horizontal="center" vertical="center" wrapText="1"/>
    </xf>
    <xf numFmtId="0" fontId="15" fillId="13" borderId="27" xfId="0" applyFont="1" applyFill="1" applyBorder="1" applyAlignment="1">
      <alignment horizontal="center" vertical="center" wrapText="1"/>
    </xf>
    <xf numFmtId="0" fontId="0" fillId="10" borderId="34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17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0" fillId="12" borderId="18" xfId="0" applyFont="1" applyFill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/>
    </xf>
    <xf numFmtId="43" fontId="0" fillId="0" borderId="0" xfId="0" applyNumberFormat="1"/>
    <xf numFmtId="0" fontId="4" fillId="0" borderId="27" xfId="2" applyFont="1" applyBorder="1" applyAlignment="1">
      <alignment horizontal="center" vertical="center" wrapText="1"/>
    </xf>
    <xf numFmtId="0" fontId="6" fillId="0" borderId="27" xfId="0" applyFont="1" applyBorder="1"/>
    <xf numFmtId="0" fontId="6" fillId="0" borderId="27" xfId="0" applyFont="1" applyBorder="1" applyAlignment="1">
      <alignment horizontal="center" vertical="center"/>
    </xf>
    <xf numFmtId="1" fontId="6" fillId="0" borderId="27" xfId="0" applyNumberFormat="1" applyFont="1" applyBorder="1" applyAlignment="1">
      <alignment horizontal="center" vertical="center"/>
    </xf>
    <xf numFmtId="0" fontId="4" fillId="0" borderId="27" xfId="2" applyFont="1" applyFill="1" applyBorder="1" applyAlignment="1">
      <alignment horizontal="center" vertical="center" wrapText="1"/>
    </xf>
    <xf numFmtId="0" fontId="3" fillId="0" borderId="27" xfId="2" applyFont="1" applyFill="1" applyBorder="1" applyAlignment="1">
      <alignment horizontal="center" vertical="center" wrapText="1" shrinkToFit="1"/>
    </xf>
    <xf numFmtId="0" fontId="12" fillId="0" borderId="27" xfId="2" applyFont="1" applyFill="1" applyBorder="1" applyAlignment="1">
      <alignment vertical="center" wrapText="1"/>
    </xf>
    <xf numFmtId="0" fontId="3" fillId="0" borderId="27" xfId="2" applyFont="1" applyFill="1" applyBorder="1" applyAlignment="1">
      <alignment horizontal="center" vertical="center" textRotation="90"/>
    </xf>
    <xf numFmtId="0" fontId="10" fillId="0" borderId="27" xfId="2" applyFont="1" applyFill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4" fillId="11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43" fontId="13" fillId="0" borderId="27" xfId="3" applyFont="1" applyFill="1" applyBorder="1" applyAlignment="1">
      <alignment horizontal="center" vertical="center" wrapText="1"/>
    </xf>
    <xf numFmtId="43" fontId="15" fillId="0" borderId="27" xfId="3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10" borderId="27" xfId="0" applyFont="1" applyFill="1" applyBorder="1" applyAlignment="1">
      <alignment horizontal="center" vertical="center" wrapText="1"/>
    </xf>
    <xf numFmtId="0" fontId="13" fillId="16" borderId="27" xfId="0" applyFont="1" applyFill="1" applyBorder="1" applyAlignment="1">
      <alignment horizontal="center" vertical="center" wrapText="1"/>
    </xf>
    <xf numFmtId="165" fontId="15" fillId="0" borderId="27" xfId="0" applyNumberFormat="1" applyFont="1" applyBorder="1" applyAlignment="1">
      <alignment horizontal="center" vertical="center" wrapText="1"/>
    </xf>
    <xf numFmtId="0" fontId="4" fillId="0" borderId="27" xfId="2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165" fontId="15" fillId="0" borderId="27" xfId="3" applyNumberFormat="1" applyFont="1" applyFill="1" applyBorder="1" applyAlignment="1">
      <alignment horizontal="center" vertical="center" wrapText="1"/>
    </xf>
    <xf numFmtId="43" fontId="15" fillId="18" borderId="27" xfId="3" applyFont="1" applyFill="1" applyBorder="1" applyAlignment="1">
      <alignment horizontal="center" vertical="center" wrapText="1"/>
    </xf>
    <xf numFmtId="166" fontId="15" fillId="18" borderId="27" xfId="3" applyNumberFormat="1" applyFont="1" applyFill="1" applyBorder="1" applyAlignment="1">
      <alignment horizontal="center" vertical="center" wrapText="1"/>
    </xf>
    <xf numFmtId="165" fontId="15" fillId="18" borderId="27" xfId="3" applyNumberFormat="1" applyFont="1" applyFill="1" applyBorder="1" applyAlignment="1">
      <alignment horizontal="center" vertical="center" wrapText="1"/>
    </xf>
    <xf numFmtId="0" fontId="0" fillId="0" borderId="27" xfId="0" applyBorder="1"/>
    <xf numFmtId="164" fontId="13" fillId="0" borderId="27" xfId="3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4" fillId="0" borderId="27" xfId="0" applyFont="1" applyBorder="1" applyAlignment="1">
      <alignment horizontal="center" wrapText="1"/>
    </xf>
    <xf numFmtId="0" fontId="13" fillId="0" borderId="27" xfId="0" applyFont="1" applyBorder="1" applyAlignment="1">
      <alignment vertical="center" wrapText="1"/>
    </xf>
    <xf numFmtId="0" fontId="13" fillId="10" borderId="27" xfId="0" applyFont="1" applyFill="1" applyBorder="1" applyAlignment="1">
      <alignment vertical="center" wrapText="1"/>
    </xf>
    <xf numFmtId="0" fontId="13" fillId="16" borderId="27" xfId="0" applyFont="1" applyFill="1" applyBorder="1" applyAlignment="1">
      <alignment vertical="center" wrapText="1"/>
    </xf>
    <xf numFmtId="0" fontId="13" fillId="0" borderId="27" xfId="0" applyFont="1" applyBorder="1"/>
    <xf numFmtId="43" fontId="13" fillId="0" borderId="27" xfId="0" applyNumberFormat="1" applyFont="1" applyBorder="1"/>
    <xf numFmtId="0" fontId="14" fillId="10" borderId="27" xfId="0" applyFont="1" applyFill="1" applyBorder="1" applyAlignment="1">
      <alignment horizontal="center" vertical="center" wrapText="1"/>
    </xf>
    <xf numFmtId="0" fontId="14" fillId="19" borderId="27" xfId="0" applyFont="1" applyFill="1" applyBorder="1" applyAlignment="1">
      <alignment horizontal="center" vertical="center" wrapText="1"/>
    </xf>
    <xf numFmtId="167" fontId="13" fillId="0" borderId="27" xfId="3" applyNumberFormat="1" applyFont="1" applyFill="1" applyBorder="1" applyAlignment="1">
      <alignment horizontal="center" vertical="center" wrapText="1"/>
    </xf>
    <xf numFmtId="168" fontId="13" fillId="0" borderId="27" xfId="3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0" borderId="0" xfId="0" applyFill="1" applyAlignment="1">
      <alignment horizontal="left"/>
    </xf>
    <xf numFmtId="0" fontId="0" fillId="20" borderId="0" xfId="0" applyFill="1"/>
    <xf numFmtId="0" fontId="17" fillId="20" borderId="0" xfId="0" applyFont="1" applyFill="1" applyAlignment="1">
      <alignment horizontal="center" vertical="center"/>
    </xf>
    <xf numFmtId="0" fontId="20" fillId="20" borderId="0" xfId="0" applyFont="1" applyFill="1" applyAlignment="1">
      <alignment horizontal="center"/>
    </xf>
    <xf numFmtId="1" fontId="0" fillId="20" borderId="0" xfId="0" applyNumberFormat="1" applyFill="1" applyAlignment="1">
      <alignment horizontal="center" vertical="center"/>
    </xf>
    <xf numFmtId="171" fontId="0" fillId="20" borderId="0" xfId="0" applyNumberFormat="1" applyFill="1"/>
    <xf numFmtId="0" fontId="17" fillId="20" borderId="27" xfId="0" applyFont="1" applyFill="1" applyBorder="1" applyAlignment="1">
      <alignment horizontal="center"/>
    </xf>
    <xf numFmtId="0" fontId="17" fillId="20" borderId="27" xfId="0" applyFont="1" applyFill="1" applyBorder="1" applyAlignment="1">
      <alignment horizontal="center" vertical="center" wrapText="1"/>
    </xf>
    <xf numFmtId="0" fontId="17" fillId="20" borderId="27" xfId="0" applyFont="1" applyFill="1" applyBorder="1" applyAlignment="1">
      <alignment horizontal="center" vertical="center"/>
    </xf>
    <xf numFmtId="0" fontId="17" fillId="20" borderId="27" xfId="0" applyFont="1" applyFill="1" applyBorder="1"/>
    <xf numFmtId="0" fontId="0" fillId="20" borderId="27" xfId="0" applyFill="1" applyBorder="1"/>
    <xf numFmtId="0" fontId="0" fillId="20" borderId="27" xfId="0" applyFill="1" applyBorder="1" applyAlignment="1">
      <alignment horizontal="center"/>
    </xf>
    <xf numFmtId="1" fontId="0" fillId="20" borderId="27" xfId="0" applyNumberFormat="1" applyFill="1" applyBorder="1" applyAlignment="1">
      <alignment horizontal="center" vertical="center"/>
    </xf>
    <xf numFmtId="171" fontId="0" fillId="20" borderId="27" xfId="0" applyNumberFormat="1" applyFill="1" applyBorder="1" applyAlignment="1">
      <alignment horizontal="center" vertical="center"/>
    </xf>
    <xf numFmtId="171" fontId="0" fillId="20" borderId="27" xfId="0" applyNumberFormat="1" applyFill="1" applyBorder="1"/>
    <xf numFmtId="171" fontId="0" fillId="20" borderId="0" xfId="0" applyNumberFormat="1" applyFill="1" applyAlignment="1">
      <alignment horizontal="center" vertical="center"/>
    </xf>
    <xf numFmtId="0" fontId="0" fillId="20" borderId="53" xfId="0" applyFill="1" applyBorder="1" applyAlignment="1">
      <alignment horizontal="center"/>
    </xf>
    <xf numFmtId="0" fontId="22" fillId="20" borderId="27" xfId="0" applyFont="1" applyFill="1" applyBorder="1" applyAlignment="1">
      <alignment horizontal="left"/>
    </xf>
    <xf numFmtId="172" fontId="0" fillId="20" borderId="27" xfId="0" applyNumberFormat="1" applyFill="1" applyBorder="1"/>
    <xf numFmtId="169" fontId="0" fillId="20" borderId="27" xfId="5" applyFont="1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22" fillId="20" borderId="54" xfId="0" applyFont="1" applyFill="1" applyBorder="1" applyAlignment="1">
      <alignment horizontal="left"/>
    </xf>
    <xf numFmtId="0" fontId="2" fillId="20" borderId="29" xfId="0" applyFont="1" applyFill="1" applyBorder="1"/>
    <xf numFmtId="0" fontId="0" fillId="20" borderId="0" xfId="0" applyFill="1" applyAlignment="1">
      <alignment horizontal="center"/>
    </xf>
    <xf numFmtId="169" fontId="0" fillId="20" borderId="0" xfId="5" applyFont="1" applyFill="1" applyBorder="1" applyAlignment="1">
      <alignment horizontal="center" vertical="center"/>
    </xf>
    <xf numFmtId="0" fontId="2" fillId="20" borderId="0" xfId="0" applyFont="1" applyFill="1"/>
    <xf numFmtId="169" fontId="0" fillId="20" borderId="0" xfId="5" applyFont="1" applyFill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15" fillId="0" borderId="27" xfId="0" applyFont="1" applyBorder="1" applyAlignment="1">
      <alignment horizontal="center" vertical="center" wrapText="1"/>
    </xf>
    <xf numFmtId="164" fontId="0" fillId="10" borderId="34" xfId="3" applyNumberFormat="1" applyFont="1" applyFill="1" applyBorder="1" applyAlignment="1">
      <alignment horizontal="center" vertical="center"/>
    </xf>
    <xf numFmtId="0" fontId="14" fillId="17" borderId="27" xfId="0" applyFont="1" applyFill="1" applyBorder="1" applyAlignment="1">
      <alignment horizontal="center" vertical="center" wrapText="1"/>
    </xf>
    <xf numFmtId="164" fontId="13" fillId="17" borderId="27" xfId="3" applyNumberFormat="1" applyFont="1" applyFill="1" applyBorder="1" applyAlignment="1">
      <alignment horizontal="center" vertical="center"/>
    </xf>
    <xf numFmtId="166" fontId="13" fillId="17" borderId="27" xfId="3" applyNumberFormat="1" applyFont="1" applyFill="1" applyBorder="1" applyAlignment="1">
      <alignment horizontal="center" vertical="center"/>
    </xf>
    <xf numFmtId="44" fontId="13" fillId="17" borderId="27" xfId="1" applyFont="1" applyFill="1" applyBorder="1" applyAlignment="1">
      <alignment horizontal="center" vertical="center"/>
    </xf>
    <xf numFmtId="43" fontId="13" fillId="17" borderId="27" xfId="3" applyFont="1" applyFill="1" applyBorder="1" applyAlignment="1">
      <alignment horizontal="center" vertical="center"/>
    </xf>
    <xf numFmtId="43" fontId="14" fillId="17" borderId="27" xfId="3" applyFont="1" applyFill="1" applyBorder="1" applyAlignment="1">
      <alignment horizontal="center" vertical="center"/>
    </xf>
    <xf numFmtId="0" fontId="13" fillId="12" borderId="28" xfId="0" applyFont="1" applyFill="1" applyBorder="1" applyAlignment="1">
      <alignment horizontal="center" vertical="center" wrapText="1"/>
    </xf>
    <xf numFmtId="0" fontId="15" fillId="12" borderId="27" xfId="0" applyFont="1" applyFill="1" applyBorder="1" applyAlignment="1">
      <alignment horizontal="center" vertical="center" wrapText="1"/>
    </xf>
    <xf numFmtId="0" fontId="0" fillId="12" borderId="27" xfId="0" applyFill="1" applyBorder="1" applyAlignment="1">
      <alignment horizontal="center" vertical="center"/>
    </xf>
    <xf numFmtId="164" fontId="0" fillId="12" borderId="34" xfId="3" applyNumberFormat="1" applyFont="1" applyFill="1" applyBorder="1" applyAlignment="1">
      <alignment horizontal="center" vertical="center"/>
    </xf>
    <xf numFmtId="0" fontId="13" fillId="15" borderId="28" xfId="0" applyFont="1" applyFill="1" applyBorder="1" applyAlignment="1">
      <alignment horizontal="center" vertical="center" wrapText="1"/>
    </xf>
    <xf numFmtId="0" fontId="15" fillId="15" borderId="27" xfId="0" applyFont="1" applyFill="1" applyBorder="1" applyAlignment="1">
      <alignment horizontal="center" vertical="center" wrapText="1"/>
    </xf>
    <xf numFmtId="0" fontId="0" fillId="15" borderId="27" xfId="0" applyFill="1" applyBorder="1" applyAlignment="1">
      <alignment horizontal="center" vertical="center"/>
    </xf>
    <xf numFmtId="164" fontId="0" fillId="15" borderId="34" xfId="3" applyNumberFormat="1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4" fontId="0" fillId="0" borderId="34" xfId="3" applyNumberFormat="1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44" fontId="0" fillId="0" borderId="27" xfId="0" applyNumberFormat="1" applyBorder="1" applyAlignment="1">
      <alignment horizontal="center" vertical="center"/>
    </xf>
    <xf numFmtId="44" fontId="0" fillId="0" borderId="27" xfId="1" applyFont="1" applyBorder="1" applyAlignment="1">
      <alignment horizontal="center" vertical="center"/>
    </xf>
    <xf numFmtId="0" fontId="14" fillId="16" borderId="28" xfId="0" applyFont="1" applyFill="1" applyBorder="1" applyAlignment="1">
      <alignment horizontal="center" vertical="center" wrapText="1"/>
    </xf>
    <xf numFmtId="164" fontId="0" fillId="11" borderId="34" xfId="3" applyNumberFormat="1" applyFont="1" applyFill="1" applyBorder="1" applyAlignment="1">
      <alignment horizontal="center" vertical="center"/>
    </xf>
    <xf numFmtId="0" fontId="23" fillId="0" borderId="0" xfId="0" applyFont="1"/>
    <xf numFmtId="10" fontId="23" fillId="0" borderId="0" xfId="0" applyNumberFormat="1" applyFont="1"/>
    <xf numFmtId="0" fontId="6" fillId="0" borderId="0" xfId="0" applyFont="1" applyAlignment="1">
      <alignment vertical="center"/>
    </xf>
    <xf numFmtId="43" fontId="6" fillId="0" borderId="0" xfId="3" applyFont="1" applyAlignment="1">
      <alignment vertical="center"/>
    </xf>
    <xf numFmtId="44" fontId="10" fillId="0" borderId="0" xfId="1" applyFont="1" applyAlignment="1">
      <alignment vertical="center"/>
    </xf>
    <xf numFmtId="0" fontId="6" fillId="0" borderId="0" xfId="0" applyFont="1" applyAlignment="1">
      <alignment horizontal="center" vertical="center"/>
    </xf>
    <xf numFmtId="44" fontId="6" fillId="0" borderId="27" xfId="1" applyFont="1" applyBorder="1" applyAlignment="1">
      <alignment vertical="center"/>
    </xf>
    <xf numFmtId="43" fontId="6" fillId="0" borderId="27" xfId="3" applyFont="1" applyBorder="1" applyAlignment="1">
      <alignment vertical="center"/>
    </xf>
    <xf numFmtId="44" fontId="6" fillId="0" borderId="27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4" fontId="0" fillId="0" borderId="0" xfId="1" applyFon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17" fillId="0" borderId="0" xfId="1" applyFont="1" applyBorder="1" applyAlignment="1">
      <alignment horizontal="center" vertical="center"/>
    </xf>
    <xf numFmtId="44" fontId="17" fillId="0" borderId="0" xfId="0" applyNumberFormat="1" applyFont="1" applyAlignment="1">
      <alignment horizontal="center" vertical="center"/>
    </xf>
    <xf numFmtId="44" fontId="6" fillId="0" borderId="27" xfId="1" applyFont="1" applyBorder="1" applyAlignment="1">
      <alignment horizontal="center" vertical="center"/>
    </xf>
    <xf numFmtId="43" fontId="6" fillId="0" borderId="27" xfId="3" applyFont="1" applyBorder="1" applyAlignment="1">
      <alignment horizontal="center" vertical="center"/>
    </xf>
    <xf numFmtId="44" fontId="6" fillId="0" borderId="27" xfId="0" applyNumberFormat="1" applyFont="1" applyBorder="1" applyAlignment="1">
      <alignment horizontal="center" vertical="center"/>
    </xf>
    <xf numFmtId="169" fontId="14" fillId="0" borderId="27" xfId="5" applyFont="1" applyBorder="1" applyAlignment="1">
      <alignment horizontal="center" vertical="center" wrapText="1"/>
    </xf>
    <xf numFmtId="169" fontId="14" fillId="0" borderId="27" xfId="5" applyFont="1" applyBorder="1" applyAlignment="1">
      <alignment horizontal="center" wrapText="1"/>
    </xf>
    <xf numFmtId="0" fontId="24" fillId="0" borderId="0" xfId="0" applyFont="1"/>
    <xf numFmtId="169" fontId="13" fillId="0" borderId="27" xfId="5" applyFont="1" applyBorder="1" applyAlignment="1">
      <alignment horizontal="center"/>
    </xf>
    <xf numFmtId="169" fontId="13" fillId="0" borderId="27" xfId="0" applyNumberFormat="1" applyFont="1" applyBorder="1" applyAlignment="1">
      <alignment horizontal="center"/>
    </xf>
    <xf numFmtId="169" fontId="14" fillId="0" borderId="27" xfId="0" applyNumberFormat="1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44" fontId="14" fillId="0" borderId="27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27" xfId="0" applyFont="1" applyBorder="1" applyAlignment="1">
      <alignment horizontal="center" vertical="center"/>
    </xf>
    <xf numFmtId="44" fontId="14" fillId="0" borderId="27" xfId="0" applyNumberFormat="1" applyFont="1" applyBorder="1" applyAlignment="1">
      <alignment horizontal="center" vertical="center"/>
    </xf>
    <xf numFmtId="175" fontId="13" fillId="0" borderId="27" xfId="0" applyNumberFormat="1" applyFont="1" applyBorder="1" applyAlignment="1">
      <alignment horizontal="center"/>
    </xf>
    <xf numFmtId="44" fontId="13" fillId="0" borderId="27" xfId="0" applyNumberFormat="1" applyFont="1" applyBorder="1"/>
    <xf numFmtId="164" fontId="0" fillId="14" borderId="34" xfId="3" applyNumberFormat="1" applyFont="1" applyFill="1" applyBorder="1" applyAlignment="1">
      <alignment horizontal="center" vertical="center"/>
    </xf>
    <xf numFmtId="164" fontId="0" fillId="13" borderId="34" xfId="3" applyNumberFormat="1" applyFont="1" applyFill="1" applyBorder="1" applyAlignment="1">
      <alignment horizontal="center" vertical="center"/>
    </xf>
    <xf numFmtId="43" fontId="0" fillId="20" borderId="27" xfId="3" applyFont="1" applyFill="1" applyBorder="1"/>
    <xf numFmtId="43" fontId="0" fillId="20" borderId="0" xfId="3" applyFont="1" applyFill="1" applyAlignment="1">
      <alignment horizontal="center" vertical="center"/>
    </xf>
    <xf numFmtId="43" fontId="2" fillId="20" borderId="29" xfId="3" applyFont="1" applyFill="1" applyBorder="1"/>
    <xf numFmtId="176" fontId="0" fillId="20" borderId="27" xfId="3" applyNumberFormat="1" applyFont="1" applyFill="1" applyBorder="1"/>
    <xf numFmtId="0" fontId="17" fillId="20" borderId="27" xfId="0" applyFont="1" applyFill="1" applyBorder="1" applyAlignment="1">
      <alignment vertical="center"/>
    </xf>
    <xf numFmtId="0" fontId="21" fillId="20" borderId="27" xfId="0" applyFont="1" applyFill="1" applyBorder="1" applyAlignment="1">
      <alignment horizontal="center" vertical="center" wrapText="1"/>
    </xf>
    <xf numFmtId="0" fontId="20" fillId="20" borderId="27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164" fontId="0" fillId="0" borderId="50" xfId="3" applyNumberFormat="1" applyFont="1" applyFill="1" applyBorder="1" applyAlignment="1">
      <alignment horizontal="center" vertical="center"/>
    </xf>
    <xf numFmtId="0" fontId="13" fillId="17" borderId="28" xfId="0" applyFont="1" applyFill="1" applyBorder="1" applyAlignment="1">
      <alignment horizontal="center" vertical="center" wrapText="1"/>
    </xf>
    <xf numFmtId="0" fontId="15" fillId="17" borderId="27" xfId="0" applyFont="1" applyFill="1" applyBorder="1" applyAlignment="1">
      <alignment horizontal="center" vertical="center" wrapText="1"/>
    </xf>
    <xf numFmtId="0" fontId="0" fillId="17" borderId="27" xfId="0" applyFill="1" applyBorder="1" applyAlignment="1">
      <alignment horizontal="center" vertical="center"/>
    </xf>
    <xf numFmtId="164" fontId="0" fillId="17" borderId="34" xfId="3" applyNumberFormat="1" applyFont="1" applyFill="1" applyBorder="1" applyAlignment="1">
      <alignment horizontal="center" vertical="center"/>
    </xf>
    <xf numFmtId="164" fontId="17" fillId="0" borderId="0" xfId="0" applyNumberFormat="1" applyFont="1"/>
    <xf numFmtId="177" fontId="0" fillId="0" borderId="0" xfId="0" applyNumberFormat="1"/>
    <xf numFmtId="10" fontId="0" fillId="0" borderId="0" xfId="4" applyNumberFormat="1" applyFont="1"/>
    <xf numFmtId="177" fontId="0" fillId="0" borderId="0" xfId="0" applyNumberFormat="1" applyAlignment="1">
      <alignment horizontal="center" vertical="center"/>
    </xf>
    <xf numFmtId="0" fontId="16" fillId="0" borderId="45" xfId="0" applyFont="1" applyBorder="1" applyAlignment="1">
      <alignment horizontal="center" wrapText="1"/>
    </xf>
    <xf numFmtId="165" fontId="0" fillId="0" borderId="27" xfId="3" applyNumberFormat="1" applyFont="1" applyBorder="1"/>
    <xf numFmtId="167" fontId="13" fillId="0" borderId="28" xfId="3" applyNumberFormat="1" applyFont="1" applyFill="1" applyBorder="1" applyAlignment="1">
      <alignment horizontal="center" vertical="center" wrapText="1"/>
    </xf>
    <xf numFmtId="0" fontId="13" fillId="0" borderId="28" xfId="0" applyFont="1" applyBorder="1"/>
    <xf numFmtId="166" fontId="0" fillId="0" borderId="27" xfId="0" applyNumberFormat="1" applyBorder="1"/>
    <xf numFmtId="166" fontId="0" fillId="13" borderId="27" xfId="0" applyNumberFormat="1" applyFill="1" applyBorder="1"/>
    <xf numFmtId="165" fontId="0" fillId="13" borderId="27" xfId="3" applyNumberFormat="1" applyFont="1" applyFill="1" applyBorder="1"/>
    <xf numFmtId="0" fontId="0" fillId="13" borderId="27" xfId="0" applyFill="1" applyBorder="1"/>
    <xf numFmtId="164" fontId="13" fillId="13" borderId="27" xfId="3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27" xfId="0" applyFont="1" applyBorder="1" applyAlignment="1">
      <alignment vertical="center" wrapText="1"/>
    </xf>
    <xf numFmtId="0" fontId="14" fillId="10" borderId="27" xfId="0" applyFont="1" applyFill="1" applyBorder="1" applyAlignment="1">
      <alignment vertical="center" wrapText="1"/>
    </xf>
    <xf numFmtId="166" fontId="0" fillId="11" borderId="27" xfId="0" applyNumberFormat="1" applyFill="1" applyBorder="1"/>
    <xf numFmtId="165" fontId="0" fillId="11" borderId="27" xfId="3" applyNumberFormat="1" applyFont="1" applyFill="1" applyBorder="1"/>
    <xf numFmtId="0" fontId="0" fillId="11" borderId="27" xfId="0" applyFill="1" applyBorder="1"/>
    <xf numFmtId="0" fontId="14" fillId="0" borderId="0" xfId="0" applyFont="1" applyAlignment="1">
      <alignment horizontal="center"/>
    </xf>
    <xf numFmtId="44" fontId="13" fillId="0" borderId="0" xfId="0" applyNumberFormat="1" applyFont="1"/>
    <xf numFmtId="44" fontId="14" fillId="0" borderId="0" xfId="0" applyNumberFormat="1" applyFont="1" applyAlignment="1">
      <alignment horizontal="center" vertical="center"/>
    </xf>
    <xf numFmtId="164" fontId="13" fillId="0" borderId="0" xfId="3" applyNumberFormat="1" applyFont="1" applyFill="1" applyBorder="1" applyAlignment="1">
      <alignment horizontal="center" vertical="center"/>
    </xf>
    <xf numFmtId="166" fontId="13" fillId="0" borderId="0" xfId="3" applyNumberFormat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9" fontId="14" fillId="0" borderId="27" xfId="4" applyFont="1" applyBorder="1" applyAlignment="1">
      <alignment horizontal="center" vertical="center"/>
    </xf>
    <xf numFmtId="44" fontId="0" fillId="0" borderId="0" xfId="0" applyNumberFormat="1"/>
    <xf numFmtId="178" fontId="0" fillId="0" borderId="0" xfId="0" applyNumberFormat="1"/>
    <xf numFmtId="43" fontId="13" fillId="0" borderId="27" xfId="3" applyFont="1" applyFill="1" applyBorder="1" applyAlignment="1">
      <alignment horizontal="center"/>
    </xf>
    <xf numFmtId="43" fontId="14" fillId="0" borderId="27" xfId="3" applyFont="1" applyBorder="1" applyAlignment="1">
      <alignment horizontal="center" vertical="center"/>
    </xf>
    <xf numFmtId="44" fontId="17" fillId="0" borderId="0" xfId="0" applyNumberFormat="1" applyFont="1"/>
    <xf numFmtId="44" fontId="13" fillId="10" borderId="0" xfId="1" applyFont="1" applyFill="1" applyBorder="1" applyAlignment="1">
      <alignment horizontal="center" vertical="center"/>
    </xf>
    <xf numFmtId="43" fontId="14" fillId="10" borderId="27" xfId="3" applyFont="1" applyFill="1" applyBorder="1" applyAlignment="1">
      <alignment horizontal="center" vertical="center"/>
    </xf>
    <xf numFmtId="0" fontId="16" fillId="21" borderId="27" xfId="2" applyFont="1" applyFill="1" applyBorder="1" applyAlignment="1">
      <alignment horizontal="center" vertical="center" wrapText="1"/>
    </xf>
    <xf numFmtId="4" fontId="0" fillId="0" borderId="0" xfId="0" applyNumberFormat="1"/>
    <xf numFmtId="49" fontId="16" fillId="0" borderId="39" xfId="0" applyNumberFormat="1" applyFont="1" applyBorder="1" applyAlignment="1">
      <alignment horizontal="center" vertical="center" wrapText="1"/>
    </xf>
    <xf numFmtId="49" fontId="16" fillId="0" borderId="30" xfId="0" applyNumberFormat="1" applyFont="1" applyBorder="1" applyAlignment="1">
      <alignment horizontal="center" vertical="center" wrapText="1"/>
    </xf>
    <xf numFmtId="0" fontId="22" fillId="22" borderId="56" xfId="0" applyFont="1" applyFill="1" applyBorder="1" applyAlignment="1">
      <alignment horizontal="center" vertical="center" wrapText="1"/>
    </xf>
    <xf numFmtId="168" fontId="13" fillId="17" borderId="27" xfId="3" applyNumberFormat="1" applyFont="1" applyFill="1" applyBorder="1" applyAlignment="1">
      <alignment horizontal="center" vertical="center"/>
    </xf>
    <xf numFmtId="179" fontId="13" fillId="0" borderId="27" xfId="3" applyNumberFormat="1" applyFont="1" applyFill="1" applyBorder="1" applyAlignment="1">
      <alignment horizontal="center" vertical="center" wrapText="1"/>
    </xf>
    <xf numFmtId="167" fontId="0" fillId="0" borderId="0" xfId="0" applyNumberFormat="1"/>
    <xf numFmtId="180" fontId="0" fillId="0" borderId="0" xfId="4" applyNumberFormat="1" applyFont="1"/>
    <xf numFmtId="0" fontId="14" fillId="23" borderId="27" xfId="0" applyFont="1" applyFill="1" applyBorder="1" applyAlignment="1">
      <alignment horizontal="center" vertical="center" wrapText="1"/>
    </xf>
    <xf numFmtId="168" fontId="14" fillId="0" borderId="27" xfId="0" applyNumberFormat="1" applyFont="1" applyBorder="1"/>
    <xf numFmtId="0" fontId="0" fillId="13" borderId="37" xfId="0" applyFill="1" applyBorder="1" applyAlignment="1">
      <alignment horizontal="center" vertical="center"/>
    </xf>
    <xf numFmtId="0" fontId="14" fillId="10" borderId="27" xfId="0" applyFont="1" applyFill="1" applyBorder="1" applyAlignment="1">
      <alignment horizontal="center" vertical="center"/>
    </xf>
    <xf numFmtId="166" fontId="0" fillId="23" borderId="27" xfId="0" applyNumberFormat="1" applyFill="1" applyBorder="1"/>
    <xf numFmtId="165" fontId="0" fillId="23" borderId="27" xfId="3" applyNumberFormat="1" applyFont="1" applyFill="1" applyBorder="1"/>
    <xf numFmtId="0" fontId="0" fillId="23" borderId="27" xfId="0" applyFill="1" applyBorder="1"/>
    <xf numFmtId="164" fontId="13" fillId="23" borderId="27" xfId="3" applyNumberFormat="1" applyFont="1" applyFill="1" applyBorder="1" applyAlignment="1">
      <alignment horizontal="center" vertical="center" wrapText="1"/>
    </xf>
    <xf numFmtId="177" fontId="0" fillId="0" borderId="27" xfId="0" applyNumberFormat="1" applyBorder="1"/>
    <xf numFmtId="182" fontId="0" fillId="0" borderId="27" xfId="0" applyNumberFormat="1" applyBorder="1"/>
    <xf numFmtId="181" fontId="0" fillId="0" borderId="27" xfId="0" applyNumberFormat="1" applyBorder="1"/>
    <xf numFmtId="164" fontId="0" fillId="0" borderId="27" xfId="0" applyNumberFormat="1" applyBorder="1"/>
    <xf numFmtId="177" fontId="0" fillId="25" borderId="27" xfId="0" applyNumberFormat="1" applyFill="1" applyBorder="1"/>
    <xf numFmtId="182" fontId="0" fillId="25" borderId="27" xfId="0" applyNumberFormat="1" applyFill="1" applyBorder="1"/>
    <xf numFmtId="181" fontId="0" fillId="25" borderId="27" xfId="0" applyNumberFormat="1" applyFill="1" applyBorder="1"/>
    <xf numFmtId="164" fontId="0" fillId="25" borderId="27" xfId="0" applyNumberFormat="1" applyFill="1" applyBorder="1"/>
    <xf numFmtId="177" fontId="0" fillId="23" borderId="27" xfId="0" applyNumberFormat="1" applyFill="1" applyBorder="1"/>
    <xf numFmtId="182" fontId="0" fillId="23" borderId="27" xfId="0" applyNumberFormat="1" applyFill="1" applyBorder="1"/>
    <xf numFmtId="181" fontId="0" fillId="23" borderId="27" xfId="0" applyNumberFormat="1" applyFill="1" applyBorder="1"/>
    <xf numFmtId="164" fontId="0" fillId="23" borderId="27" xfId="0" applyNumberFormat="1" applyFill="1" applyBorder="1"/>
    <xf numFmtId="0" fontId="14" fillId="24" borderId="27" xfId="0" applyFont="1" applyFill="1" applyBorder="1" applyAlignment="1">
      <alignment horizontal="center" vertical="center" wrapText="1"/>
    </xf>
    <xf numFmtId="165" fontId="0" fillId="0" borderId="27" xfId="3" applyNumberFormat="1" applyFont="1" applyFill="1" applyBorder="1"/>
    <xf numFmtId="166" fontId="0" fillId="24" borderId="27" xfId="0" applyNumberFormat="1" applyFill="1" applyBorder="1"/>
    <xf numFmtId="165" fontId="0" fillId="24" borderId="27" xfId="3" applyNumberFormat="1" applyFont="1" applyFill="1" applyBorder="1"/>
    <xf numFmtId="0" fontId="0" fillId="24" borderId="27" xfId="0" applyFill="1" applyBorder="1"/>
    <xf numFmtId="164" fontId="13" fillId="24" borderId="27" xfId="3" applyNumberFormat="1" applyFont="1" applyFill="1" applyBorder="1" applyAlignment="1">
      <alignment horizontal="center" vertical="center" wrapText="1"/>
    </xf>
    <xf numFmtId="177" fontId="0" fillId="24" borderId="27" xfId="0" applyNumberFormat="1" applyFill="1" applyBorder="1"/>
    <xf numFmtId="182" fontId="0" fillId="24" borderId="27" xfId="0" applyNumberFormat="1" applyFill="1" applyBorder="1"/>
    <xf numFmtId="181" fontId="0" fillId="24" borderId="27" xfId="0" applyNumberFormat="1" applyFill="1" applyBorder="1"/>
    <xf numFmtId="164" fontId="0" fillId="24" borderId="27" xfId="0" applyNumberFormat="1" applyFill="1" applyBorder="1"/>
    <xf numFmtId="168" fontId="13" fillId="0" borderId="28" xfId="3" applyNumberFormat="1" applyFont="1" applyFill="1" applyBorder="1" applyAlignment="1">
      <alignment horizontal="center" vertical="center" wrapText="1"/>
    </xf>
    <xf numFmtId="44" fontId="6" fillId="0" borderId="0" xfId="0" applyNumberFormat="1" applyFont="1" applyAlignment="1">
      <alignment vertical="center"/>
    </xf>
    <xf numFmtId="44" fontId="6" fillId="0" borderId="0" xfId="1" applyFont="1"/>
    <xf numFmtId="44" fontId="10" fillId="0" borderId="0" xfId="1" applyFont="1"/>
    <xf numFmtId="2" fontId="10" fillId="0" borderId="0" xfId="1" applyNumberFormat="1" applyFont="1" applyAlignment="1">
      <alignment vertical="center"/>
    </xf>
    <xf numFmtId="0" fontId="4" fillId="0" borderId="27" xfId="2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43" fontId="14" fillId="0" borderId="0" xfId="3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68" fontId="0" fillId="0" borderId="27" xfId="0" applyNumberFormat="1" applyBorder="1"/>
    <xf numFmtId="0" fontId="0" fillId="0" borderId="35" xfId="0" applyBorder="1"/>
    <xf numFmtId="0" fontId="30" fillId="0" borderId="14" xfId="0" applyFont="1" applyBorder="1" applyAlignment="1">
      <alignment horizontal="center"/>
    </xf>
    <xf numFmtId="0" fontId="30" fillId="0" borderId="14" xfId="0" applyFont="1" applyBorder="1" applyAlignment="1">
      <alignment horizontal="centerContinuous"/>
    </xf>
    <xf numFmtId="0" fontId="17" fillId="4" borderId="27" xfId="0" applyFont="1" applyFill="1" applyBorder="1" applyAlignment="1">
      <alignment horizontal="center" vertical="center" wrapText="1"/>
    </xf>
    <xf numFmtId="43" fontId="0" fillId="0" borderId="27" xfId="0" applyNumberFormat="1" applyBorder="1"/>
    <xf numFmtId="0" fontId="31" fillId="14" borderId="0" xfId="0" applyFont="1" applyFill="1"/>
    <xf numFmtId="0" fontId="0" fillId="14" borderId="0" xfId="0" applyFill="1"/>
    <xf numFmtId="0" fontId="30" fillId="0" borderId="0" xfId="0" applyFont="1" applyAlignment="1">
      <alignment horizontal="center"/>
    </xf>
    <xf numFmtId="2" fontId="17" fillId="0" borderId="0" xfId="0" applyNumberFormat="1" applyFont="1"/>
    <xf numFmtId="2" fontId="0" fillId="0" borderId="27" xfId="0" applyNumberFormat="1" applyBorder="1" applyAlignment="1">
      <alignment horizontal="center"/>
    </xf>
    <xf numFmtId="0" fontId="14" fillId="17" borderId="28" xfId="0" applyFont="1" applyFill="1" applyBorder="1" applyAlignment="1">
      <alignment horizontal="center" vertical="center" wrapText="1"/>
    </xf>
    <xf numFmtId="2" fontId="0" fillId="0" borderId="54" xfId="0" applyNumberFormat="1" applyBorder="1" applyAlignment="1">
      <alignment horizontal="center"/>
    </xf>
    <xf numFmtId="2" fontId="0" fillId="0" borderId="55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32" fillId="16" borderId="59" xfId="0" applyFont="1" applyFill="1" applyBorder="1" applyAlignment="1">
      <alignment horizontal="center" vertical="center" wrapText="1"/>
    </xf>
    <xf numFmtId="0" fontId="32" fillId="16" borderId="23" xfId="0" applyFont="1" applyFill="1" applyBorder="1" applyAlignment="1">
      <alignment horizontal="center" vertical="center" wrapText="1"/>
    </xf>
    <xf numFmtId="0" fontId="32" fillId="16" borderId="24" xfId="0" applyFont="1" applyFill="1" applyBorder="1" applyAlignment="1">
      <alignment horizontal="center" vertical="center" wrapText="1"/>
    </xf>
    <xf numFmtId="44" fontId="34" fillId="0" borderId="0" xfId="0" applyNumberFormat="1" applyFont="1"/>
    <xf numFmtId="0" fontId="30" fillId="0" borderId="0" xfId="0" applyFont="1" applyAlignment="1">
      <alignment horizontal="centerContinuous"/>
    </xf>
    <xf numFmtId="168" fontId="0" fillId="0" borderId="27" xfId="0" applyNumberFormat="1" applyBorder="1" applyAlignment="1">
      <alignment horizontal="center"/>
    </xf>
    <xf numFmtId="189" fontId="0" fillId="0" borderId="27" xfId="0" applyNumberFormat="1" applyBorder="1" applyAlignment="1">
      <alignment horizontal="center"/>
    </xf>
    <xf numFmtId="0" fontId="33" fillId="0" borderId="0" xfId="0" applyFont="1"/>
    <xf numFmtId="0" fontId="32" fillId="0" borderId="0" xfId="0" applyFont="1" applyAlignment="1">
      <alignment horizontal="center" vertical="center" wrapText="1"/>
    </xf>
    <xf numFmtId="43" fontId="0" fillId="0" borderId="0" xfId="0" applyNumberFormat="1" applyAlignment="1">
      <alignment horizontal="center"/>
    </xf>
    <xf numFmtId="43" fontId="0" fillId="0" borderId="29" xfId="3" applyFont="1" applyBorder="1" applyAlignment="1">
      <alignment horizontal="center"/>
    </xf>
    <xf numFmtId="43" fontId="0" fillId="0" borderId="31" xfId="3" applyFont="1" applyBorder="1" applyAlignment="1">
      <alignment horizontal="center"/>
    </xf>
    <xf numFmtId="2" fontId="0" fillId="0" borderId="60" xfId="0" applyNumberFormat="1" applyBorder="1" applyAlignment="1">
      <alignment horizontal="center"/>
    </xf>
    <xf numFmtId="2" fontId="0" fillId="0" borderId="61" xfId="0" applyNumberFormat="1" applyBorder="1" applyAlignment="1">
      <alignment horizontal="center"/>
    </xf>
    <xf numFmtId="43" fontId="0" fillId="0" borderId="44" xfId="3" applyFont="1" applyBorder="1" applyAlignment="1">
      <alignment horizontal="center"/>
    </xf>
    <xf numFmtId="43" fontId="0" fillId="0" borderId="27" xfId="0" applyNumberFormat="1" applyBorder="1" applyAlignment="1">
      <alignment horizontal="center" vertical="center"/>
    </xf>
    <xf numFmtId="190" fontId="0" fillId="0" borderId="27" xfId="0" applyNumberFormat="1" applyBorder="1" applyAlignment="1">
      <alignment horizontal="center" vertical="center"/>
    </xf>
    <xf numFmtId="0" fontId="17" fillId="0" borderId="27" xfId="0" applyFont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5" fillId="0" borderId="27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17" fillId="26" borderId="27" xfId="0" applyFont="1" applyFill="1" applyBorder="1" applyAlignment="1">
      <alignment horizontal="center" vertical="center"/>
    </xf>
    <xf numFmtId="43" fontId="0" fillId="26" borderId="27" xfId="0" applyNumberFormat="1" applyFill="1" applyBorder="1"/>
    <xf numFmtId="0" fontId="35" fillId="0" borderId="27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192" fontId="0" fillId="0" borderId="0" xfId="0" applyNumberFormat="1"/>
    <xf numFmtId="0" fontId="17" fillId="0" borderId="27" xfId="0" applyFont="1" applyBorder="1" applyAlignment="1">
      <alignment horizontal="center"/>
    </xf>
    <xf numFmtId="44" fontId="29" fillId="0" borderId="27" xfId="0" applyNumberFormat="1" applyFont="1" applyBorder="1" applyAlignment="1">
      <alignment horizontal="center" vertical="center"/>
    </xf>
    <xf numFmtId="43" fontId="0" fillId="0" borderId="27" xfId="0" applyNumberFormat="1" applyBorder="1" applyAlignment="1">
      <alignment horizontal="center"/>
    </xf>
    <xf numFmtId="10" fontId="0" fillId="0" borderId="27" xfId="4" applyNumberFormat="1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0" fontId="0" fillId="19" borderId="0" xfId="0" applyFill="1"/>
    <xf numFmtId="0" fontId="0" fillId="19" borderId="35" xfId="0" applyFill="1" applyBorder="1"/>
    <xf numFmtId="0" fontId="14" fillId="16" borderId="37" xfId="0" applyFont="1" applyFill="1" applyBorder="1" applyAlignment="1">
      <alignment horizontal="center" vertical="center" wrapText="1"/>
    </xf>
    <xf numFmtId="9" fontId="0" fillId="0" borderId="0" xfId="4" applyFont="1" applyFill="1" applyBorder="1" applyAlignment="1">
      <alignment horizontal="center"/>
    </xf>
    <xf numFmtId="0" fontId="10" fillId="0" borderId="27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5" fillId="4" borderId="7" xfId="2" applyFont="1" applyFill="1" applyBorder="1" applyAlignment="1">
      <alignment horizontal="center" vertical="center" wrapText="1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16" fillId="14" borderId="1" xfId="2" applyFont="1" applyFill="1" applyBorder="1" applyAlignment="1">
      <alignment horizontal="center" vertical="center" wrapText="1"/>
    </xf>
    <xf numFmtId="0" fontId="16" fillId="14" borderId="10" xfId="2" applyFont="1" applyFill="1" applyBorder="1" applyAlignment="1">
      <alignment horizontal="center" vertical="center" wrapText="1"/>
    </xf>
    <xf numFmtId="0" fontId="16" fillId="14" borderId="17" xfId="2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3" fillId="4" borderId="12" xfId="2" applyFont="1" applyFill="1" applyBorder="1" applyAlignment="1">
      <alignment horizontal="center" vertical="center" textRotation="90" wrapText="1"/>
    </xf>
    <xf numFmtId="0" fontId="3" fillId="4" borderId="37" xfId="2" applyFont="1" applyFill="1" applyBorder="1" applyAlignment="1">
      <alignment horizontal="center" vertical="center" textRotation="90" wrapText="1"/>
    </xf>
    <xf numFmtId="0" fontId="15" fillId="0" borderId="2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9" fillId="4" borderId="2" xfId="2" applyFont="1" applyFill="1" applyBorder="1" applyAlignment="1">
      <alignment horizontal="center" vertical="center" wrapText="1"/>
    </xf>
    <xf numFmtId="0" fontId="9" fillId="4" borderId="0" xfId="2" applyFont="1" applyFill="1" applyAlignment="1">
      <alignment horizontal="center" vertical="center" wrapText="1"/>
    </xf>
    <xf numFmtId="0" fontId="9" fillId="4" borderId="3" xfId="2" applyFont="1" applyFill="1" applyBorder="1" applyAlignment="1">
      <alignment horizontal="center" vertical="center" wrapText="1"/>
    </xf>
    <xf numFmtId="0" fontId="9" fillId="4" borderId="16" xfId="2" applyFont="1" applyFill="1" applyBorder="1" applyAlignment="1">
      <alignment horizontal="center" vertical="center" wrapText="1"/>
    </xf>
    <xf numFmtId="0" fontId="9" fillId="4" borderId="35" xfId="2" applyFont="1" applyFill="1" applyBorder="1" applyAlignment="1">
      <alignment horizontal="center" vertical="center" wrapText="1"/>
    </xf>
    <xf numFmtId="0" fontId="9" fillId="4" borderId="18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 wrapText="1" shrinkToFit="1"/>
    </xf>
    <xf numFmtId="0" fontId="3" fillId="4" borderId="10" xfId="2" applyFont="1" applyFill="1" applyBorder="1" applyAlignment="1">
      <alignment horizontal="center" vertical="center" wrapText="1" shrinkToFit="1"/>
    </xf>
    <xf numFmtId="0" fontId="3" fillId="4" borderId="17" xfId="2" applyFont="1" applyFill="1" applyBorder="1" applyAlignment="1">
      <alignment horizontal="center" vertical="center" wrapText="1" shrinkToFit="1"/>
    </xf>
    <xf numFmtId="0" fontId="15" fillId="0" borderId="40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10" xfId="0" applyFont="1" applyFill="1" applyBorder="1" applyAlignment="1">
      <alignment horizontal="center" vertical="center" wrapText="1"/>
    </xf>
    <xf numFmtId="0" fontId="10" fillId="13" borderId="17" xfId="0" applyFont="1" applyFill="1" applyBorder="1" applyAlignment="1">
      <alignment horizontal="center" vertical="center" wrapText="1"/>
    </xf>
    <xf numFmtId="0" fontId="16" fillId="14" borderId="27" xfId="2" applyFont="1" applyFill="1" applyBorder="1" applyAlignment="1">
      <alignment horizontal="center" vertical="center" wrapText="1"/>
    </xf>
    <xf numFmtId="0" fontId="16" fillId="14" borderId="32" xfId="2" applyFont="1" applyFill="1" applyBorder="1" applyAlignment="1">
      <alignment horizontal="center" vertical="center" wrapText="1"/>
    </xf>
    <xf numFmtId="0" fontId="16" fillId="14" borderId="53" xfId="2" applyFont="1" applyFill="1" applyBorder="1" applyAlignment="1">
      <alignment horizontal="center" vertical="center" wrapText="1"/>
    </xf>
    <xf numFmtId="0" fontId="16" fillId="14" borderId="14" xfId="2" applyFont="1" applyFill="1" applyBorder="1" applyAlignment="1">
      <alignment horizontal="center" vertical="center" wrapText="1"/>
    </xf>
    <xf numFmtId="0" fontId="16" fillId="14" borderId="15" xfId="2" applyFont="1" applyFill="1" applyBorder="1" applyAlignment="1">
      <alignment horizontal="center" vertical="center" wrapText="1"/>
    </xf>
    <xf numFmtId="0" fontId="3" fillId="4" borderId="46" xfId="2" applyFont="1" applyFill="1" applyBorder="1" applyAlignment="1">
      <alignment horizontal="center" vertical="center" textRotation="90" wrapText="1"/>
    </xf>
    <xf numFmtId="0" fontId="3" fillId="4" borderId="41" xfId="2" applyFont="1" applyFill="1" applyBorder="1" applyAlignment="1">
      <alignment horizontal="center" vertical="center" textRotation="90" wrapText="1"/>
    </xf>
    <xf numFmtId="0" fontId="16" fillId="14" borderId="54" xfId="2" applyFont="1" applyFill="1" applyBorder="1" applyAlignment="1">
      <alignment horizontal="center" vertical="center" wrapText="1"/>
    </xf>
    <xf numFmtId="0" fontId="16" fillId="14" borderId="55" xfId="2" applyFont="1" applyFill="1" applyBorder="1" applyAlignment="1">
      <alignment horizontal="center" vertical="center" wrapText="1"/>
    </xf>
    <xf numFmtId="0" fontId="16" fillId="14" borderId="29" xfId="2" applyFont="1" applyFill="1" applyBorder="1" applyAlignment="1">
      <alignment horizontal="center" vertical="center" wrapText="1"/>
    </xf>
    <xf numFmtId="0" fontId="16" fillId="14" borderId="31" xfId="2" applyFont="1" applyFill="1" applyBorder="1" applyAlignment="1">
      <alignment horizontal="center" vertical="center" wrapText="1"/>
    </xf>
    <xf numFmtId="0" fontId="12" fillId="8" borderId="1" xfId="2" applyFont="1" applyFill="1" applyBorder="1" applyAlignment="1">
      <alignment horizontal="center" vertical="center" textRotation="90" wrapText="1"/>
    </xf>
    <xf numFmtId="0" fontId="12" fillId="8" borderId="17" xfId="2" applyFont="1" applyFill="1" applyBorder="1" applyAlignment="1">
      <alignment horizontal="center" vertical="center" textRotation="90" wrapText="1"/>
    </xf>
    <xf numFmtId="0" fontId="12" fillId="9" borderId="4" xfId="2" applyFont="1" applyFill="1" applyBorder="1" applyAlignment="1">
      <alignment horizontal="center" vertical="center" wrapText="1"/>
    </xf>
    <xf numFmtId="0" fontId="12" fillId="9" borderId="5" xfId="2" applyFont="1" applyFill="1" applyBorder="1" applyAlignment="1">
      <alignment horizontal="center" vertical="center" wrapText="1"/>
    </xf>
    <xf numFmtId="0" fontId="3" fillId="4" borderId="42" xfId="2" applyFont="1" applyFill="1" applyBorder="1" applyAlignment="1">
      <alignment horizontal="center" vertical="center" textRotation="90"/>
    </xf>
    <xf numFmtId="0" fontId="3" fillId="4" borderId="44" xfId="2" applyFont="1" applyFill="1" applyBorder="1" applyAlignment="1">
      <alignment horizontal="center" vertical="center" textRotation="90"/>
    </xf>
    <xf numFmtId="0" fontId="3" fillId="4" borderId="11" xfId="2" applyFont="1" applyFill="1" applyBorder="1" applyAlignment="1">
      <alignment horizontal="center" vertical="center" textRotation="90"/>
    </xf>
    <xf numFmtId="0" fontId="3" fillId="4" borderId="36" xfId="2" applyFont="1" applyFill="1" applyBorder="1" applyAlignment="1">
      <alignment horizontal="center" vertical="center" textRotation="90"/>
    </xf>
    <xf numFmtId="0" fontId="3" fillId="4" borderId="12" xfId="2" applyFont="1" applyFill="1" applyBorder="1" applyAlignment="1">
      <alignment horizontal="center" vertical="center" textRotation="90" shrinkToFit="1"/>
    </xf>
    <xf numFmtId="0" fontId="3" fillId="4" borderId="37" xfId="2" applyFont="1" applyFill="1" applyBorder="1" applyAlignment="1">
      <alignment horizontal="center" vertical="center" textRotation="90" shrinkToFit="1"/>
    </xf>
    <xf numFmtId="0" fontId="12" fillId="8" borderId="4" xfId="2" applyFont="1" applyFill="1" applyBorder="1" applyAlignment="1">
      <alignment horizontal="center" vertical="center"/>
    </xf>
    <xf numFmtId="0" fontId="12" fillId="8" borderId="5" xfId="2" applyFont="1" applyFill="1" applyBorder="1" applyAlignment="1">
      <alignment horizontal="center" vertical="center"/>
    </xf>
    <xf numFmtId="0" fontId="12" fillId="8" borderId="6" xfId="2" applyFont="1" applyFill="1" applyBorder="1" applyAlignment="1">
      <alignment horizontal="center" vertical="center"/>
    </xf>
    <xf numFmtId="0" fontId="10" fillId="12" borderId="13" xfId="0" applyFont="1" applyFill="1" applyBorder="1" applyAlignment="1">
      <alignment horizontal="center" vertical="center" wrapText="1"/>
    </xf>
    <xf numFmtId="0" fontId="10" fillId="12" borderId="38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13" borderId="13" xfId="0" applyFont="1" applyFill="1" applyBorder="1" applyAlignment="1">
      <alignment horizontal="center" vertical="center" wrapText="1"/>
    </xf>
    <xf numFmtId="0" fontId="10" fillId="13" borderId="38" xfId="0" applyFont="1" applyFill="1" applyBorder="1" applyAlignment="1">
      <alignment horizontal="center" vertical="center" wrapText="1"/>
    </xf>
    <xf numFmtId="0" fontId="10" fillId="13" borderId="19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  <xf numFmtId="0" fontId="10" fillId="11" borderId="17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10" xfId="0" applyFont="1" applyFill="1" applyBorder="1" applyAlignment="1">
      <alignment horizontal="center" vertical="center" wrapText="1"/>
    </xf>
    <xf numFmtId="0" fontId="10" fillId="12" borderId="17" xfId="0" applyFont="1" applyFill="1" applyBorder="1" applyAlignment="1">
      <alignment horizontal="center" vertical="center" wrapText="1"/>
    </xf>
    <xf numFmtId="0" fontId="10" fillId="11" borderId="13" xfId="0" applyFont="1" applyFill="1" applyBorder="1" applyAlignment="1">
      <alignment horizontal="center" vertical="center" wrapText="1"/>
    </xf>
    <xf numFmtId="0" fontId="10" fillId="11" borderId="38" xfId="0" applyFont="1" applyFill="1" applyBorder="1" applyAlignment="1">
      <alignment horizontal="center" vertical="center" wrapText="1"/>
    </xf>
    <xf numFmtId="0" fontId="10" fillId="11" borderId="19" xfId="0" applyFont="1" applyFill="1" applyBorder="1" applyAlignment="1">
      <alignment horizontal="center" vertical="center" wrapText="1"/>
    </xf>
    <xf numFmtId="0" fontId="7" fillId="4" borderId="0" xfId="2" applyFont="1" applyFill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7" fillId="4" borderId="35" xfId="2" applyFont="1" applyFill="1" applyBorder="1" applyAlignment="1">
      <alignment horizontal="center" vertical="center" wrapText="1"/>
    </xf>
    <xf numFmtId="0" fontId="7" fillId="4" borderId="18" xfId="2" applyFont="1" applyFill="1" applyBorder="1" applyAlignment="1">
      <alignment horizontal="center" vertical="center" wrapText="1"/>
    </xf>
    <xf numFmtId="0" fontId="3" fillId="4" borderId="7" xfId="2" applyFont="1" applyFill="1" applyBorder="1" applyAlignment="1">
      <alignment horizontal="center" vertical="center" textRotation="90" wrapText="1"/>
    </xf>
    <xf numFmtId="0" fontId="3" fillId="4" borderId="9" xfId="2" applyFont="1" applyFill="1" applyBorder="1" applyAlignment="1">
      <alignment horizontal="center" vertical="center" textRotation="90" wrapText="1"/>
    </xf>
    <xf numFmtId="0" fontId="3" fillId="4" borderId="16" xfId="2" applyFont="1" applyFill="1" applyBorder="1" applyAlignment="1">
      <alignment horizontal="center" vertical="center" textRotation="90" wrapText="1"/>
    </xf>
    <xf numFmtId="0" fontId="3" fillId="4" borderId="18" xfId="2" applyFont="1" applyFill="1" applyBorder="1" applyAlignment="1">
      <alignment horizontal="center" vertical="center" textRotation="90" wrapText="1"/>
    </xf>
    <xf numFmtId="0" fontId="3" fillId="5" borderId="7" xfId="2" applyFont="1" applyFill="1" applyBorder="1" applyAlignment="1">
      <alignment horizontal="center" vertical="center" wrapText="1" shrinkToFit="1"/>
    </xf>
    <xf numFmtId="0" fontId="3" fillId="5" borderId="9" xfId="2" applyFont="1" applyFill="1" applyBorder="1" applyAlignment="1">
      <alignment horizontal="center" vertical="center" wrapText="1" shrinkToFit="1"/>
    </xf>
    <xf numFmtId="0" fontId="3" fillId="5" borderId="2" xfId="2" applyFont="1" applyFill="1" applyBorder="1" applyAlignment="1">
      <alignment horizontal="center" vertical="center" wrapText="1" shrinkToFit="1"/>
    </xf>
    <xf numFmtId="0" fontId="3" fillId="5" borderId="3" xfId="2" applyFont="1" applyFill="1" applyBorder="1" applyAlignment="1">
      <alignment horizontal="center" vertical="center" wrapText="1" shrinkToFit="1"/>
    </xf>
    <xf numFmtId="0" fontId="3" fillId="5" borderId="16" xfId="2" applyFont="1" applyFill="1" applyBorder="1" applyAlignment="1">
      <alignment horizontal="center" vertical="center" wrapText="1" shrinkToFit="1"/>
    </xf>
    <xf numFmtId="0" fontId="3" fillId="5" borderId="18" xfId="2" applyFont="1" applyFill="1" applyBorder="1" applyAlignment="1">
      <alignment horizontal="center" vertical="center" wrapText="1" shrinkToFit="1"/>
    </xf>
    <xf numFmtId="0" fontId="3" fillId="3" borderId="7" xfId="2" applyFont="1" applyFill="1" applyBorder="1" applyAlignment="1">
      <alignment horizontal="center" vertical="center" wrapText="1" shrinkToFit="1"/>
    </xf>
    <xf numFmtId="0" fontId="3" fillId="3" borderId="9" xfId="2" applyFont="1" applyFill="1" applyBorder="1" applyAlignment="1">
      <alignment horizontal="center" vertical="center" wrapText="1" shrinkToFit="1"/>
    </xf>
    <xf numFmtId="0" fontId="3" fillId="3" borderId="2" xfId="2" applyFont="1" applyFill="1" applyBorder="1" applyAlignment="1">
      <alignment horizontal="center" vertical="center" wrapText="1" shrinkToFit="1"/>
    </xf>
    <xf numFmtId="0" fontId="3" fillId="3" borderId="3" xfId="2" applyFont="1" applyFill="1" applyBorder="1" applyAlignment="1">
      <alignment horizontal="center" vertical="center" wrapText="1" shrinkToFit="1"/>
    </xf>
    <xf numFmtId="0" fontId="3" fillId="3" borderId="16" xfId="2" applyFont="1" applyFill="1" applyBorder="1" applyAlignment="1">
      <alignment horizontal="center" vertical="center" wrapText="1" shrinkToFit="1"/>
    </xf>
    <xf numFmtId="0" fontId="3" fillId="3" borderId="18" xfId="2" applyFont="1" applyFill="1" applyBorder="1" applyAlignment="1">
      <alignment horizontal="center" vertical="center" wrapText="1" shrinkToFit="1"/>
    </xf>
    <xf numFmtId="0" fontId="3" fillId="4" borderId="7" xfId="2" applyFont="1" applyFill="1" applyBorder="1" applyAlignment="1">
      <alignment horizontal="center" vertical="center" wrapText="1" shrinkToFit="1"/>
    </xf>
    <xf numFmtId="0" fontId="3" fillId="4" borderId="9" xfId="2" applyFont="1" applyFill="1" applyBorder="1" applyAlignment="1">
      <alignment horizontal="center" vertical="center" wrapText="1" shrinkToFit="1"/>
    </xf>
    <xf numFmtId="0" fontId="3" fillId="4" borderId="2" xfId="2" applyFont="1" applyFill="1" applyBorder="1" applyAlignment="1">
      <alignment horizontal="center" vertical="center" wrapText="1" shrinkToFit="1"/>
    </xf>
    <xf numFmtId="0" fontId="3" fillId="4" borderId="3" xfId="2" applyFont="1" applyFill="1" applyBorder="1" applyAlignment="1">
      <alignment horizontal="center" vertical="center" wrapText="1" shrinkToFit="1"/>
    </xf>
    <xf numFmtId="0" fontId="10" fillId="0" borderId="4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textRotation="90" wrapText="1" shrinkToFit="1"/>
    </xf>
    <xf numFmtId="0" fontId="3" fillId="7" borderId="10" xfId="2" applyFont="1" applyFill="1" applyBorder="1" applyAlignment="1">
      <alignment horizontal="center" vertical="center" textRotation="90" wrapText="1" shrinkToFit="1"/>
    </xf>
    <xf numFmtId="0" fontId="3" fillId="7" borderId="17" xfId="2" applyFont="1" applyFill="1" applyBorder="1" applyAlignment="1">
      <alignment horizontal="center" vertical="center" textRotation="90" wrapText="1" shrinkToFit="1"/>
    </xf>
    <xf numFmtId="0" fontId="3" fillId="6" borderId="4" xfId="2" applyFont="1" applyFill="1" applyBorder="1" applyAlignment="1">
      <alignment horizontal="center" vertical="center" wrapText="1"/>
    </xf>
    <xf numFmtId="0" fontId="3" fillId="6" borderId="5" xfId="2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/>
    </xf>
    <xf numFmtId="0" fontId="10" fillId="10" borderId="38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 wrapText="1"/>
    </xf>
    <xf numFmtId="0" fontId="7" fillId="4" borderId="16" xfId="2" applyFont="1" applyFill="1" applyBorder="1" applyAlignment="1">
      <alignment horizontal="center" vertical="center" wrapText="1"/>
    </xf>
    <xf numFmtId="165" fontId="4" fillId="0" borderId="57" xfId="3" applyNumberFormat="1" applyFont="1" applyBorder="1" applyAlignment="1">
      <alignment vertical="center"/>
    </xf>
    <xf numFmtId="165" fontId="4" fillId="0" borderId="37" xfId="3" applyNumberFormat="1" applyFont="1" applyBorder="1" applyAlignment="1">
      <alignment vertical="center"/>
    </xf>
    <xf numFmtId="165" fontId="4" fillId="0" borderId="34" xfId="3" applyNumberFormat="1" applyFont="1" applyBorder="1" applyAlignment="1">
      <alignment vertical="center"/>
    </xf>
    <xf numFmtId="0" fontId="19" fillId="4" borderId="7" xfId="2" applyFont="1" applyFill="1" applyBorder="1" applyAlignment="1">
      <alignment horizontal="center" vertical="center" textRotation="90"/>
    </xf>
    <xf numFmtId="0" fontId="19" fillId="4" borderId="2" xfId="2" applyFont="1" applyFill="1" applyBorder="1" applyAlignment="1">
      <alignment horizontal="center" vertical="center" textRotation="90"/>
    </xf>
    <xf numFmtId="0" fontId="19" fillId="4" borderId="16" xfId="2" applyFont="1" applyFill="1" applyBorder="1" applyAlignment="1">
      <alignment horizontal="center" vertical="center" textRotation="90"/>
    </xf>
    <xf numFmtId="0" fontId="19" fillId="4" borderId="8" xfId="2" applyFont="1" applyFill="1" applyBorder="1" applyAlignment="1">
      <alignment horizontal="center" vertical="center" textRotation="90" wrapText="1"/>
    </xf>
    <xf numFmtId="0" fontId="19" fillId="4" borderId="0" xfId="2" applyFont="1" applyFill="1" applyAlignment="1">
      <alignment horizontal="center" vertical="center" textRotation="90" wrapText="1"/>
    </xf>
    <xf numFmtId="0" fontId="19" fillId="4" borderId="35" xfId="2" applyFont="1" applyFill="1" applyBorder="1" applyAlignment="1">
      <alignment horizontal="center" vertical="center" textRotation="90" wrapText="1"/>
    </xf>
    <xf numFmtId="0" fontId="19" fillId="4" borderId="8" xfId="2" applyFont="1" applyFill="1" applyBorder="1" applyAlignment="1">
      <alignment horizontal="center" vertical="center" textRotation="90" shrinkToFit="1"/>
    </xf>
    <xf numFmtId="0" fontId="19" fillId="4" borderId="0" xfId="2" applyFont="1" applyFill="1" applyAlignment="1">
      <alignment horizontal="center" vertical="center" textRotation="90" shrinkToFit="1"/>
    </xf>
    <xf numFmtId="0" fontId="19" fillId="4" borderId="35" xfId="2" applyFont="1" applyFill="1" applyBorder="1" applyAlignment="1">
      <alignment horizontal="center" vertical="center" textRotation="90" shrinkToFit="1"/>
    </xf>
    <xf numFmtId="0" fontId="19" fillId="4" borderId="8" xfId="2" applyFont="1" applyFill="1" applyBorder="1" applyAlignment="1">
      <alignment horizontal="center" vertical="center" textRotation="90"/>
    </xf>
    <xf numFmtId="0" fontId="19" fillId="4" borderId="0" xfId="2" applyFont="1" applyFill="1" applyAlignment="1">
      <alignment horizontal="center" vertical="center" textRotation="90"/>
    </xf>
    <xf numFmtId="0" fontId="19" fillId="4" borderId="35" xfId="2" applyFont="1" applyFill="1" applyBorder="1" applyAlignment="1">
      <alignment horizontal="center" vertical="center" textRotation="90"/>
    </xf>
    <xf numFmtId="0" fontId="4" fillId="0" borderId="57" xfId="2" applyFont="1" applyBorder="1" applyAlignment="1">
      <alignment vertical="center"/>
    </xf>
    <xf numFmtId="0" fontId="4" fillId="0" borderId="34" xfId="2" applyFont="1" applyBorder="1" applyAlignment="1">
      <alignment vertical="center"/>
    </xf>
    <xf numFmtId="0" fontId="4" fillId="0" borderId="37" xfId="2" applyFont="1" applyBorder="1" applyAlignment="1">
      <alignment vertical="center"/>
    </xf>
    <xf numFmtId="1" fontId="4" fillId="0" borderId="57" xfId="2" applyNumberFormat="1" applyFont="1" applyBorder="1" applyAlignment="1">
      <alignment vertical="center"/>
    </xf>
    <xf numFmtId="1" fontId="4" fillId="0" borderId="37" xfId="2" applyNumberFormat="1" applyFont="1" applyBorder="1" applyAlignment="1">
      <alignment vertical="center"/>
    </xf>
    <xf numFmtId="1" fontId="4" fillId="0" borderId="34" xfId="2" applyNumberFormat="1" applyFont="1" applyBorder="1" applyAlignment="1">
      <alignment vertical="center"/>
    </xf>
    <xf numFmtId="0" fontId="14" fillId="17" borderId="8" xfId="2" applyFont="1" applyFill="1" applyBorder="1" applyAlignment="1">
      <alignment horizontal="center" vertical="center" wrapText="1"/>
    </xf>
    <xf numFmtId="0" fontId="14" fillId="17" borderId="0" xfId="2" applyFont="1" applyFill="1" applyAlignment="1">
      <alignment horizontal="center" vertical="center" wrapText="1"/>
    </xf>
    <xf numFmtId="0" fontId="14" fillId="17" borderId="52" xfId="2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9" fillId="4" borderId="7" xfId="2" applyFont="1" applyFill="1" applyBorder="1" applyAlignment="1">
      <alignment horizontal="center" vertical="center" wrapText="1" shrinkToFit="1"/>
    </xf>
    <xf numFmtId="0" fontId="19" fillId="4" borderId="9" xfId="2" applyFont="1" applyFill="1" applyBorder="1" applyAlignment="1">
      <alignment horizontal="center" vertical="center" wrapText="1" shrinkToFit="1"/>
    </xf>
    <xf numFmtId="0" fontId="19" fillId="4" borderId="2" xfId="2" applyFont="1" applyFill="1" applyBorder="1" applyAlignment="1">
      <alignment horizontal="center" vertical="center" wrapText="1" shrinkToFit="1"/>
    </xf>
    <xf numFmtId="0" fontId="19" fillId="4" borderId="3" xfId="2" applyFont="1" applyFill="1" applyBorder="1" applyAlignment="1">
      <alignment horizontal="center" vertical="center" wrapText="1" shrinkToFit="1"/>
    </xf>
    <xf numFmtId="0" fontId="15" fillId="0" borderId="2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3" fillId="0" borderId="27" xfId="2" applyFont="1" applyFill="1" applyBorder="1" applyAlignment="1">
      <alignment horizontal="center" vertical="center" wrapText="1"/>
    </xf>
    <xf numFmtId="44" fontId="6" fillId="0" borderId="27" xfId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43" fontId="6" fillId="0" borderId="27" xfId="3" applyFont="1" applyBorder="1" applyAlignment="1">
      <alignment horizontal="center" vertical="center"/>
    </xf>
    <xf numFmtId="44" fontId="6" fillId="0" borderId="27" xfId="0" applyNumberFormat="1" applyFont="1" applyBorder="1" applyAlignment="1">
      <alignment horizontal="center" vertical="center"/>
    </xf>
    <xf numFmtId="191" fontId="17" fillId="0" borderId="1" xfId="0" applyNumberFormat="1" applyFont="1" applyBorder="1" applyAlignment="1">
      <alignment horizontal="center" vertical="center"/>
    </xf>
    <xf numFmtId="191" fontId="17" fillId="0" borderId="10" xfId="0" applyNumberFormat="1" applyFont="1" applyBorder="1" applyAlignment="1">
      <alignment horizontal="center" vertical="center"/>
    </xf>
    <xf numFmtId="191" fontId="17" fillId="0" borderId="17" xfId="0" applyNumberFormat="1" applyFont="1" applyBorder="1" applyAlignment="1">
      <alignment horizontal="center" vertical="center"/>
    </xf>
    <xf numFmtId="180" fontId="17" fillId="0" borderId="1" xfId="4" applyNumberFormat="1" applyFont="1" applyBorder="1" applyAlignment="1">
      <alignment horizontal="center" vertical="center"/>
    </xf>
    <xf numFmtId="180" fontId="17" fillId="0" borderId="10" xfId="4" applyNumberFormat="1" applyFont="1" applyBorder="1" applyAlignment="1">
      <alignment horizontal="center" vertical="center"/>
    </xf>
    <xf numFmtId="180" fontId="17" fillId="0" borderId="17" xfId="4" applyNumberFormat="1" applyFont="1" applyBorder="1" applyAlignment="1">
      <alignment horizontal="center" vertical="center"/>
    </xf>
    <xf numFmtId="10" fontId="17" fillId="0" borderId="1" xfId="4" applyNumberFormat="1" applyFont="1" applyBorder="1" applyAlignment="1">
      <alignment horizontal="center" vertical="center"/>
    </xf>
    <xf numFmtId="10" fontId="17" fillId="0" borderId="10" xfId="4" applyNumberFormat="1" applyFont="1" applyBorder="1" applyAlignment="1">
      <alignment horizontal="center" vertical="center"/>
    </xf>
    <xf numFmtId="10" fontId="17" fillId="0" borderId="17" xfId="4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 vertical="center"/>
    </xf>
    <xf numFmtId="178" fontId="17" fillId="0" borderId="10" xfId="0" applyNumberFormat="1" applyFont="1" applyBorder="1" applyAlignment="1">
      <alignment horizontal="center" vertical="center"/>
    </xf>
    <xf numFmtId="178" fontId="17" fillId="0" borderId="17" xfId="0" applyNumberFormat="1" applyFont="1" applyBorder="1" applyAlignment="1">
      <alignment horizontal="center" vertical="center"/>
    </xf>
    <xf numFmtId="177" fontId="0" fillId="13" borderId="10" xfId="0" applyNumberFormat="1" applyFill="1" applyBorder="1" applyAlignment="1">
      <alignment horizontal="center" vertical="center"/>
    </xf>
    <xf numFmtId="177" fontId="0" fillId="13" borderId="17" xfId="0" applyNumberFormat="1" applyFill="1" applyBorder="1" applyAlignment="1">
      <alignment horizontal="center" vertical="center"/>
    </xf>
    <xf numFmtId="177" fontId="0" fillId="10" borderId="1" xfId="0" applyNumberFormat="1" applyFill="1" applyBorder="1" applyAlignment="1">
      <alignment horizontal="center" vertical="center"/>
    </xf>
    <xf numFmtId="177" fontId="0" fillId="10" borderId="10" xfId="0" applyNumberFormat="1" applyFill="1" applyBorder="1" applyAlignment="1">
      <alignment horizontal="center" vertical="center"/>
    </xf>
    <xf numFmtId="177" fontId="0" fillId="10" borderId="17" xfId="0" applyNumberFormat="1" applyFill="1" applyBorder="1" applyAlignment="1">
      <alignment horizontal="center" vertical="center"/>
    </xf>
    <xf numFmtId="177" fontId="0" fillId="11" borderId="1" xfId="0" applyNumberFormat="1" applyFill="1" applyBorder="1" applyAlignment="1">
      <alignment horizontal="center" vertical="center"/>
    </xf>
    <xf numFmtId="177" fontId="0" fillId="11" borderId="10" xfId="0" applyNumberFormat="1" applyFill="1" applyBorder="1" applyAlignment="1">
      <alignment horizontal="center" vertical="center"/>
    </xf>
    <xf numFmtId="177" fontId="0" fillId="11" borderId="17" xfId="0" applyNumberFormat="1" applyFill="1" applyBorder="1" applyAlignment="1">
      <alignment horizontal="center" vertical="center"/>
    </xf>
    <xf numFmtId="177" fontId="0" fillId="14" borderId="1" xfId="0" applyNumberFormat="1" applyFill="1" applyBorder="1" applyAlignment="1">
      <alignment horizontal="center" vertical="center"/>
    </xf>
    <xf numFmtId="177" fontId="0" fillId="14" borderId="10" xfId="0" applyNumberFormat="1" applyFill="1" applyBorder="1" applyAlignment="1">
      <alignment horizontal="center" vertical="center"/>
    </xf>
    <xf numFmtId="177" fontId="0" fillId="14" borderId="17" xfId="0" applyNumberFormat="1" applyFill="1" applyBorder="1" applyAlignment="1">
      <alignment horizontal="center" vertical="center"/>
    </xf>
    <xf numFmtId="0" fontId="33" fillId="16" borderId="4" xfId="0" applyFont="1" applyFill="1" applyBorder="1" applyAlignment="1">
      <alignment horizontal="center"/>
    </xf>
    <xf numFmtId="0" fontId="33" fillId="16" borderId="5" xfId="0" applyFont="1" applyFill="1" applyBorder="1" applyAlignment="1">
      <alignment horizontal="center"/>
    </xf>
    <xf numFmtId="0" fontId="33" fillId="16" borderId="6" xfId="0" applyFont="1" applyFill="1" applyBorder="1" applyAlignment="1">
      <alignment horizontal="center"/>
    </xf>
    <xf numFmtId="0" fontId="31" fillId="17" borderId="0" xfId="0" applyFont="1" applyFill="1" applyAlignment="1">
      <alignment horizontal="center"/>
    </xf>
  </cellXfs>
  <cellStyles count="7">
    <cellStyle name="Millares" xfId="3" builtinId="3"/>
    <cellStyle name="Moneda" xfId="1" builtinId="4"/>
    <cellStyle name="Moneda 2" xfId="5" xr:uid="{F543FCD3-79FB-44D5-96CC-9620CB3B3C31}"/>
    <cellStyle name="Moneda 3" xfId="6" xr:uid="{53F337F8-BF86-40D1-A4DD-333CD704403D}"/>
    <cellStyle name="Normal" xfId="0" builtinId="0"/>
    <cellStyle name="Normal 2" xfId="2" xr:uid="{EA949C6E-6643-452F-BC4C-4AE6C740B3D1}"/>
    <cellStyle name="Porcentaje" xfId="4" builtinId="5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3ED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5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chartsheet" Target="chartsheets/sheet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2.xml"/><Relationship Id="rId23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chartsheet" Target="chartsheets/sheet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SV" b="1">
                <a:latin typeface="Times New Roman" panose="02020603050405020304" pitchFamily="18" charset="0"/>
                <a:cs typeface="Times New Roman" panose="02020603050405020304" pitchFamily="18" charset="0"/>
              </a:rPr>
              <a:t>Costos Mensuales</a:t>
            </a:r>
            <a:r>
              <a:rPr lang="es-SV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 Mantenimiento</a:t>
            </a:r>
            <a:endParaRPr lang="es-SV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'Costos Plan de Mantenimiento'!$S$2:$S$13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'Costos Plan de Mantenimiento'!$Y$2:$Y$13</c:f>
              <c:numCache>
                <c:formatCode>_("$"* #,##0.00_);_("$"* \(#,##0.00\);_("$"* "-"??_);_(@_)</c:formatCode>
                <c:ptCount val="12"/>
                <c:pt idx="0">
                  <c:v>6835.0018844000006</c:v>
                </c:pt>
                <c:pt idx="1">
                  <c:v>5768.0018844000006</c:v>
                </c:pt>
                <c:pt idx="2">
                  <c:v>7604.9918844000003</c:v>
                </c:pt>
                <c:pt idx="3">
                  <c:v>5768.0018844000006</c:v>
                </c:pt>
                <c:pt idx="4">
                  <c:v>5435.0018844000006</c:v>
                </c:pt>
                <c:pt idx="5">
                  <c:v>5910.7318844000001</c:v>
                </c:pt>
                <c:pt idx="6">
                  <c:v>5435.0018844000006</c:v>
                </c:pt>
                <c:pt idx="7">
                  <c:v>5768.0018844000006</c:v>
                </c:pt>
                <c:pt idx="8">
                  <c:v>8737.2418844000003</c:v>
                </c:pt>
                <c:pt idx="9">
                  <c:v>5768.0018844000006</c:v>
                </c:pt>
                <c:pt idx="10">
                  <c:v>5435.0018844000006</c:v>
                </c:pt>
                <c:pt idx="11">
                  <c:v>7453.4618843999997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B1-422C-B825-820E76A0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74000"/>
        <c:axId val="445457360"/>
      </c:lineChart>
      <c:catAx>
        <c:axId val="45157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SV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445457360"/>
        <c:crosses val="autoZero"/>
        <c:auto val="1"/>
        <c:lblAlgn val="ctr"/>
        <c:lblOffset val="100"/>
        <c:noMultiLvlLbl val="0"/>
      </c:catAx>
      <c:valAx>
        <c:axId val="4454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 b="1"/>
                  <a:t>Costos Mensuales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45157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SV" b="1">
                <a:latin typeface="Times New Roman" panose="02020603050405020304" pitchFamily="18" charset="0"/>
                <a:cs typeface="Times New Roman" panose="02020603050405020304" pitchFamily="18" charset="0"/>
              </a:rPr>
              <a:t>Comparativa de proyecciones de los costos de Mantenimiento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705791245615365"/>
          <c:y val="0.1200332502078138"/>
          <c:w val="0.81525957829138274"/>
          <c:h val="0.66657686492430346"/>
        </c:manualLayout>
      </c:layout>
      <c:scatterChart>
        <c:scatterStyle val="lineMarker"/>
        <c:varyColors val="0"/>
        <c:ser>
          <c:idx val="0"/>
          <c:order val="0"/>
          <c:tx>
            <c:strRef>
              <c:f>CM!$AM$3</c:f>
              <c:strCache>
                <c:ptCount val="1"/>
                <c:pt idx="0">
                  <c:v>Plan 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CM!$AL$4:$AL$8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xVal>
          <c:yVal>
            <c:numRef>
              <c:f>CM!$AM$4:$AM$8</c:f>
              <c:numCache>
                <c:formatCode>_(* #,##0.00_);_(* \(#,##0.00\);_(* "-"??_);_(@_)</c:formatCode>
                <c:ptCount val="5"/>
                <c:pt idx="0">
                  <c:v>94503.592316017326</c:v>
                </c:pt>
                <c:pt idx="1">
                  <c:v>97338.700085497854</c:v>
                </c:pt>
                <c:pt idx="2">
                  <c:v>100258.8610880628</c:v>
                </c:pt>
                <c:pt idx="3">
                  <c:v>103266.62692070469</c:v>
                </c:pt>
                <c:pt idx="4">
                  <c:v>106364.62572832583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5-414E-9DAE-82C40F37145F}"/>
            </c:ext>
          </c:extLst>
        </c:ser>
        <c:ser>
          <c:idx val="1"/>
          <c:order val="1"/>
          <c:tx>
            <c:strRef>
              <c:f>CM!$AN$3</c:f>
              <c:strCache>
                <c:ptCount val="1"/>
                <c:pt idx="0">
                  <c:v>Plan Propuesto</c:v>
                </c:pt>
              </c:strCache>
            </c:strRef>
          </c:tx>
          <c:spPr>
            <a:ln w="19050" cap="rnd">
              <a:solidFill>
                <a:srgbClr val="03ED3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3ED35"/>
              </a:solidFill>
              <a:ln w="9525">
                <a:solidFill>
                  <a:srgbClr val="03ED35"/>
                </a:solidFill>
              </a:ln>
              <a:effectLst/>
            </c:spPr>
          </c:marker>
          <c:xVal>
            <c:numRef>
              <c:f>CM!$AL$4:$AL$8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xVal>
          <c:yVal>
            <c:numRef>
              <c:f>CM!$AN$4:$AN$8</c:f>
              <c:numCache>
                <c:formatCode>_(* #,##0.00_);_(* \(#,##0.00\);_(* "-"??_);_(@_)</c:formatCode>
                <c:ptCount val="5"/>
                <c:pt idx="0">
                  <c:v>104103.59231601733</c:v>
                </c:pt>
                <c:pt idx="1">
                  <c:v>74459.055149748965</c:v>
                </c:pt>
                <c:pt idx="2">
                  <c:v>74459.055149748965</c:v>
                </c:pt>
                <c:pt idx="3">
                  <c:v>74459.055149748965</c:v>
                </c:pt>
                <c:pt idx="4">
                  <c:v>74459.055149748965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5-414E-9DAE-82C40F371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09359"/>
        <c:axId val="884954655"/>
      </c:scatterChart>
      <c:valAx>
        <c:axId val="876009359"/>
        <c:scaling>
          <c:orientation val="minMax"/>
          <c:max val="2028"/>
          <c:min val="2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SV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Años</a:t>
                </a:r>
              </a:p>
            </c:rich>
          </c:tx>
          <c:layout>
            <c:manualLayout>
              <c:xMode val="edge"/>
              <c:yMode val="edge"/>
              <c:x val="0.50253917362126133"/>
              <c:y val="0.85327571484509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84954655"/>
        <c:crosses val="autoZero"/>
        <c:crossBetween val="midCat"/>
        <c:majorUnit val="1"/>
      </c:valAx>
      <c:valAx>
        <c:axId val="884954655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Costo de</a:t>
                </a:r>
                <a:r>
                  <a:rPr lang="es-SV" baseline="0"/>
                  <a:t> Mantenimiento</a:t>
                </a:r>
                <a:endParaRPr lang="es-S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76009359"/>
        <c:crosses val="autoZero"/>
        <c:crossBetween val="midCat"/>
        <c:min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SV" b="1">
                <a:latin typeface="Times New Roman" panose="02020603050405020304" pitchFamily="18" charset="0"/>
                <a:cs typeface="Times New Roman" panose="02020603050405020304" pitchFamily="18" charset="0"/>
              </a:rPr>
              <a:t>Comparativa de proyecciones de los costos de Mantenimiento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705791245615365"/>
          <c:y val="0.1200332502078138"/>
          <c:w val="0.81525957829138274"/>
          <c:h val="0.66657686492430346"/>
        </c:manualLayout>
      </c:layout>
      <c:scatterChart>
        <c:scatterStyle val="lineMarker"/>
        <c:varyColors val="0"/>
        <c:ser>
          <c:idx val="0"/>
          <c:order val="0"/>
          <c:tx>
            <c:strRef>
              <c:f>CMI!$AM$3</c:f>
              <c:strCache>
                <c:ptCount val="1"/>
                <c:pt idx="0">
                  <c:v>Plan 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CMI!$AL$4:$AL$8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xVal>
          <c:yVal>
            <c:numRef>
              <c:f>CMI!$AM$4:$AM$8</c:f>
              <c:numCache>
                <c:formatCode>_(* #,##0.00_);_(* \(#,##0.00\);_(* "-"??_);_(@_)</c:formatCode>
                <c:ptCount val="5"/>
                <c:pt idx="0">
                  <c:v>94503.592316017326</c:v>
                </c:pt>
                <c:pt idx="1">
                  <c:v>97338.700085497854</c:v>
                </c:pt>
                <c:pt idx="2">
                  <c:v>100258.8610880628</c:v>
                </c:pt>
                <c:pt idx="3">
                  <c:v>103266.62692070469</c:v>
                </c:pt>
                <c:pt idx="4">
                  <c:v>106364.62572832583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0-4FD3-A314-9403D6193C39}"/>
            </c:ext>
          </c:extLst>
        </c:ser>
        <c:ser>
          <c:idx val="1"/>
          <c:order val="1"/>
          <c:tx>
            <c:strRef>
              <c:f>CMI!$AN$3</c:f>
              <c:strCache>
                <c:ptCount val="1"/>
                <c:pt idx="0">
                  <c:v>Plan Propuesto</c:v>
                </c:pt>
              </c:strCache>
            </c:strRef>
          </c:tx>
          <c:spPr>
            <a:ln w="19050" cap="rnd">
              <a:solidFill>
                <a:srgbClr val="03ED3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3ED35"/>
              </a:solidFill>
              <a:ln w="9525">
                <a:solidFill>
                  <a:srgbClr val="03ED35"/>
                </a:solidFill>
              </a:ln>
              <a:effectLst/>
            </c:spPr>
          </c:marker>
          <c:xVal>
            <c:numRef>
              <c:f>CMI!$AL$4:$AL$8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xVal>
          <c:yVal>
            <c:numRef>
              <c:f>CMI!$AN$4:$AN$8</c:f>
              <c:numCache>
                <c:formatCode>_(* #,##0.00_);_(* \(#,##0.00\);_(* "-"??_);_(@_)</c:formatCode>
                <c:ptCount val="5"/>
                <c:pt idx="0">
                  <c:v>104103.59231601733</c:v>
                </c:pt>
                <c:pt idx="1">
                  <c:v>74459.055149748965</c:v>
                </c:pt>
                <c:pt idx="2">
                  <c:v>74459.055149748965</c:v>
                </c:pt>
                <c:pt idx="3">
                  <c:v>74459.055149748965</c:v>
                </c:pt>
                <c:pt idx="4">
                  <c:v>74459.055149748965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0-4FD3-A314-9403D6193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09359"/>
        <c:axId val="884954655"/>
      </c:scatterChart>
      <c:valAx>
        <c:axId val="876009359"/>
        <c:scaling>
          <c:orientation val="minMax"/>
          <c:max val="2028"/>
          <c:min val="2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SV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Años</a:t>
                </a:r>
              </a:p>
            </c:rich>
          </c:tx>
          <c:layout>
            <c:manualLayout>
              <c:xMode val="edge"/>
              <c:yMode val="edge"/>
              <c:x val="0.50253917362126133"/>
              <c:y val="0.85327571484509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84954655"/>
        <c:crosses val="autoZero"/>
        <c:crossBetween val="midCat"/>
        <c:majorUnit val="1"/>
      </c:valAx>
      <c:valAx>
        <c:axId val="884954655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Costo de</a:t>
                </a:r>
                <a:r>
                  <a:rPr lang="es-SV" baseline="0"/>
                  <a:t> Mantenimiento</a:t>
                </a:r>
                <a:endParaRPr lang="es-S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76009359"/>
        <c:crosses val="autoZero"/>
        <c:crossBetween val="midCat"/>
        <c:min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SV" b="1">
                <a:latin typeface="Times New Roman" panose="02020603050405020304" pitchFamily="18" charset="0"/>
                <a:cs typeface="Times New Roman" panose="02020603050405020304" pitchFamily="18" charset="0"/>
              </a:rPr>
              <a:t>Costo de</a:t>
            </a:r>
            <a:r>
              <a:rPr lang="es-SV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Mantenimiento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CM!$Y$2</c:f>
              <c:strCache>
                <c:ptCount val="1"/>
                <c:pt idx="0">
                  <c:v>Costo Mtto. (Actual)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CM!$C$3:$C$33</c:f>
              <c:strCache>
                <c:ptCount val="31"/>
                <c:pt idx="0">
                  <c:v>CUERPO</c:v>
                </c:pt>
                <c:pt idx="1">
                  <c:v>EMPAQUETADURA</c:v>
                </c:pt>
                <c:pt idx="2">
                  <c:v>VÁLVULA DE PASO DE VAPOR</c:v>
                </c:pt>
                <c:pt idx="3">
                  <c:v>CUERPO EXTERNO</c:v>
                </c:pt>
                <c:pt idx="4">
                  <c:v>TUBERÍAS DE ALIMENTACIÓN DE AGUA CONDENSADA</c:v>
                </c:pt>
                <c:pt idx="5">
                  <c:v>TUBERÍA DE PURGA</c:v>
                </c:pt>
                <c:pt idx="6">
                  <c:v>SOPORTE</c:v>
                </c:pt>
                <c:pt idx="7">
                  <c:v>VALVULAS DE SEGURIDAD</c:v>
                </c:pt>
                <c:pt idx="8">
                  <c:v>CUERPO INTERNO</c:v>
                </c:pt>
                <c:pt idx="9">
                  <c:v>QUEMADOR</c:v>
                </c:pt>
                <c:pt idx="10">
                  <c:v>TUBOS DE HUMO</c:v>
                </c:pt>
                <c:pt idx="11">
                  <c:v>CÁMARA DE COMBUSTIÓN</c:v>
                </c:pt>
                <c:pt idx="12">
                  <c:v>ELECTRODOS</c:v>
                </c:pt>
                <c:pt idx="13">
                  <c:v>TRANSFORMADOR DE IGNICIÓN</c:v>
                </c:pt>
                <c:pt idx="14">
                  <c:v>CONTACTOR</c:v>
                </c:pt>
                <c:pt idx="15">
                  <c:v>BOTONERA</c:v>
                </c:pt>
                <c:pt idx="16">
                  <c:v>BREAKERS</c:v>
                </c:pt>
                <c:pt idx="17">
                  <c:v>CONTROLADOR DE QUEMADOR</c:v>
                </c:pt>
                <c:pt idx="18">
                  <c:v>CONTROLADOR DE LLAMA</c:v>
                </c:pt>
                <c:pt idx="19">
                  <c:v>SUMINISTRO DE ENERGÍA ELÉCTRICA INTERNA</c:v>
                </c:pt>
                <c:pt idx="20">
                  <c:v>PRESSURETROL DE OPERACIÓN</c:v>
                </c:pt>
                <c:pt idx="21">
                  <c:v>MANÓMETRO DE PRESIÓN</c:v>
                </c:pt>
                <c:pt idx="22">
                  <c:v>MANÓMETRO DE TEMPERATURA</c:v>
                </c:pt>
                <c:pt idx="23">
                  <c:v>VÁLVULA DE CONTROL DE GAS</c:v>
                </c:pt>
                <c:pt idx="24">
                  <c:v>VÁLVULA REGULADORA DE AIRE</c:v>
                </c:pt>
                <c:pt idx="25">
                  <c:v>MCDONELL</c:v>
                </c:pt>
                <c:pt idx="26">
                  <c:v>VENTILADOR DE MOTOR</c:v>
                </c:pt>
                <c:pt idx="27">
                  <c:v>EMPAQUES DE COMPUERTAS</c:v>
                </c:pt>
                <c:pt idx="28">
                  <c:v>VISOR DE LLAMA</c:v>
                </c:pt>
                <c:pt idx="29">
                  <c:v>EMPAQUES DE QUEMADOR</c:v>
                </c:pt>
                <c:pt idx="30">
                  <c:v>VISOR DE NIVEL DE AGUA</c:v>
                </c:pt>
              </c:strCache>
            </c:strRef>
          </c:cat>
          <c:val>
            <c:numRef>
              <c:f>CM!$Y$3:$Y$33</c:f>
              <c:numCache>
                <c:formatCode>_("$"* #,##0.00_);_("$"* \(#,##0.00\);_("$"* "-"??_);_(@_)</c:formatCode>
                <c:ptCount val="31"/>
                <c:pt idx="0">
                  <c:v>1271.6734848484848</c:v>
                </c:pt>
                <c:pt idx="1">
                  <c:v>1281.2568181818183</c:v>
                </c:pt>
                <c:pt idx="2">
                  <c:v>1285.4983766233765</c:v>
                </c:pt>
                <c:pt idx="3">
                  <c:v>2975.537878787879</c:v>
                </c:pt>
                <c:pt idx="4">
                  <c:v>1493.7585227272727</c:v>
                </c:pt>
                <c:pt idx="5">
                  <c:v>11648.193181818182</c:v>
                </c:pt>
                <c:pt idx="6">
                  <c:v>1161.4651515151513</c:v>
                </c:pt>
                <c:pt idx="7">
                  <c:v>690.94090909090914</c:v>
                </c:pt>
                <c:pt idx="8">
                  <c:v>5831.284090909091</c:v>
                </c:pt>
                <c:pt idx="9">
                  <c:v>9786.2909090909088</c:v>
                </c:pt>
                <c:pt idx="10">
                  <c:v>10076.613636363636</c:v>
                </c:pt>
                <c:pt idx="11">
                  <c:v>3513.1454545454549</c:v>
                </c:pt>
                <c:pt idx="12">
                  <c:v>5903.159090909091</c:v>
                </c:pt>
                <c:pt idx="13">
                  <c:v>998.2348484848485</c:v>
                </c:pt>
                <c:pt idx="14">
                  <c:v>297.31420454545457</c:v>
                </c:pt>
                <c:pt idx="15">
                  <c:v>219.57159090909093</c:v>
                </c:pt>
                <c:pt idx="16">
                  <c:v>305.22045454545457</c:v>
                </c:pt>
                <c:pt idx="17">
                  <c:v>489.33806818181819</c:v>
                </c:pt>
                <c:pt idx="18">
                  <c:v>597.50340909090914</c:v>
                </c:pt>
                <c:pt idx="19">
                  <c:v>460.70568181818186</c:v>
                </c:pt>
                <c:pt idx="20">
                  <c:v>377.81420454545457</c:v>
                </c:pt>
                <c:pt idx="21">
                  <c:v>1461.4147727272727</c:v>
                </c:pt>
                <c:pt idx="22">
                  <c:v>1465.0085227272727</c:v>
                </c:pt>
                <c:pt idx="23">
                  <c:v>10453.186363636363</c:v>
                </c:pt>
                <c:pt idx="24">
                  <c:v>331.09545454545457</c:v>
                </c:pt>
                <c:pt idx="25">
                  <c:v>983.70303030303035</c:v>
                </c:pt>
                <c:pt idx="26">
                  <c:v>1209.3818181818183</c:v>
                </c:pt>
                <c:pt idx="27">
                  <c:v>7716.761363636364</c:v>
                </c:pt>
                <c:pt idx="28">
                  <c:v>1821.377840909091</c:v>
                </c:pt>
                <c:pt idx="29">
                  <c:v>6928.5409090909097</c:v>
                </c:pt>
                <c:pt idx="30">
                  <c:v>1468.6022727272727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0-4726-A34D-BFCECF4A0666}"/>
            </c:ext>
          </c:extLst>
        </c:ser>
        <c:ser>
          <c:idx val="1"/>
          <c:order val="1"/>
          <c:tx>
            <c:strRef>
              <c:f>CM!$AG$2</c:f>
              <c:strCache>
                <c:ptCount val="1"/>
                <c:pt idx="0">
                  <c:v>Costo Mtto. (Propuesto)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CM!$C$3:$C$33</c:f>
              <c:strCache>
                <c:ptCount val="31"/>
                <c:pt idx="0">
                  <c:v>CUERPO</c:v>
                </c:pt>
                <c:pt idx="1">
                  <c:v>EMPAQUETADURA</c:v>
                </c:pt>
                <c:pt idx="2">
                  <c:v>VÁLVULA DE PASO DE VAPOR</c:v>
                </c:pt>
                <c:pt idx="3">
                  <c:v>CUERPO EXTERNO</c:v>
                </c:pt>
                <c:pt idx="4">
                  <c:v>TUBERÍAS DE ALIMENTACIÓN DE AGUA CONDENSADA</c:v>
                </c:pt>
                <c:pt idx="5">
                  <c:v>TUBERÍA DE PURGA</c:v>
                </c:pt>
                <c:pt idx="6">
                  <c:v>SOPORTE</c:v>
                </c:pt>
                <c:pt idx="7">
                  <c:v>VALVULAS DE SEGURIDAD</c:v>
                </c:pt>
                <c:pt idx="8">
                  <c:v>CUERPO INTERNO</c:v>
                </c:pt>
                <c:pt idx="9">
                  <c:v>QUEMADOR</c:v>
                </c:pt>
                <c:pt idx="10">
                  <c:v>TUBOS DE HUMO</c:v>
                </c:pt>
                <c:pt idx="11">
                  <c:v>CÁMARA DE COMBUSTIÓN</c:v>
                </c:pt>
                <c:pt idx="12">
                  <c:v>ELECTRODOS</c:v>
                </c:pt>
                <c:pt idx="13">
                  <c:v>TRANSFORMADOR DE IGNICIÓN</c:v>
                </c:pt>
                <c:pt idx="14">
                  <c:v>CONTACTOR</c:v>
                </c:pt>
                <c:pt idx="15">
                  <c:v>BOTONERA</c:v>
                </c:pt>
                <c:pt idx="16">
                  <c:v>BREAKERS</c:v>
                </c:pt>
                <c:pt idx="17">
                  <c:v>CONTROLADOR DE QUEMADOR</c:v>
                </c:pt>
                <c:pt idx="18">
                  <c:v>CONTROLADOR DE LLAMA</c:v>
                </c:pt>
                <c:pt idx="19">
                  <c:v>SUMINISTRO DE ENERGÍA ELÉCTRICA INTERNA</c:v>
                </c:pt>
                <c:pt idx="20">
                  <c:v>PRESSURETROL DE OPERACIÓN</c:v>
                </c:pt>
                <c:pt idx="21">
                  <c:v>MANÓMETRO DE PRESIÓN</c:v>
                </c:pt>
                <c:pt idx="22">
                  <c:v>MANÓMETRO DE TEMPERATURA</c:v>
                </c:pt>
                <c:pt idx="23">
                  <c:v>VÁLVULA DE CONTROL DE GAS</c:v>
                </c:pt>
                <c:pt idx="24">
                  <c:v>VÁLVULA REGULADORA DE AIRE</c:v>
                </c:pt>
                <c:pt idx="25">
                  <c:v>MCDONELL</c:v>
                </c:pt>
                <c:pt idx="26">
                  <c:v>VENTILADOR DE MOTOR</c:v>
                </c:pt>
                <c:pt idx="27">
                  <c:v>EMPAQUES DE COMPUERTAS</c:v>
                </c:pt>
                <c:pt idx="28">
                  <c:v>VISOR DE LLAMA</c:v>
                </c:pt>
                <c:pt idx="29">
                  <c:v>EMPAQUES DE QUEMADOR</c:v>
                </c:pt>
                <c:pt idx="30">
                  <c:v>VISOR DE NIVEL DE AGUA</c:v>
                </c:pt>
              </c:strCache>
            </c:strRef>
          </c:cat>
          <c:val>
            <c:numRef>
              <c:f>CM!$AG$3:$AG$33</c:f>
              <c:numCache>
                <c:formatCode>_("$"* #,##0.00_);_("$"* \(#,##0.00\);_("$"* "-"??_);_(@_)</c:formatCode>
                <c:ptCount val="31"/>
                <c:pt idx="0">
                  <c:v>1128.2703482741324</c:v>
                </c:pt>
                <c:pt idx="1">
                  <c:v>889.69284731984635</c:v>
                </c:pt>
                <c:pt idx="2">
                  <c:v>1118.2465543465846</c:v>
                </c:pt>
                <c:pt idx="3">
                  <c:v>2747.4070035766094</c:v>
                </c:pt>
                <c:pt idx="4">
                  <c:v>968.40035081536507</c:v>
                </c:pt>
                <c:pt idx="5">
                  <c:v>2353.2489670670379</c:v>
                </c:pt>
                <c:pt idx="6">
                  <c:v>1078.3461557158928</c:v>
                </c:pt>
                <c:pt idx="7">
                  <c:v>640.90930843242404</c:v>
                </c:pt>
                <c:pt idx="8">
                  <c:v>5202.7103745610611</c:v>
                </c:pt>
                <c:pt idx="9">
                  <c:v>7481.1453832815469</c:v>
                </c:pt>
                <c:pt idx="10">
                  <c:v>8613.1263757120159</c:v>
                </c:pt>
                <c:pt idx="11">
                  <c:v>3279.9706426830171</c:v>
                </c:pt>
                <c:pt idx="12">
                  <c:v>5267.1436696108631</c:v>
                </c:pt>
                <c:pt idx="13">
                  <c:v>867.40478368413039</c:v>
                </c:pt>
                <c:pt idx="14">
                  <c:v>274.10962270569496</c:v>
                </c:pt>
                <c:pt idx="15">
                  <c:v>202.39801837676885</c:v>
                </c:pt>
                <c:pt idx="16">
                  <c:v>281.7913332445226</c:v>
                </c:pt>
                <c:pt idx="17">
                  <c:v>456.80533471536023</c:v>
                </c:pt>
                <c:pt idx="18">
                  <c:v>536.88279951057621</c:v>
                </c:pt>
                <c:pt idx="19">
                  <c:v>414.98686058696779</c:v>
                </c:pt>
                <c:pt idx="20">
                  <c:v>346.3393942362506</c:v>
                </c:pt>
                <c:pt idx="21">
                  <c:v>1129.677334650687</c:v>
                </c:pt>
                <c:pt idx="22">
                  <c:v>1132.5949669706827</c:v>
                </c:pt>
                <c:pt idx="23">
                  <c:v>9226.0178914686057</c:v>
                </c:pt>
                <c:pt idx="24">
                  <c:v>299.84000781179935</c:v>
                </c:pt>
                <c:pt idx="25">
                  <c:v>916.11863359704535</c:v>
                </c:pt>
                <c:pt idx="26">
                  <c:v>1085.084660762833</c:v>
                </c:pt>
                <c:pt idx="27">
                  <c:v>2574.4046629498175</c:v>
                </c:pt>
                <c:pt idx="28">
                  <c:v>1405.8307171216611</c:v>
                </c:pt>
                <c:pt idx="29">
                  <c:v>4741.8149487279961</c:v>
                </c:pt>
                <c:pt idx="30">
                  <c:v>969.4306783064402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0-4726-A34D-BFCECF4A0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650960"/>
        <c:axId val="1113439728"/>
      </c:barChart>
      <c:catAx>
        <c:axId val="168465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113439728"/>
        <c:crosses val="autoZero"/>
        <c:auto val="1"/>
        <c:lblAlgn val="ctr"/>
        <c:lblOffset val="100"/>
        <c:noMultiLvlLbl val="0"/>
      </c:catAx>
      <c:valAx>
        <c:axId val="11134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6846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SV" b="1">
                <a:latin typeface="Times New Roman" panose="02020603050405020304" pitchFamily="18" charset="0"/>
                <a:cs typeface="Times New Roman" panose="02020603050405020304" pitchFamily="18" charset="0"/>
              </a:rPr>
              <a:t>Maintenance Cost</a:t>
            </a:r>
            <a:endParaRPr lang="es-SV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CMI!$Y$2</c:f>
              <c:strCache>
                <c:ptCount val="1"/>
                <c:pt idx="0">
                  <c:v>Maint. Cost (Actual)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CMI!$C$3:$C$33</c:f>
              <c:strCache>
                <c:ptCount val="31"/>
                <c:pt idx="0">
                  <c:v>BODY</c:v>
                </c:pt>
                <c:pt idx="1">
                  <c:v>PACKAGING</c:v>
                </c:pt>
                <c:pt idx="2">
                  <c:v>STEAM PASSAGE VALVE</c:v>
                </c:pt>
                <c:pt idx="3">
                  <c:v>EXTERNAL BODY</c:v>
                </c:pt>
                <c:pt idx="4">
                  <c:v>CONDENSED WATER FEED PIPES</c:v>
                </c:pt>
                <c:pt idx="5">
                  <c:v>DRAIN PIPING</c:v>
                </c:pt>
                <c:pt idx="6">
                  <c:v>SUPPORT</c:v>
                </c:pt>
                <c:pt idx="7">
                  <c:v>SAFETY VALVES</c:v>
                </c:pt>
                <c:pt idx="8">
                  <c:v>INTERNAL BODY</c:v>
                </c:pt>
                <c:pt idx="9">
                  <c:v>BURNER</c:v>
                </c:pt>
                <c:pt idx="10">
                  <c:v>SMOKE PIPES</c:v>
                </c:pt>
                <c:pt idx="11">
                  <c:v>COMBUSTION CHAMBER</c:v>
                </c:pt>
                <c:pt idx="12">
                  <c:v>ELECTRODES</c:v>
                </c:pt>
                <c:pt idx="13">
                  <c:v>IGNITION TRANSFORMER</c:v>
                </c:pt>
                <c:pt idx="14">
                  <c:v>CONTACTOR</c:v>
                </c:pt>
                <c:pt idx="15">
                  <c:v>BUTTON PANEL</c:v>
                </c:pt>
                <c:pt idx="16">
                  <c:v>BREAKERS</c:v>
                </c:pt>
                <c:pt idx="17">
                  <c:v>BURNER CONTROLLER</c:v>
                </c:pt>
                <c:pt idx="18">
                  <c:v>FLAME CONTROLLER</c:v>
                </c:pt>
                <c:pt idx="19">
                  <c:v>INTERNAL POWER SUPPLY</c:v>
                </c:pt>
                <c:pt idx="20">
                  <c:v>OPERATING PRESSURETROL</c:v>
                </c:pt>
                <c:pt idx="21">
                  <c:v>PRESSURE GAUGE</c:v>
                </c:pt>
                <c:pt idx="22">
                  <c:v>TEMPERATURE MANOMETER</c:v>
                </c:pt>
                <c:pt idx="23">
                  <c:v>GAS CONTROL VALVE</c:v>
                </c:pt>
                <c:pt idx="24">
                  <c:v>AIR REGULATING VALVE</c:v>
                </c:pt>
                <c:pt idx="25">
                  <c:v>MCDONELL</c:v>
                </c:pt>
                <c:pt idx="26">
                  <c:v>MOTOR FAN</c:v>
                </c:pt>
                <c:pt idx="27">
                  <c:v>DAMPER GASKETS</c:v>
                </c:pt>
                <c:pt idx="28">
                  <c:v>FLAME DISPLAY</c:v>
                </c:pt>
                <c:pt idx="29">
                  <c:v>BURNER GASKETS</c:v>
                </c:pt>
                <c:pt idx="30">
                  <c:v>WATER LEVEL SIGHT GLASS</c:v>
                </c:pt>
              </c:strCache>
            </c:strRef>
          </c:cat>
          <c:val>
            <c:numRef>
              <c:f>CMI!$Y$3:$Y$33</c:f>
              <c:numCache>
                <c:formatCode>_("$"* #,##0.00_);_("$"* \(#,##0.00\);_("$"* "-"??_);_(@_)</c:formatCode>
                <c:ptCount val="31"/>
                <c:pt idx="0">
                  <c:v>1271.6734848484848</c:v>
                </c:pt>
                <c:pt idx="1">
                  <c:v>1281.2568181818183</c:v>
                </c:pt>
                <c:pt idx="2">
                  <c:v>1285.4983766233765</c:v>
                </c:pt>
                <c:pt idx="3">
                  <c:v>2975.537878787879</c:v>
                </c:pt>
                <c:pt idx="4">
                  <c:v>1493.7585227272727</c:v>
                </c:pt>
                <c:pt idx="5">
                  <c:v>11648.193181818182</c:v>
                </c:pt>
                <c:pt idx="6">
                  <c:v>1161.4651515151513</c:v>
                </c:pt>
                <c:pt idx="7">
                  <c:v>690.94090909090914</c:v>
                </c:pt>
                <c:pt idx="8">
                  <c:v>5831.284090909091</c:v>
                </c:pt>
                <c:pt idx="9">
                  <c:v>9786.2909090909088</c:v>
                </c:pt>
                <c:pt idx="10">
                  <c:v>10076.613636363636</c:v>
                </c:pt>
                <c:pt idx="11">
                  <c:v>3513.1454545454549</c:v>
                </c:pt>
                <c:pt idx="12">
                  <c:v>5903.159090909091</c:v>
                </c:pt>
                <c:pt idx="13">
                  <c:v>998.2348484848485</c:v>
                </c:pt>
                <c:pt idx="14">
                  <c:v>297.31420454545457</c:v>
                </c:pt>
                <c:pt idx="15">
                  <c:v>219.57159090909093</c:v>
                </c:pt>
                <c:pt idx="16">
                  <c:v>305.22045454545457</c:v>
                </c:pt>
                <c:pt idx="17">
                  <c:v>489.33806818181819</c:v>
                </c:pt>
                <c:pt idx="18">
                  <c:v>597.50340909090914</c:v>
                </c:pt>
                <c:pt idx="19">
                  <c:v>460.70568181818186</c:v>
                </c:pt>
                <c:pt idx="20">
                  <c:v>377.81420454545457</c:v>
                </c:pt>
                <c:pt idx="21">
                  <c:v>1461.4147727272727</c:v>
                </c:pt>
                <c:pt idx="22">
                  <c:v>1465.0085227272727</c:v>
                </c:pt>
                <c:pt idx="23">
                  <c:v>10453.186363636363</c:v>
                </c:pt>
                <c:pt idx="24">
                  <c:v>331.09545454545457</c:v>
                </c:pt>
                <c:pt idx="25">
                  <c:v>983.70303030303035</c:v>
                </c:pt>
                <c:pt idx="26">
                  <c:v>1209.3818181818183</c:v>
                </c:pt>
                <c:pt idx="27">
                  <c:v>7716.761363636364</c:v>
                </c:pt>
                <c:pt idx="28">
                  <c:v>1821.377840909091</c:v>
                </c:pt>
                <c:pt idx="29">
                  <c:v>6928.5409090909097</c:v>
                </c:pt>
                <c:pt idx="30">
                  <c:v>1468.6022727272727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B-402E-B170-555232C75168}"/>
            </c:ext>
          </c:extLst>
        </c:ser>
        <c:ser>
          <c:idx val="1"/>
          <c:order val="1"/>
          <c:tx>
            <c:strRef>
              <c:f>CMI!$AG$2</c:f>
              <c:strCache>
                <c:ptCount val="1"/>
                <c:pt idx="0">
                  <c:v>Maint. Cost (Proposed)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CMI!$C$3:$C$33</c:f>
              <c:strCache>
                <c:ptCount val="31"/>
                <c:pt idx="0">
                  <c:v>BODY</c:v>
                </c:pt>
                <c:pt idx="1">
                  <c:v>PACKAGING</c:v>
                </c:pt>
                <c:pt idx="2">
                  <c:v>STEAM PASSAGE VALVE</c:v>
                </c:pt>
                <c:pt idx="3">
                  <c:v>EXTERNAL BODY</c:v>
                </c:pt>
                <c:pt idx="4">
                  <c:v>CONDENSED WATER FEED PIPES</c:v>
                </c:pt>
                <c:pt idx="5">
                  <c:v>DRAIN PIPING</c:v>
                </c:pt>
                <c:pt idx="6">
                  <c:v>SUPPORT</c:v>
                </c:pt>
                <c:pt idx="7">
                  <c:v>SAFETY VALVES</c:v>
                </c:pt>
                <c:pt idx="8">
                  <c:v>INTERNAL BODY</c:v>
                </c:pt>
                <c:pt idx="9">
                  <c:v>BURNER</c:v>
                </c:pt>
                <c:pt idx="10">
                  <c:v>SMOKE PIPES</c:v>
                </c:pt>
                <c:pt idx="11">
                  <c:v>COMBUSTION CHAMBER</c:v>
                </c:pt>
                <c:pt idx="12">
                  <c:v>ELECTRODES</c:v>
                </c:pt>
                <c:pt idx="13">
                  <c:v>IGNITION TRANSFORMER</c:v>
                </c:pt>
                <c:pt idx="14">
                  <c:v>CONTACTOR</c:v>
                </c:pt>
                <c:pt idx="15">
                  <c:v>BUTTON PANEL</c:v>
                </c:pt>
                <c:pt idx="16">
                  <c:v>BREAKERS</c:v>
                </c:pt>
                <c:pt idx="17">
                  <c:v>BURNER CONTROLLER</c:v>
                </c:pt>
                <c:pt idx="18">
                  <c:v>FLAME CONTROLLER</c:v>
                </c:pt>
                <c:pt idx="19">
                  <c:v>INTERNAL POWER SUPPLY</c:v>
                </c:pt>
                <c:pt idx="20">
                  <c:v>OPERATING PRESSURETROL</c:v>
                </c:pt>
                <c:pt idx="21">
                  <c:v>PRESSURE GAUGE</c:v>
                </c:pt>
                <c:pt idx="22">
                  <c:v>TEMPERATURE MANOMETER</c:v>
                </c:pt>
                <c:pt idx="23">
                  <c:v>GAS CONTROL VALVE</c:v>
                </c:pt>
                <c:pt idx="24">
                  <c:v>AIR REGULATING VALVE</c:v>
                </c:pt>
                <c:pt idx="25">
                  <c:v>MCDONELL</c:v>
                </c:pt>
                <c:pt idx="26">
                  <c:v>MOTOR FAN</c:v>
                </c:pt>
                <c:pt idx="27">
                  <c:v>DAMPER GASKETS</c:v>
                </c:pt>
                <c:pt idx="28">
                  <c:v>FLAME DISPLAY</c:v>
                </c:pt>
                <c:pt idx="29">
                  <c:v>BURNER GASKETS</c:v>
                </c:pt>
                <c:pt idx="30">
                  <c:v>WATER LEVEL SIGHT GLASS</c:v>
                </c:pt>
              </c:strCache>
            </c:strRef>
          </c:cat>
          <c:val>
            <c:numRef>
              <c:f>CMI!$AG$3:$AG$33</c:f>
              <c:numCache>
                <c:formatCode>_("$"* #,##0.00_);_("$"* \(#,##0.00\);_("$"* "-"??_);_(@_)</c:formatCode>
                <c:ptCount val="31"/>
                <c:pt idx="0">
                  <c:v>1128.2703482741324</c:v>
                </c:pt>
                <c:pt idx="1">
                  <c:v>889.69284731984635</c:v>
                </c:pt>
                <c:pt idx="2">
                  <c:v>1118.2465543465846</c:v>
                </c:pt>
                <c:pt idx="3">
                  <c:v>2747.4070035766094</c:v>
                </c:pt>
                <c:pt idx="4">
                  <c:v>968.40035081536507</c:v>
                </c:pt>
                <c:pt idx="5">
                  <c:v>2353.2489670670379</c:v>
                </c:pt>
                <c:pt idx="6">
                  <c:v>1078.3461557158928</c:v>
                </c:pt>
                <c:pt idx="7">
                  <c:v>640.90930843242404</c:v>
                </c:pt>
                <c:pt idx="8">
                  <c:v>5202.7103745610611</c:v>
                </c:pt>
                <c:pt idx="9">
                  <c:v>7481.1453832815469</c:v>
                </c:pt>
                <c:pt idx="10">
                  <c:v>8613.1263757120159</c:v>
                </c:pt>
                <c:pt idx="11">
                  <c:v>3279.9706426830171</c:v>
                </c:pt>
                <c:pt idx="12">
                  <c:v>5267.1436696108631</c:v>
                </c:pt>
                <c:pt idx="13">
                  <c:v>867.40478368413039</c:v>
                </c:pt>
                <c:pt idx="14">
                  <c:v>274.10962270569496</c:v>
                </c:pt>
                <c:pt idx="15">
                  <c:v>202.39801837676885</c:v>
                </c:pt>
                <c:pt idx="16">
                  <c:v>281.7913332445226</c:v>
                </c:pt>
                <c:pt idx="17">
                  <c:v>456.80533471536023</c:v>
                </c:pt>
                <c:pt idx="18">
                  <c:v>536.88279951057621</c:v>
                </c:pt>
                <c:pt idx="19">
                  <c:v>414.98686058696779</c:v>
                </c:pt>
                <c:pt idx="20">
                  <c:v>346.3393942362506</c:v>
                </c:pt>
                <c:pt idx="21">
                  <c:v>1129.677334650687</c:v>
                </c:pt>
                <c:pt idx="22">
                  <c:v>1132.5949669706827</c:v>
                </c:pt>
                <c:pt idx="23">
                  <c:v>9226.0178914686057</c:v>
                </c:pt>
                <c:pt idx="24">
                  <c:v>299.84000781179935</c:v>
                </c:pt>
                <c:pt idx="25">
                  <c:v>916.11863359704535</c:v>
                </c:pt>
                <c:pt idx="26">
                  <c:v>1085.084660762833</c:v>
                </c:pt>
                <c:pt idx="27">
                  <c:v>2574.4046629498175</c:v>
                </c:pt>
                <c:pt idx="28">
                  <c:v>1405.8307171216611</c:v>
                </c:pt>
                <c:pt idx="29">
                  <c:v>4741.8149487279961</c:v>
                </c:pt>
                <c:pt idx="30">
                  <c:v>969.4306783064402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B-402E-B170-555232C75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650960"/>
        <c:axId val="1113439728"/>
      </c:barChart>
      <c:catAx>
        <c:axId val="168465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113439728"/>
        <c:crosses val="autoZero"/>
        <c:auto val="1"/>
        <c:lblAlgn val="ctr"/>
        <c:lblOffset val="100"/>
        <c:noMultiLvlLbl val="0"/>
      </c:catAx>
      <c:valAx>
        <c:axId val="11134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6846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46831438547085E-2"/>
          <c:y val="6.9239411548288235E-2"/>
          <c:w val="0.89477814496717889"/>
          <c:h val="0.81833368235081483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6EDC-4B8E-9FCB-2435F47FA096}"/>
              </c:ext>
            </c:extLst>
          </c:dPt>
          <c:xVal>
            <c:numRef>
              <c:f>'R(t) actual'!$I$2:$I$77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xVal>
          <c:yVal>
            <c:numRef>
              <c:f>'R(t) actual'!$AS$2:$AS$77</c:f>
              <c:numCache>
                <c:formatCode>0.0000</c:formatCode>
                <c:ptCount val="76"/>
                <c:pt idx="0">
                  <c:v>1</c:v>
                </c:pt>
                <c:pt idx="1">
                  <c:v>0.87483986096864053</c:v>
                </c:pt>
                <c:pt idx="2">
                  <c:v>0.74839025749231247</c:v>
                </c:pt>
                <c:pt idx="3">
                  <c:v>0.6263707924941404</c:v>
                </c:pt>
                <c:pt idx="4">
                  <c:v>0.51413848115544281</c:v>
                </c:pt>
                <c:pt idx="5">
                  <c:v>0.41507976407100999</c:v>
                </c:pt>
                <c:pt idx="6">
                  <c:v>0.3305218116034857</c:v>
                </c:pt>
                <c:pt idx="7">
                  <c:v>0.26023178039277473</c:v>
                </c:pt>
                <c:pt idx="8">
                  <c:v>0.20301319203687987</c:v>
                </c:pt>
                <c:pt idx="9">
                  <c:v>0.15719885816632251</c:v>
                </c:pt>
                <c:pt idx="10">
                  <c:v>0.12099217649734804</c:v>
                </c:pt>
                <c:pt idx="11">
                  <c:v>9.2673270148791384E-2</c:v>
                </c:pt>
                <c:pt idx="12">
                  <c:v>7.070530464625481E-2</c:v>
                </c:pt>
                <c:pt idx="13">
                  <c:v>5.3775243104736581E-2</c:v>
                </c:pt>
                <c:pt idx="14">
                  <c:v>4.079567767219841E-2</c:v>
                </c:pt>
                <c:pt idx="15">
                  <c:v>3.0886144774434708E-2</c:v>
                </c:pt>
                <c:pt idx="16">
                  <c:v>2.3345605248810717E-2</c:v>
                </c:pt>
                <c:pt idx="17">
                  <c:v>1.7622937421202665E-2</c:v>
                </c:pt>
                <c:pt idx="18">
                  <c:v>1.3289092607156688E-2</c:v>
                </c:pt>
                <c:pt idx="19">
                  <c:v>1.0012580213719164E-2</c:v>
                </c:pt>
                <c:pt idx="20">
                  <c:v>7.5387981651614906E-3</c:v>
                </c:pt>
                <c:pt idx="21">
                  <c:v>5.6731067024354811E-3</c:v>
                </c:pt>
                <c:pt idx="22">
                  <c:v>4.2672511910303995E-3</c:v>
                </c:pt>
                <c:pt idx="23">
                  <c:v>3.208634803837537E-3</c:v>
                </c:pt>
                <c:pt idx="24">
                  <c:v>2.4119382818690513E-3</c:v>
                </c:pt>
                <c:pt idx="25">
                  <c:v>1.8126293364316122E-3</c:v>
                </c:pt>
                <c:pt idx="26">
                  <c:v>1.3619687492447924E-3</c:v>
                </c:pt>
                <c:pt idx="27">
                  <c:v>1.0231876936202199E-3</c:v>
                </c:pt>
                <c:pt idx="28">
                  <c:v>7.685732685893781E-4</c:v>
                </c:pt>
                <c:pt idx="29">
                  <c:v>5.7725341793755578E-4</c:v>
                </c:pt>
                <c:pt idx="30">
                  <c:v>4.3351754329206635E-4</c:v>
                </c:pt>
                <c:pt idx="31">
                  <c:v>3.2554572852399889E-4</c:v>
                </c:pt>
                <c:pt idx="32">
                  <c:v>2.4444863032845645E-4</c:v>
                </c:pt>
                <c:pt idx="33">
                  <c:v>1.8354296753641871E-4</c:v>
                </c:pt>
                <c:pt idx="34">
                  <c:v>1.3780532371052498E-4</c:v>
                </c:pt>
                <c:pt idx="35">
                  <c:v>1.0346069393770979E-4</c:v>
                </c:pt>
                <c:pt idx="36">
                  <c:v>7.767272565749557E-5</c:v>
                </c:pt>
                <c:pt idx="37">
                  <c:v>5.8310634181825417E-5</c:v>
                </c:pt>
                <c:pt idx="38">
                  <c:v>4.3773883571990214E-5</c:v>
                </c:pt>
                <c:pt idx="39">
                  <c:v>3.2860359622839463E-5</c:v>
                </c:pt>
                <c:pt idx="40">
                  <c:v>2.4667272003327637E-5</c:v>
                </c:pt>
                <c:pt idx="41">
                  <c:v>1.8516676093978332E-5</c:v>
                </c:pt>
                <c:pt idx="42">
                  <c:v>1.389950826651603E-5</c:v>
                </c:pt>
                <c:pt idx="43">
                  <c:v>1.0433539077657972E-5</c:v>
                </c:pt>
                <c:pt idx="44">
                  <c:v>7.8317872416614115E-6</c:v>
                </c:pt>
                <c:pt idx="45">
                  <c:v>5.8787945127128349E-6</c:v>
                </c:pt>
                <c:pt idx="46">
                  <c:v>4.412806836622566E-6</c:v>
                </c:pt>
                <c:pt idx="47">
                  <c:v>3.3123925635657448E-6</c:v>
                </c:pt>
                <c:pt idx="48">
                  <c:v>2.4863935999578763E-6</c:v>
                </c:pt>
                <c:pt idx="49">
                  <c:v>1.8663798766365172E-6</c:v>
                </c:pt>
                <c:pt idx="50">
                  <c:v>1.4009838514704664E-6</c:v>
                </c:pt>
                <c:pt idx="51">
                  <c:v>1.0516468408333139E-6</c:v>
                </c:pt>
                <c:pt idx="52">
                  <c:v>7.8942550335425532E-7</c:v>
                </c:pt>
                <c:pt idx="53">
                  <c:v>5.9259435032037263E-7</c:v>
                </c:pt>
                <c:pt idx="54">
                  <c:v>4.4484592813650906E-7</c:v>
                </c:pt>
                <c:pt idx="55">
                  <c:v>3.3393972218703047E-7</c:v>
                </c:pt>
                <c:pt idx="56">
                  <c:v>2.5068793770523541E-7</c:v>
                </c:pt>
                <c:pt idx="57">
                  <c:v>1.8819418061439269E-7</c:v>
                </c:pt>
                <c:pt idx="58">
                  <c:v>1.4128198851597247E-7</c:v>
                </c:pt>
                <c:pt idx="59">
                  <c:v>1.0606587636911105E-7</c:v>
                </c:pt>
                <c:pt idx="60">
                  <c:v>7.9629360686188498E-8</c:v>
                </c:pt>
                <c:pt idx="61">
                  <c:v>5.9783285169505535E-8</c:v>
                </c:pt>
                <c:pt idx="62">
                  <c:v>4.4884421937980197E-8</c:v>
                </c:pt>
                <c:pt idx="63">
                  <c:v>3.3699315859724843E-8</c:v>
                </c:pt>
                <c:pt idx="64">
                  <c:v>2.5302088091982036E-8</c:v>
                </c:pt>
                <c:pt idx="65">
                  <c:v>1.8997728937512942E-8</c:v>
                </c:pt>
                <c:pt idx="66">
                  <c:v>1.4264522490546503E-8</c:v>
                </c:pt>
                <c:pt idx="67">
                  <c:v>1.0710831167653805E-8</c:v>
                </c:pt>
                <c:pt idx="68">
                  <c:v>8.0426584180236285E-9</c:v>
                </c:pt>
                <c:pt idx="69">
                  <c:v>6.039301275334449E-9</c:v>
                </c:pt>
                <c:pt idx="70">
                  <c:v>4.5350749660434207E-9</c:v>
                </c:pt>
                <c:pt idx="71">
                  <c:v>3.4055950914025643E-9</c:v>
                </c:pt>
                <c:pt idx="72">
                  <c:v>2.5574806642016335E-9</c:v>
                </c:pt>
                <c:pt idx="73">
                  <c:v>1.920624816779275E-9</c:v>
                </c:pt>
                <c:pt idx="74">
                  <c:v>1.4423928069920623E-9</c:v>
                </c:pt>
                <c:pt idx="75">
                  <c:v>1.08326667487675E-9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6EDC-4B8E-9FCB-2435F47FA096}"/>
            </c:ext>
          </c:extLst>
        </c:ser>
        <c:ser>
          <c:idx val="1"/>
          <c:order val="1"/>
          <c:tx>
            <c:v>Propuesta</c:v>
          </c:tx>
          <c:spPr>
            <a:ln w="28575" cap="rnd">
              <a:solidFill>
                <a:srgbClr val="03ED3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3ED35"/>
              </a:solidFill>
              <a:ln w="9525">
                <a:solidFill>
                  <a:srgbClr val="03ED35"/>
                </a:solidFill>
              </a:ln>
              <a:effectLst/>
            </c:spPr>
          </c:marker>
          <c:xVal>
            <c:numRef>
              <c:f>'R(t) propuesto'!$I$2:$I$77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xVal>
          <c:yVal>
            <c:numRef>
              <c:f>'R(t) propuesto'!$AS$2:$AS$77</c:f>
              <c:numCache>
                <c:formatCode>0.0000</c:formatCode>
                <c:ptCount val="76"/>
                <c:pt idx="0">
                  <c:v>1</c:v>
                </c:pt>
                <c:pt idx="1">
                  <c:v>0.88516408300735894</c:v>
                </c:pt>
                <c:pt idx="2">
                  <c:v>0.77514839154193205</c:v>
                </c:pt>
                <c:pt idx="3">
                  <c:v>0.67037576368831697</c:v>
                </c:pt>
                <c:pt idx="4">
                  <c:v>0.57256762702607833</c:v>
                </c:pt>
                <c:pt idx="5">
                  <c:v>0.48335484126094597</c:v>
                </c:pt>
                <c:pt idx="6">
                  <c:v>0.40376448685902472</c:v>
                </c:pt>
                <c:pt idx="7">
                  <c:v>0.33414361131147896</c:v>
                </c:pt>
                <c:pt idx="8">
                  <c:v>0.2742705619724839</c:v>
                </c:pt>
                <c:pt idx="9">
                  <c:v>0.22352226829251226</c:v>
                </c:pt>
                <c:pt idx="10">
                  <c:v>0.18103500382403578</c:v>
                </c:pt>
                <c:pt idx="11">
                  <c:v>0.14583424424591501</c:v>
                </c:pt>
                <c:pt idx="12">
                  <c:v>0.11692858569652122</c:v>
                </c:pt>
                <c:pt idx="13">
                  <c:v>9.3371384795951112E-2</c:v>
                </c:pt>
                <c:pt idx="14">
                  <c:v>7.4296800923337625E-2</c:v>
                </c:pt>
                <c:pt idx="15">
                  <c:v>5.8937159199546882E-2</c:v>
                </c:pt>
                <c:pt idx="16">
                  <c:v>4.6627609170682489E-2</c:v>
                </c:pt>
                <c:pt idx="17">
                  <c:v>3.6802759526374774E-2</c:v>
                </c:pt>
                <c:pt idx="18">
                  <c:v>2.8988716510327115E-2</c:v>
                </c:pt>
                <c:pt idx="19">
                  <c:v>2.2792899935665006E-2</c:v>
                </c:pt>
                <c:pt idx="20">
                  <c:v>1.7893193003146228E-2</c:v>
                </c:pt>
                <c:pt idx="21">
                  <c:v>1.4027382615069721E-2</c:v>
                </c:pt>
                <c:pt idx="22">
                  <c:v>1.0983427383018029E-2</c:v>
                </c:pt>
                <c:pt idx="23">
                  <c:v>8.5908096354969637E-3</c:v>
                </c:pt>
                <c:pt idx="24">
                  <c:v>6.7130484182127258E-3</c:v>
                </c:pt>
                <c:pt idx="25">
                  <c:v>5.2413426746109734E-3</c:v>
                </c:pt>
                <c:pt idx="26">
                  <c:v>4.0892545046006838E-3</c:v>
                </c:pt>
                <c:pt idx="27">
                  <c:v>3.1883147966541565E-3</c:v>
                </c:pt>
                <c:pt idx="28">
                  <c:v>2.4844257252335162E-3</c:v>
                </c:pt>
                <c:pt idx="29">
                  <c:v>1.9349384677752434E-3</c:v>
                </c:pt>
                <c:pt idx="30">
                  <c:v>1.5062946309239518E-3</c:v>
                </c:pt>
                <c:pt idx="31">
                  <c:v>1.172132832006666E-3</c:v>
                </c:pt>
                <c:pt idx="32">
                  <c:v>9.1177554137780151E-4</c:v>
                </c:pt>
                <c:pt idx="33">
                  <c:v>7.0902443067783741E-4</c:v>
                </c:pt>
                <c:pt idx="34">
                  <c:v>5.5120444945765622E-4</c:v>
                </c:pt>
                <c:pt idx="35">
                  <c:v>4.2840739248239219E-4</c:v>
                </c:pt>
                <c:pt idx="36">
                  <c:v>3.3289476766194901E-4</c:v>
                </c:pt>
                <c:pt idx="37">
                  <c:v>2.586274004279421E-4</c:v>
                </c:pt>
                <c:pt idx="38">
                  <c:v>2.0089554876985877E-4</c:v>
                </c:pt>
                <c:pt idx="39">
                  <c:v>1.5602851410852461E-4</c:v>
                </c:pt>
                <c:pt idx="40">
                  <c:v>1.2116697997089131E-4</c:v>
                </c:pt>
                <c:pt idx="41">
                  <c:v>9.4084746946289491E-5</c:v>
                </c:pt>
                <c:pt idx="42">
                  <c:v>7.3049297036872066E-5</c:v>
                </c:pt>
                <c:pt idx="43">
                  <c:v>5.6712833826514943E-5</c:v>
                </c:pt>
                <c:pt idx="44">
                  <c:v>4.402720959116659E-5</c:v>
                </c:pt>
                <c:pt idx="45">
                  <c:v>3.4177552615511194E-5</c:v>
                </c:pt>
                <c:pt idx="46">
                  <c:v>2.6530518756713216E-5</c:v>
                </c:pt>
                <c:pt idx="47">
                  <c:v>2.059396901289575E-5</c:v>
                </c:pt>
                <c:pt idx="48">
                  <c:v>1.5985566884846848E-5</c:v>
                </c:pt>
                <c:pt idx="49">
                  <c:v>1.2408333902714514E-5</c:v>
                </c:pt>
                <c:pt idx="50">
                  <c:v>9.6316295243044704E-6</c:v>
                </c:pt>
                <c:pt idx="51">
                  <c:v>7.4763572334434703E-6</c:v>
                </c:pt>
                <c:pt idx="52">
                  <c:v>5.8034616104928604E-6</c:v>
                </c:pt>
                <c:pt idx="53">
                  <c:v>4.5049869155743435E-6</c:v>
                </c:pt>
                <c:pt idx="54">
                  <c:v>3.4971285878050387E-6</c:v>
                </c:pt>
                <c:pt idx="55">
                  <c:v>2.7148347078022398E-6</c:v>
                </c:pt>
                <c:pt idx="56">
                  <c:v>2.1076125281377624E-6</c:v>
                </c:pt>
                <c:pt idx="57">
                  <c:v>1.6362716497027308E-6</c:v>
                </c:pt>
                <c:pt idx="58">
                  <c:v>1.2703950242246305E-6</c:v>
                </c:pt>
                <c:pt idx="59">
                  <c:v>9.8637539006035647E-7</c:v>
                </c:pt>
                <c:pt idx="60">
                  <c:v>7.6589089404315384E-7</c:v>
                </c:pt>
                <c:pt idx="61">
                  <c:v>5.9472178063857032E-7</c:v>
                </c:pt>
                <c:pt idx="62">
                  <c:v>4.6183191035789243E-7</c:v>
                </c:pt>
                <c:pt idx="63">
                  <c:v>3.5865588390214499E-7</c:v>
                </c:pt>
                <c:pt idx="64">
                  <c:v>2.7854577484961649E-7</c:v>
                </c:pt>
                <c:pt idx="65">
                  <c:v>2.1634175235326149E-7</c:v>
                </c:pt>
                <c:pt idx="66">
                  <c:v>1.6803886121210071E-7</c:v>
                </c:pt>
                <c:pt idx="67">
                  <c:v>1.3052842986959537E-7</c:v>
                </c:pt>
                <c:pt idx="68">
                  <c:v>1.0139739439336568E-7</c:v>
                </c:pt>
                <c:pt idx="69">
                  <c:v>7.8772567208497045E-8</c:v>
                </c:pt>
                <c:pt idx="70">
                  <c:v>6.1199783540065295E-8</c:v>
                </c:pt>
                <c:pt idx="71">
                  <c:v>4.7550112958145321E-8</c:v>
                </c:pt>
                <c:pt idx="72">
                  <c:v>3.6947073286825281E-8</c:v>
                </c:pt>
                <c:pt idx="73">
                  <c:v>2.871014224387168E-8</c:v>
                </c:pt>
                <c:pt idx="74">
                  <c:v>2.2310916148521487E-8</c:v>
                </c:pt>
                <c:pt idx="75">
                  <c:v>1.7339082930283296E-8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6EDC-4B8E-9FCB-2435F47FA096}"/>
            </c:ext>
          </c:extLst>
        </c:ser>
        <c:ser>
          <c:idx val="2"/>
          <c:order val="2"/>
          <c:tx>
            <c:v>Falla actual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'R(t) actual'!$I$2:$I$77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xVal>
          <c:yVal>
            <c:numRef>
              <c:f>'R(t) actual'!$AT$2:$AT$77</c:f>
              <c:numCache>
                <c:formatCode>0.0000</c:formatCode>
                <c:ptCount val="76"/>
                <c:pt idx="0">
                  <c:v>0</c:v>
                </c:pt>
                <c:pt idx="1">
                  <c:v>0.12516013903135947</c:v>
                </c:pt>
                <c:pt idx="2">
                  <c:v>0.25160974250768753</c:v>
                </c:pt>
                <c:pt idx="3">
                  <c:v>0.3736292075058596</c:v>
                </c:pt>
                <c:pt idx="4">
                  <c:v>0.48586151884455719</c:v>
                </c:pt>
                <c:pt idx="5">
                  <c:v>0.58492023592899001</c:v>
                </c:pt>
                <c:pt idx="6">
                  <c:v>0.6694781883965143</c:v>
                </c:pt>
                <c:pt idx="7">
                  <c:v>0.73976821960722527</c:v>
                </c:pt>
                <c:pt idx="8">
                  <c:v>0.79698680796312016</c:v>
                </c:pt>
                <c:pt idx="9">
                  <c:v>0.84280114183367749</c:v>
                </c:pt>
                <c:pt idx="10">
                  <c:v>0.87900782350265194</c:v>
                </c:pt>
                <c:pt idx="11">
                  <c:v>0.90732672985120866</c:v>
                </c:pt>
                <c:pt idx="12">
                  <c:v>0.9292946953537452</c:v>
                </c:pt>
                <c:pt idx="13">
                  <c:v>0.94622475689526342</c:v>
                </c:pt>
                <c:pt idx="14">
                  <c:v>0.95920432232780162</c:v>
                </c:pt>
                <c:pt idx="15">
                  <c:v>0.96911385522556526</c:v>
                </c:pt>
                <c:pt idx="16">
                  <c:v>0.97665439475118931</c:v>
                </c:pt>
                <c:pt idx="17">
                  <c:v>0.98237706257879731</c:v>
                </c:pt>
                <c:pt idx="18">
                  <c:v>0.98671090739284328</c:v>
                </c:pt>
                <c:pt idx="19">
                  <c:v>0.9899874197862808</c:v>
                </c:pt>
                <c:pt idx="20">
                  <c:v>0.99246120183483855</c:v>
                </c:pt>
                <c:pt idx="21">
                  <c:v>0.99432689329756452</c:v>
                </c:pt>
                <c:pt idx="22">
                  <c:v>0.99573274880896956</c:v>
                </c:pt>
                <c:pt idx="23">
                  <c:v>0.99679136519616252</c:v>
                </c:pt>
                <c:pt idx="24">
                  <c:v>0.99758806171813097</c:v>
                </c:pt>
                <c:pt idx="25">
                  <c:v>0.99818737066356844</c:v>
                </c:pt>
                <c:pt idx="26">
                  <c:v>0.99863803125075523</c:v>
                </c:pt>
                <c:pt idx="27">
                  <c:v>0.9989768123063798</c:v>
                </c:pt>
                <c:pt idx="28">
                  <c:v>0.99923142673141063</c:v>
                </c:pt>
                <c:pt idx="29">
                  <c:v>0.99942274658206243</c:v>
                </c:pt>
                <c:pt idx="30">
                  <c:v>0.99956648245670798</c:v>
                </c:pt>
                <c:pt idx="31">
                  <c:v>0.99967445427147605</c:v>
                </c:pt>
                <c:pt idx="32">
                  <c:v>0.99975555136967154</c:v>
                </c:pt>
                <c:pt idx="33">
                  <c:v>0.99981645703246358</c:v>
                </c:pt>
                <c:pt idx="34">
                  <c:v>0.99986219467628945</c:v>
                </c:pt>
                <c:pt idx="35">
                  <c:v>0.99989653930606226</c:v>
                </c:pt>
                <c:pt idx="36">
                  <c:v>0.99992232727434249</c:v>
                </c:pt>
                <c:pt idx="37">
                  <c:v>0.99994168936581818</c:v>
                </c:pt>
                <c:pt idx="38">
                  <c:v>0.99995622611642798</c:v>
                </c:pt>
                <c:pt idx="39">
                  <c:v>0.9999671396403772</c:v>
                </c:pt>
                <c:pt idx="40">
                  <c:v>0.99997533272799666</c:v>
                </c:pt>
                <c:pt idx="41">
                  <c:v>0.99998148332390602</c:v>
                </c:pt>
                <c:pt idx="42">
                  <c:v>0.99998610049173353</c:v>
                </c:pt>
                <c:pt idx="43">
                  <c:v>0.9999895664609223</c:v>
                </c:pt>
                <c:pt idx="44">
                  <c:v>0.99999216821275838</c:v>
                </c:pt>
                <c:pt idx="45">
                  <c:v>0.99999412120548725</c:v>
                </c:pt>
                <c:pt idx="46">
                  <c:v>0.99999558719316339</c:v>
                </c:pt>
                <c:pt idx="47">
                  <c:v>0.99999668760743643</c:v>
                </c:pt>
                <c:pt idx="48">
                  <c:v>0.99999751360639999</c:v>
                </c:pt>
                <c:pt idx="49">
                  <c:v>0.99999813362012335</c:v>
                </c:pt>
                <c:pt idx="50">
                  <c:v>0.99999859901614851</c:v>
                </c:pt>
                <c:pt idx="51">
                  <c:v>0.99999894835315917</c:v>
                </c:pt>
                <c:pt idx="52">
                  <c:v>0.9999992105744967</c:v>
                </c:pt>
                <c:pt idx="53">
                  <c:v>0.99999940740564963</c:v>
                </c:pt>
                <c:pt idx="54">
                  <c:v>0.99999955515407191</c:v>
                </c:pt>
                <c:pt idx="55">
                  <c:v>0.99999966606027779</c:v>
                </c:pt>
                <c:pt idx="56">
                  <c:v>0.99999974931206226</c:v>
                </c:pt>
                <c:pt idx="57">
                  <c:v>0.99999981180581943</c:v>
                </c:pt>
                <c:pt idx="58">
                  <c:v>0.99999985871801145</c:v>
                </c:pt>
                <c:pt idx="59">
                  <c:v>0.99999989393412358</c:v>
                </c:pt>
                <c:pt idx="60">
                  <c:v>0.99999992037063934</c:v>
                </c:pt>
                <c:pt idx="61">
                  <c:v>0.99999994021671479</c:v>
                </c:pt>
                <c:pt idx="62">
                  <c:v>0.99999995511557804</c:v>
                </c:pt>
                <c:pt idx="63">
                  <c:v>0.99999996630068411</c:v>
                </c:pt>
                <c:pt idx="64">
                  <c:v>0.99999997469791191</c:v>
                </c:pt>
                <c:pt idx="65">
                  <c:v>0.99999998100227105</c:v>
                </c:pt>
                <c:pt idx="66">
                  <c:v>0.99999998573547755</c:v>
                </c:pt>
                <c:pt idx="67">
                  <c:v>0.99999998928916878</c:v>
                </c:pt>
                <c:pt idx="68">
                  <c:v>0.99999999195734157</c:v>
                </c:pt>
                <c:pt idx="69">
                  <c:v>0.99999999396069872</c:v>
                </c:pt>
                <c:pt idx="70">
                  <c:v>0.99999999546492502</c:v>
                </c:pt>
                <c:pt idx="71">
                  <c:v>0.99999999659440486</c:v>
                </c:pt>
                <c:pt idx="72">
                  <c:v>0.99999999744251933</c:v>
                </c:pt>
                <c:pt idx="73">
                  <c:v>0.99999999807937523</c:v>
                </c:pt>
                <c:pt idx="74">
                  <c:v>0.99999999855760724</c:v>
                </c:pt>
                <c:pt idx="75">
                  <c:v>0.9999999989167333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3-48AD-A18C-F2EF6A0A87BF}"/>
            </c:ext>
          </c:extLst>
        </c:ser>
        <c:ser>
          <c:idx val="3"/>
          <c:order val="3"/>
          <c:tx>
            <c:v>Falla Propuesta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'R(t) propuesto'!$I$2:$I$77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xVal>
          <c:yVal>
            <c:numRef>
              <c:f>'R(t) propuesto'!$AT$2:$AT$77</c:f>
              <c:numCache>
                <c:formatCode>0.0000</c:formatCode>
                <c:ptCount val="76"/>
                <c:pt idx="0">
                  <c:v>0</c:v>
                </c:pt>
                <c:pt idx="1">
                  <c:v>0.11483591699264106</c:v>
                </c:pt>
                <c:pt idx="2">
                  <c:v>0.22485160845806795</c:v>
                </c:pt>
                <c:pt idx="3">
                  <c:v>0.32962423631168303</c:v>
                </c:pt>
                <c:pt idx="4">
                  <c:v>0.42743237297392167</c:v>
                </c:pt>
                <c:pt idx="5">
                  <c:v>0.51664515873905403</c:v>
                </c:pt>
                <c:pt idx="6">
                  <c:v>0.59623551314097534</c:v>
                </c:pt>
                <c:pt idx="7">
                  <c:v>0.66585638868852104</c:v>
                </c:pt>
                <c:pt idx="8">
                  <c:v>0.7257294380275161</c:v>
                </c:pt>
                <c:pt idx="9">
                  <c:v>0.77647773170748779</c:v>
                </c:pt>
                <c:pt idx="10">
                  <c:v>0.81896499617596419</c:v>
                </c:pt>
                <c:pt idx="11">
                  <c:v>0.85416575575408493</c:v>
                </c:pt>
                <c:pt idx="12">
                  <c:v>0.8830714143034788</c:v>
                </c:pt>
                <c:pt idx="13">
                  <c:v>0.90662861520404892</c:v>
                </c:pt>
                <c:pt idx="14">
                  <c:v>0.92570319907666243</c:v>
                </c:pt>
                <c:pt idx="15">
                  <c:v>0.9410628408004531</c:v>
                </c:pt>
                <c:pt idx="16">
                  <c:v>0.95337239082931746</c:v>
                </c:pt>
                <c:pt idx="17">
                  <c:v>0.9631972404736252</c:v>
                </c:pt>
                <c:pt idx="18">
                  <c:v>0.97101128348967292</c:v>
                </c:pt>
                <c:pt idx="19">
                  <c:v>0.97720710006433498</c:v>
                </c:pt>
                <c:pt idx="20">
                  <c:v>0.98210680699685382</c:v>
                </c:pt>
                <c:pt idx="21">
                  <c:v>0.98597261738493025</c:v>
                </c:pt>
                <c:pt idx="22">
                  <c:v>0.98901657261698195</c:v>
                </c:pt>
                <c:pt idx="23">
                  <c:v>0.99140919036450303</c:v>
                </c:pt>
                <c:pt idx="24">
                  <c:v>0.99328695158178726</c:v>
                </c:pt>
                <c:pt idx="25">
                  <c:v>0.99475865732538904</c:v>
                </c:pt>
                <c:pt idx="26">
                  <c:v>0.99591074549539926</c:v>
                </c:pt>
                <c:pt idx="27">
                  <c:v>0.99681168520334584</c:v>
                </c:pt>
                <c:pt idx="28">
                  <c:v>0.99751557427476645</c:v>
                </c:pt>
                <c:pt idx="29">
                  <c:v>0.99806506153222474</c:v>
                </c:pt>
                <c:pt idx="30">
                  <c:v>0.998493705369076</c:v>
                </c:pt>
                <c:pt idx="31">
                  <c:v>0.99882786716799332</c:v>
                </c:pt>
                <c:pt idx="32">
                  <c:v>0.99908822445862222</c:v>
                </c:pt>
                <c:pt idx="33">
                  <c:v>0.99929097556932212</c:v>
                </c:pt>
                <c:pt idx="34">
                  <c:v>0.99944879555054233</c:v>
                </c:pt>
                <c:pt idx="35">
                  <c:v>0.9995715926075176</c:v>
                </c:pt>
                <c:pt idx="36">
                  <c:v>0.99966710523233804</c:v>
                </c:pt>
                <c:pt idx="37">
                  <c:v>0.99974137259957208</c:v>
                </c:pt>
                <c:pt idx="38">
                  <c:v>0.9997991044512301</c:v>
                </c:pt>
                <c:pt idx="39">
                  <c:v>0.99984397148589144</c:v>
                </c:pt>
                <c:pt idx="40">
                  <c:v>0.99987883302002911</c:v>
                </c:pt>
                <c:pt idx="41">
                  <c:v>0.99990591525305372</c:v>
                </c:pt>
                <c:pt idx="42">
                  <c:v>0.99992695070296311</c:v>
                </c:pt>
                <c:pt idx="43">
                  <c:v>0.99994328716617353</c:v>
                </c:pt>
                <c:pt idx="44">
                  <c:v>0.99995597279040882</c:v>
                </c:pt>
                <c:pt idx="45">
                  <c:v>0.99996582244738452</c:v>
                </c:pt>
                <c:pt idx="46">
                  <c:v>0.99997346948124333</c:v>
                </c:pt>
                <c:pt idx="47">
                  <c:v>0.99997940603098712</c:v>
                </c:pt>
                <c:pt idx="48">
                  <c:v>0.99998401443311513</c:v>
                </c:pt>
                <c:pt idx="49">
                  <c:v>0.9999875916660973</c:v>
                </c:pt>
                <c:pt idx="50">
                  <c:v>0.99999036837047572</c:v>
                </c:pt>
                <c:pt idx="51">
                  <c:v>0.99999252364276658</c:v>
                </c:pt>
                <c:pt idx="52">
                  <c:v>0.9999941965383895</c:v>
                </c:pt>
                <c:pt idx="53">
                  <c:v>0.99999549501308438</c:v>
                </c:pt>
                <c:pt idx="54">
                  <c:v>0.99999650287141217</c:v>
                </c:pt>
                <c:pt idx="55">
                  <c:v>0.99999728516529218</c:v>
                </c:pt>
                <c:pt idx="56">
                  <c:v>0.99999789238747183</c:v>
                </c:pt>
                <c:pt idx="57">
                  <c:v>0.99999836372835027</c:v>
                </c:pt>
                <c:pt idx="58">
                  <c:v>0.99999872960497582</c:v>
                </c:pt>
                <c:pt idx="59">
                  <c:v>0.99999901362460997</c:v>
                </c:pt>
                <c:pt idx="60">
                  <c:v>0.99999923410910596</c:v>
                </c:pt>
                <c:pt idx="61">
                  <c:v>0.9999994052782194</c:v>
                </c:pt>
                <c:pt idx="62">
                  <c:v>0.99999953816808962</c:v>
                </c:pt>
                <c:pt idx="63">
                  <c:v>0.99999964134411612</c:v>
                </c:pt>
                <c:pt idx="64">
                  <c:v>0.99999972145422511</c:v>
                </c:pt>
                <c:pt idx="65">
                  <c:v>0.9999997836582476</c:v>
                </c:pt>
                <c:pt idx="66">
                  <c:v>0.99999983196113884</c:v>
                </c:pt>
                <c:pt idx="67">
                  <c:v>0.99999986947157016</c:v>
                </c:pt>
                <c:pt idx="68">
                  <c:v>0.99999989860260563</c:v>
                </c:pt>
                <c:pt idx="69">
                  <c:v>0.99999992122743275</c:v>
                </c:pt>
                <c:pt idx="70">
                  <c:v>0.99999993880021643</c:v>
                </c:pt>
                <c:pt idx="71">
                  <c:v>0.99999995244988704</c:v>
                </c:pt>
                <c:pt idx="72">
                  <c:v>0.99999996305292671</c:v>
                </c:pt>
                <c:pt idx="73">
                  <c:v>0.99999997128985774</c:v>
                </c:pt>
                <c:pt idx="74">
                  <c:v>0.99999997768908389</c:v>
                </c:pt>
                <c:pt idx="75">
                  <c:v>0.99999998266091705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73-48AD-A18C-F2EF6A0A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827632"/>
        <c:axId val="1475912640"/>
      </c:scatterChart>
      <c:valAx>
        <c:axId val="1398827632"/>
        <c:scaling>
          <c:orientation val="minMax"/>
          <c:max val="1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 sz="1100" b="1"/>
                  <a:t>Tiempo</a:t>
                </a:r>
                <a:r>
                  <a:rPr lang="es-SV" sz="1100" b="1" baseline="0"/>
                  <a:t> (horas)</a:t>
                </a:r>
                <a:endParaRPr lang="es-SV" sz="1100" b="1"/>
              </a:p>
            </c:rich>
          </c:tx>
          <c:layout>
            <c:manualLayout>
              <c:xMode val="edge"/>
              <c:yMode val="edge"/>
              <c:x val="0.45435105095115158"/>
              <c:y val="0.93192956360402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5912640"/>
        <c:crosses val="autoZero"/>
        <c:crossBetween val="midCat"/>
        <c:majorUnit val="1000"/>
      </c:valAx>
      <c:valAx>
        <c:axId val="1475912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 sz="1100" b="1"/>
                  <a:t>Confiabilidad</a:t>
                </a:r>
                <a:r>
                  <a:rPr lang="es-SV" sz="1100" b="1" baseline="0"/>
                  <a:t> Rs(t)</a:t>
                </a:r>
                <a:endParaRPr lang="es-SV" sz="1100" b="1"/>
              </a:p>
            </c:rich>
          </c:tx>
          <c:layout>
            <c:manualLayout>
              <c:xMode val="edge"/>
              <c:yMode val="edge"/>
              <c:x val="1.6435515224493113E-2"/>
              <c:y val="0.39202961601431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882763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201957087474"/>
          <c:y val="0.19458748852237751"/>
          <c:w val="0.13285097649618222"/>
          <c:h val="0.15642165812492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46831438547085E-2"/>
          <c:y val="6.9239411548288235E-2"/>
          <c:w val="0.89477814496717889"/>
          <c:h val="0.81833368235081483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ADD-4024-B817-AFF61131C884}"/>
              </c:ext>
            </c:extLst>
          </c:dPt>
          <c:xVal>
            <c:numRef>
              <c:f>'R(t) actual'!$I$2:$I$77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xVal>
          <c:yVal>
            <c:numRef>
              <c:f>'R(t) actual'!$AS$2:$AS$77</c:f>
              <c:numCache>
                <c:formatCode>0.0000</c:formatCode>
                <c:ptCount val="76"/>
                <c:pt idx="0">
                  <c:v>1</c:v>
                </c:pt>
                <c:pt idx="1">
                  <c:v>0.87483986096864053</c:v>
                </c:pt>
                <c:pt idx="2">
                  <c:v>0.74839025749231247</c:v>
                </c:pt>
                <c:pt idx="3">
                  <c:v>0.6263707924941404</c:v>
                </c:pt>
                <c:pt idx="4">
                  <c:v>0.51413848115544281</c:v>
                </c:pt>
                <c:pt idx="5">
                  <c:v>0.41507976407100999</c:v>
                </c:pt>
                <c:pt idx="6">
                  <c:v>0.3305218116034857</c:v>
                </c:pt>
                <c:pt idx="7">
                  <c:v>0.26023178039277473</c:v>
                </c:pt>
                <c:pt idx="8">
                  <c:v>0.20301319203687987</c:v>
                </c:pt>
                <c:pt idx="9">
                  <c:v>0.15719885816632251</c:v>
                </c:pt>
                <c:pt idx="10">
                  <c:v>0.12099217649734804</c:v>
                </c:pt>
                <c:pt idx="11">
                  <c:v>9.2673270148791384E-2</c:v>
                </c:pt>
                <c:pt idx="12">
                  <c:v>7.070530464625481E-2</c:v>
                </c:pt>
                <c:pt idx="13">
                  <c:v>5.3775243104736581E-2</c:v>
                </c:pt>
                <c:pt idx="14">
                  <c:v>4.079567767219841E-2</c:v>
                </c:pt>
                <c:pt idx="15">
                  <c:v>3.0886144774434708E-2</c:v>
                </c:pt>
                <c:pt idx="16">
                  <c:v>2.3345605248810717E-2</c:v>
                </c:pt>
                <c:pt idx="17">
                  <c:v>1.7622937421202665E-2</c:v>
                </c:pt>
                <c:pt idx="18">
                  <c:v>1.3289092607156688E-2</c:v>
                </c:pt>
                <c:pt idx="19">
                  <c:v>1.0012580213719164E-2</c:v>
                </c:pt>
                <c:pt idx="20">
                  <c:v>7.5387981651614906E-3</c:v>
                </c:pt>
                <c:pt idx="21">
                  <c:v>5.6731067024354811E-3</c:v>
                </c:pt>
                <c:pt idx="22">
                  <c:v>4.2672511910303995E-3</c:v>
                </c:pt>
                <c:pt idx="23">
                  <c:v>3.208634803837537E-3</c:v>
                </c:pt>
                <c:pt idx="24">
                  <c:v>2.4119382818690513E-3</c:v>
                </c:pt>
                <c:pt idx="25">
                  <c:v>1.8126293364316122E-3</c:v>
                </c:pt>
                <c:pt idx="26">
                  <c:v>1.3619687492447924E-3</c:v>
                </c:pt>
                <c:pt idx="27">
                  <c:v>1.0231876936202199E-3</c:v>
                </c:pt>
                <c:pt idx="28">
                  <c:v>7.685732685893781E-4</c:v>
                </c:pt>
                <c:pt idx="29">
                  <c:v>5.7725341793755578E-4</c:v>
                </c:pt>
                <c:pt idx="30">
                  <c:v>4.3351754329206635E-4</c:v>
                </c:pt>
                <c:pt idx="31">
                  <c:v>3.2554572852399889E-4</c:v>
                </c:pt>
                <c:pt idx="32">
                  <c:v>2.4444863032845645E-4</c:v>
                </c:pt>
                <c:pt idx="33">
                  <c:v>1.8354296753641871E-4</c:v>
                </c:pt>
                <c:pt idx="34">
                  <c:v>1.3780532371052498E-4</c:v>
                </c:pt>
                <c:pt idx="35">
                  <c:v>1.0346069393770979E-4</c:v>
                </c:pt>
                <c:pt idx="36">
                  <c:v>7.767272565749557E-5</c:v>
                </c:pt>
                <c:pt idx="37">
                  <c:v>5.8310634181825417E-5</c:v>
                </c:pt>
                <c:pt idx="38">
                  <c:v>4.3773883571990214E-5</c:v>
                </c:pt>
                <c:pt idx="39">
                  <c:v>3.2860359622839463E-5</c:v>
                </c:pt>
                <c:pt idx="40">
                  <c:v>2.4667272003327637E-5</c:v>
                </c:pt>
                <c:pt idx="41">
                  <c:v>1.8516676093978332E-5</c:v>
                </c:pt>
                <c:pt idx="42">
                  <c:v>1.389950826651603E-5</c:v>
                </c:pt>
                <c:pt idx="43">
                  <c:v>1.0433539077657972E-5</c:v>
                </c:pt>
                <c:pt idx="44">
                  <c:v>7.8317872416614115E-6</c:v>
                </c:pt>
                <c:pt idx="45">
                  <c:v>5.8787945127128349E-6</c:v>
                </c:pt>
                <c:pt idx="46">
                  <c:v>4.412806836622566E-6</c:v>
                </c:pt>
                <c:pt idx="47">
                  <c:v>3.3123925635657448E-6</c:v>
                </c:pt>
                <c:pt idx="48">
                  <c:v>2.4863935999578763E-6</c:v>
                </c:pt>
                <c:pt idx="49">
                  <c:v>1.8663798766365172E-6</c:v>
                </c:pt>
                <c:pt idx="50">
                  <c:v>1.4009838514704664E-6</c:v>
                </c:pt>
                <c:pt idx="51">
                  <c:v>1.0516468408333139E-6</c:v>
                </c:pt>
                <c:pt idx="52">
                  <c:v>7.8942550335425532E-7</c:v>
                </c:pt>
                <c:pt idx="53">
                  <c:v>5.9259435032037263E-7</c:v>
                </c:pt>
                <c:pt idx="54">
                  <c:v>4.4484592813650906E-7</c:v>
                </c:pt>
                <c:pt idx="55">
                  <c:v>3.3393972218703047E-7</c:v>
                </c:pt>
                <c:pt idx="56">
                  <c:v>2.5068793770523541E-7</c:v>
                </c:pt>
                <c:pt idx="57">
                  <c:v>1.8819418061439269E-7</c:v>
                </c:pt>
                <c:pt idx="58">
                  <c:v>1.4128198851597247E-7</c:v>
                </c:pt>
                <c:pt idx="59">
                  <c:v>1.0606587636911105E-7</c:v>
                </c:pt>
                <c:pt idx="60">
                  <c:v>7.9629360686188498E-8</c:v>
                </c:pt>
                <c:pt idx="61">
                  <c:v>5.9783285169505535E-8</c:v>
                </c:pt>
                <c:pt idx="62">
                  <c:v>4.4884421937980197E-8</c:v>
                </c:pt>
                <c:pt idx="63">
                  <c:v>3.3699315859724843E-8</c:v>
                </c:pt>
                <c:pt idx="64">
                  <c:v>2.5302088091982036E-8</c:v>
                </c:pt>
                <c:pt idx="65">
                  <c:v>1.8997728937512942E-8</c:v>
                </c:pt>
                <c:pt idx="66">
                  <c:v>1.4264522490546503E-8</c:v>
                </c:pt>
                <c:pt idx="67">
                  <c:v>1.0710831167653805E-8</c:v>
                </c:pt>
                <c:pt idx="68">
                  <c:v>8.0426584180236285E-9</c:v>
                </c:pt>
                <c:pt idx="69">
                  <c:v>6.039301275334449E-9</c:v>
                </c:pt>
                <c:pt idx="70">
                  <c:v>4.5350749660434207E-9</c:v>
                </c:pt>
                <c:pt idx="71">
                  <c:v>3.4055950914025643E-9</c:v>
                </c:pt>
                <c:pt idx="72">
                  <c:v>2.5574806642016335E-9</c:v>
                </c:pt>
                <c:pt idx="73">
                  <c:v>1.920624816779275E-9</c:v>
                </c:pt>
                <c:pt idx="74">
                  <c:v>1.4423928069920623E-9</c:v>
                </c:pt>
                <c:pt idx="75">
                  <c:v>1.08326667487675E-9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DD-4024-B817-AFF61131C884}"/>
            </c:ext>
          </c:extLst>
        </c:ser>
        <c:ser>
          <c:idx val="1"/>
          <c:order val="1"/>
          <c:tx>
            <c:v>Proposed</c:v>
          </c:tx>
          <c:spPr>
            <a:ln w="28575" cap="rnd">
              <a:solidFill>
                <a:srgbClr val="03ED3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3ED35"/>
              </a:solidFill>
              <a:ln w="9525">
                <a:solidFill>
                  <a:srgbClr val="03ED35"/>
                </a:solidFill>
              </a:ln>
              <a:effectLst/>
            </c:spPr>
          </c:marker>
          <c:xVal>
            <c:numRef>
              <c:f>'R(t) propuesto'!$I$2:$I$77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xVal>
          <c:yVal>
            <c:numRef>
              <c:f>'R(t) propuesto'!$AS$2:$AS$77</c:f>
              <c:numCache>
                <c:formatCode>0.0000</c:formatCode>
                <c:ptCount val="76"/>
                <c:pt idx="0">
                  <c:v>1</c:v>
                </c:pt>
                <c:pt idx="1">
                  <c:v>0.88516408300735894</c:v>
                </c:pt>
                <c:pt idx="2">
                  <c:v>0.77514839154193205</c:v>
                </c:pt>
                <c:pt idx="3">
                  <c:v>0.67037576368831697</c:v>
                </c:pt>
                <c:pt idx="4">
                  <c:v>0.57256762702607833</c:v>
                </c:pt>
                <c:pt idx="5">
                  <c:v>0.48335484126094597</c:v>
                </c:pt>
                <c:pt idx="6">
                  <c:v>0.40376448685902472</c:v>
                </c:pt>
                <c:pt idx="7">
                  <c:v>0.33414361131147896</c:v>
                </c:pt>
                <c:pt idx="8">
                  <c:v>0.2742705619724839</c:v>
                </c:pt>
                <c:pt idx="9">
                  <c:v>0.22352226829251226</c:v>
                </c:pt>
                <c:pt idx="10">
                  <c:v>0.18103500382403578</c:v>
                </c:pt>
                <c:pt idx="11">
                  <c:v>0.14583424424591501</c:v>
                </c:pt>
                <c:pt idx="12">
                  <c:v>0.11692858569652122</c:v>
                </c:pt>
                <c:pt idx="13">
                  <c:v>9.3371384795951112E-2</c:v>
                </c:pt>
                <c:pt idx="14">
                  <c:v>7.4296800923337625E-2</c:v>
                </c:pt>
                <c:pt idx="15">
                  <c:v>5.8937159199546882E-2</c:v>
                </c:pt>
                <c:pt idx="16">
                  <c:v>4.6627609170682489E-2</c:v>
                </c:pt>
                <c:pt idx="17">
                  <c:v>3.6802759526374774E-2</c:v>
                </c:pt>
                <c:pt idx="18">
                  <c:v>2.8988716510327115E-2</c:v>
                </c:pt>
                <c:pt idx="19">
                  <c:v>2.2792899935665006E-2</c:v>
                </c:pt>
                <c:pt idx="20">
                  <c:v>1.7893193003146228E-2</c:v>
                </c:pt>
                <c:pt idx="21">
                  <c:v>1.4027382615069721E-2</c:v>
                </c:pt>
                <c:pt idx="22">
                  <c:v>1.0983427383018029E-2</c:v>
                </c:pt>
                <c:pt idx="23">
                  <c:v>8.5908096354969637E-3</c:v>
                </c:pt>
                <c:pt idx="24">
                  <c:v>6.7130484182127258E-3</c:v>
                </c:pt>
                <c:pt idx="25">
                  <c:v>5.2413426746109734E-3</c:v>
                </c:pt>
                <c:pt idx="26">
                  <c:v>4.0892545046006838E-3</c:v>
                </c:pt>
                <c:pt idx="27">
                  <c:v>3.1883147966541565E-3</c:v>
                </c:pt>
                <c:pt idx="28">
                  <c:v>2.4844257252335162E-3</c:v>
                </c:pt>
                <c:pt idx="29">
                  <c:v>1.9349384677752434E-3</c:v>
                </c:pt>
                <c:pt idx="30">
                  <c:v>1.5062946309239518E-3</c:v>
                </c:pt>
                <c:pt idx="31">
                  <c:v>1.172132832006666E-3</c:v>
                </c:pt>
                <c:pt idx="32">
                  <c:v>9.1177554137780151E-4</c:v>
                </c:pt>
                <c:pt idx="33">
                  <c:v>7.0902443067783741E-4</c:v>
                </c:pt>
                <c:pt idx="34">
                  <c:v>5.5120444945765622E-4</c:v>
                </c:pt>
                <c:pt idx="35">
                  <c:v>4.2840739248239219E-4</c:v>
                </c:pt>
                <c:pt idx="36">
                  <c:v>3.3289476766194901E-4</c:v>
                </c:pt>
                <c:pt idx="37">
                  <c:v>2.586274004279421E-4</c:v>
                </c:pt>
                <c:pt idx="38">
                  <c:v>2.0089554876985877E-4</c:v>
                </c:pt>
                <c:pt idx="39">
                  <c:v>1.5602851410852461E-4</c:v>
                </c:pt>
                <c:pt idx="40">
                  <c:v>1.2116697997089131E-4</c:v>
                </c:pt>
                <c:pt idx="41">
                  <c:v>9.4084746946289491E-5</c:v>
                </c:pt>
                <c:pt idx="42">
                  <c:v>7.3049297036872066E-5</c:v>
                </c:pt>
                <c:pt idx="43">
                  <c:v>5.6712833826514943E-5</c:v>
                </c:pt>
                <c:pt idx="44">
                  <c:v>4.402720959116659E-5</c:v>
                </c:pt>
                <c:pt idx="45">
                  <c:v>3.4177552615511194E-5</c:v>
                </c:pt>
                <c:pt idx="46">
                  <c:v>2.6530518756713216E-5</c:v>
                </c:pt>
                <c:pt idx="47">
                  <c:v>2.059396901289575E-5</c:v>
                </c:pt>
                <c:pt idx="48">
                  <c:v>1.5985566884846848E-5</c:v>
                </c:pt>
                <c:pt idx="49">
                  <c:v>1.2408333902714514E-5</c:v>
                </c:pt>
                <c:pt idx="50">
                  <c:v>9.6316295243044704E-6</c:v>
                </c:pt>
                <c:pt idx="51">
                  <c:v>7.4763572334434703E-6</c:v>
                </c:pt>
                <c:pt idx="52">
                  <c:v>5.8034616104928604E-6</c:v>
                </c:pt>
                <c:pt idx="53">
                  <c:v>4.5049869155743435E-6</c:v>
                </c:pt>
                <c:pt idx="54">
                  <c:v>3.4971285878050387E-6</c:v>
                </c:pt>
                <c:pt idx="55">
                  <c:v>2.7148347078022398E-6</c:v>
                </c:pt>
                <c:pt idx="56">
                  <c:v>2.1076125281377624E-6</c:v>
                </c:pt>
                <c:pt idx="57">
                  <c:v>1.6362716497027308E-6</c:v>
                </c:pt>
                <c:pt idx="58">
                  <c:v>1.2703950242246305E-6</c:v>
                </c:pt>
                <c:pt idx="59">
                  <c:v>9.8637539006035647E-7</c:v>
                </c:pt>
                <c:pt idx="60">
                  <c:v>7.6589089404315384E-7</c:v>
                </c:pt>
                <c:pt idx="61">
                  <c:v>5.9472178063857032E-7</c:v>
                </c:pt>
                <c:pt idx="62">
                  <c:v>4.6183191035789243E-7</c:v>
                </c:pt>
                <c:pt idx="63">
                  <c:v>3.5865588390214499E-7</c:v>
                </c:pt>
                <c:pt idx="64">
                  <c:v>2.7854577484961649E-7</c:v>
                </c:pt>
                <c:pt idx="65">
                  <c:v>2.1634175235326149E-7</c:v>
                </c:pt>
                <c:pt idx="66">
                  <c:v>1.6803886121210071E-7</c:v>
                </c:pt>
                <c:pt idx="67">
                  <c:v>1.3052842986959537E-7</c:v>
                </c:pt>
                <c:pt idx="68">
                  <c:v>1.0139739439336568E-7</c:v>
                </c:pt>
                <c:pt idx="69">
                  <c:v>7.8772567208497045E-8</c:v>
                </c:pt>
                <c:pt idx="70">
                  <c:v>6.1199783540065295E-8</c:v>
                </c:pt>
                <c:pt idx="71">
                  <c:v>4.7550112958145321E-8</c:v>
                </c:pt>
                <c:pt idx="72">
                  <c:v>3.6947073286825281E-8</c:v>
                </c:pt>
                <c:pt idx="73">
                  <c:v>2.871014224387168E-8</c:v>
                </c:pt>
                <c:pt idx="74">
                  <c:v>2.2310916148521487E-8</c:v>
                </c:pt>
                <c:pt idx="75">
                  <c:v>1.7339082930283296E-8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DD-4024-B817-AFF61131C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827632"/>
        <c:axId val="1475912640"/>
      </c:scatterChart>
      <c:valAx>
        <c:axId val="1398827632"/>
        <c:scaling>
          <c:orientation val="minMax"/>
          <c:max val="1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 sz="2400" b="1"/>
                  <a:t>Time</a:t>
                </a:r>
                <a:r>
                  <a:rPr lang="es-SV" sz="2400" b="1" baseline="0"/>
                  <a:t> (hours)</a:t>
                </a:r>
                <a:endParaRPr lang="es-SV" sz="2400" b="1"/>
              </a:p>
            </c:rich>
          </c:tx>
          <c:layout>
            <c:manualLayout>
              <c:xMode val="edge"/>
              <c:yMode val="edge"/>
              <c:x val="0.45435105095115158"/>
              <c:y val="0.93192956360402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5912640"/>
        <c:crosses val="autoZero"/>
        <c:crossBetween val="midCat"/>
        <c:majorUnit val="1000"/>
      </c:valAx>
      <c:valAx>
        <c:axId val="1475912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 sz="2400" b="1"/>
                  <a:t>Reliability Rs(t)</a:t>
                </a:r>
              </a:p>
            </c:rich>
          </c:tx>
          <c:layout>
            <c:manualLayout>
              <c:xMode val="edge"/>
              <c:yMode val="edge"/>
              <c:x val="3.208048068065566E-3"/>
              <c:y val="0.3433677542132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882763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819638285954998"/>
          <c:y val="0.17554457152709926"/>
          <c:w val="0.2621866711105556"/>
          <c:h val="0.1419853312131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 b="1"/>
              <a:t>Costos</a:t>
            </a:r>
            <a:r>
              <a:rPr lang="es-SV" b="1" baseline="0"/>
              <a:t> vs Indisponibilidad</a:t>
            </a:r>
            <a:endParaRPr lang="es-SV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3ED3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038873435173276"/>
                  <c:y val="-6.49286421688854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'Variable Indisponibilidad'!$C$8:$C$38</c:f>
              <c:numCache>
                <c:formatCode>_-* #,##0.000000_-;\-* #,##0.000000_-;_-* "-"??_-;_-@_-</c:formatCode>
                <c:ptCount val="31"/>
                <c:pt idx="0">
                  <c:v>3.0477399340544942E-4</c:v>
                </c:pt>
                <c:pt idx="1">
                  <c:v>2.3631058068007693E-4</c:v>
                </c:pt>
                <c:pt idx="2">
                  <c:v>3.1862424318185312E-4</c:v>
                </c:pt>
                <c:pt idx="3">
                  <c:v>8.0722582549397348E-4</c:v>
                </c:pt>
                <c:pt idx="4">
                  <c:v>2.7672322329064247E-4</c:v>
                </c:pt>
                <c:pt idx="5">
                  <c:v>6.8931331611410407E-4</c:v>
                </c:pt>
                <c:pt idx="6">
                  <c:v>3.2048717962940287E-4</c:v>
                </c:pt>
                <c:pt idx="7">
                  <c:v>1.5731933611640159E-4</c:v>
                </c:pt>
                <c:pt idx="8">
                  <c:v>1.6003842875603747E-3</c:v>
                </c:pt>
                <c:pt idx="9">
                  <c:v>1.5558044999818277E-3</c:v>
                </c:pt>
                <c:pt idx="10">
                  <c:v>2.2812776265089818E-3</c:v>
                </c:pt>
                <c:pt idx="11">
                  <c:v>9.6569206918839523E-4</c:v>
                </c:pt>
                <c:pt idx="12">
                  <c:v>1.4851748937493303E-3</c:v>
                </c:pt>
                <c:pt idx="13">
                  <c:v>2.4630569638828259E-4</c:v>
                </c:pt>
                <c:pt idx="14">
                  <c:v>7.8665855888337965E-5</c:v>
                </c:pt>
                <c:pt idx="15">
                  <c:v>5.9000552248500426E-5</c:v>
                </c:pt>
                <c:pt idx="16">
                  <c:v>7.8665855888337965E-5</c:v>
                </c:pt>
                <c:pt idx="17">
                  <c:v>9.8330386049338969E-5</c:v>
                </c:pt>
                <c:pt idx="18">
                  <c:v>1.5309257512274854E-4</c:v>
                </c:pt>
                <c:pt idx="19">
                  <c:v>1.1482382601080143E-4</c:v>
                </c:pt>
                <c:pt idx="20">
                  <c:v>7.7331233668931354E-5</c:v>
                </c:pt>
                <c:pt idx="21">
                  <c:v>3.285814345567184E-4</c:v>
                </c:pt>
                <c:pt idx="22">
                  <c:v>3.285814345567184E-4</c:v>
                </c:pt>
                <c:pt idx="23">
                  <c:v>2.748513143974729E-3</c:v>
                </c:pt>
                <c:pt idx="24">
                  <c:v>7.6552147344033372E-5</c:v>
                </c:pt>
                <c:pt idx="25">
                  <c:v>2.3898424950996588E-4</c:v>
                </c:pt>
                <c:pt idx="26">
                  <c:v>3.0613828274739241E-4</c:v>
                </c:pt>
                <c:pt idx="27">
                  <c:v>7.1023973851358502E-4</c:v>
                </c:pt>
                <c:pt idx="28">
                  <c:v>4.1069305666741052E-4</c:v>
                </c:pt>
                <c:pt idx="29">
                  <c:v>1.4161901804610189E-3</c:v>
                </c:pt>
                <c:pt idx="30">
                  <c:v>2.7671923742922377E-4</c:v>
                </c:pt>
              </c:numCache>
            </c:numRef>
          </c:xVal>
          <c:yVal>
            <c:numRef>
              <c:f>'Variable Indisponibilidad'!$B$8:$B$38</c:f>
              <c:numCache>
                <c:formatCode>_("$"* #,##0.00_);_("$"* \(#,##0.00\);_("$"* "-"??_);_(@_)</c:formatCode>
                <c:ptCount val="31"/>
                <c:pt idx="0">
                  <c:v>1128.2703482741324</c:v>
                </c:pt>
                <c:pt idx="1">
                  <c:v>889.69284731984635</c:v>
                </c:pt>
                <c:pt idx="2">
                  <c:v>1118.2465543465846</c:v>
                </c:pt>
                <c:pt idx="3">
                  <c:v>2747.4070035766094</c:v>
                </c:pt>
                <c:pt idx="4">
                  <c:v>968.40035081536507</c:v>
                </c:pt>
                <c:pt idx="5">
                  <c:v>2353.2489670670379</c:v>
                </c:pt>
                <c:pt idx="6">
                  <c:v>1078.3461557158928</c:v>
                </c:pt>
                <c:pt idx="7">
                  <c:v>640.90930843242404</c:v>
                </c:pt>
                <c:pt idx="8">
                  <c:v>5202.7103745610611</c:v>
                </c:pt>
                <c:pt idx="9">
                  <c:v>7481.1453832815469</c:v>
                </c:pt>
                <c:pt idx="10">
                  <c:v>8613.1263757120159</c:v>
                </c:pt>
                <c:pt idx="11">
                  <c:v>3279.9706426830171</c:v>
                </c:pt>
                <c:pt idx="12">
                  <c:v>5267.1436696108631</c:v>
                </c:pt>
                <c:pt idx="13">
                  <c:v>867.40478368413039</c:v>
                </c:pt>
                <c:pt idx="14">
                  <c:v>274.10962270569496</c:v>
                </c:pt>
                <c:pt idx="15">
                  <c:v>202.39801837676885</c:v>
                </c:pt>
                <c:pt idx="16">
                  <c:v>281.7913332445226</c:v>
                </c:pt>
                <c:pt idx="17">
                  <c:v>456.80533471536023</c:v>
                </c:pt>
                <c:pt idx="18">
                  <c:v>536.88279951057621</c:v>
                </c:pt>
                <c:pt idx="19">
                  <c:v>414.98686058696779</c:v>
                </c:pt>
                <c:pt idx="20">
                  <c:v>346.3393942362506</c:v>
                </c:pt>
                <c:pt idx="21">
                  <c:v>1129.677334650687</c:v>
                </c:pt>
                <c:pt idx="22">
                  <c:v>1132.5949669706827</c:v>
                </c:pt>
                <c:pt idx="23">
                  <c:v>9226.0178914686057</c:v>
                </c:pt>
                <c:pt idx="24">
                  <c:v>299.84000781179935</c:v>
                </c:pt>
                <c:pt idx="25">
                  <c:v>916.11863359704535</c:v>
                </c:pt>
                <c:pt idx="26">
                  <c:v>1085.084660762833</c:v>
                </c:pt>
                <c:pt idx="27">
                  <c:v>2574.4046629498175</c:v>
                </c:pt>
                <c:pt idx="28">
                  <c:v>1405.8307171216611</c:v>
                </c:pt>
                <c:pt idx="29">
                  <c:v>4741.8149487279961</c:v>
                </c:pt>
                <c:pt idx="30">
                  <c:v>969.4306783064402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4-42E1-96D4-07DD9ADCBFBE}"/>
            </c:ext>
          </c:extLst>
        </c:ser>
        <c:ser>
          <c:idx val="1"/>
          <c:order val="1"/>
          <c:tx>
            <c:v>+z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'Variable Indisponibilidad'!$C$8:$C$38</c:f>
              <c:numCache>
                <c:formatCode>_-* #,##0.000000_-;\-* #,##0.000000_-;_-* "-"??_-;_-@_-</c:formatCode>
                <c:ptCount val="31"/>
                <c:pt idx="0">
                  <c:v>3.0477399340544942E-4</c:v>
                </c:pt>
                <c:pt idx="1">
                  <c:v>2.3631058068007693E-4</c:v>
                </c:pt>
                <c:pt idx="2">
                  <c:v>3.1862424318185312E-4</c:v>
                </c:pt>
                <c:pt idx="3">
                  <c:v>8.0722582549397348E-4</c:v>
                </c:pt>
                <c:pt idx="4">
                  <c:v>2.7672322329064247E-4</c:v>
                </c:pt>
                <c:pt idx="5">
                  <c:v>6.8931331611410407E-4</c:v>
                </c:pt>
                <c:pt idx="6">
                  <c:v>3.2048717962940287E-4</c:v>
                </c:pt>
                <c:pt idx="7">
                  <c:v>1.5731933611640159E-4</c:v>
                </c:pt>
                <c:pt idx="8">
                  <c:v>1.6003842875603747E-3</c:v>
                </c:pt>
                <c:pt idx="9">
                  <c:v>1.5558044999818277E-3</c:v>
                </c:pt>
                <c:pt idx="10">
                  <c:v>2.2812776265089818E-3</c:v>
                </c:pt>
                <c:pt idx="11">
                  <c:v>9.6569206918839523E-4</c:v>
                </c:pt>
                <c:pt idx="12">
                  <c:v>1.4851748937493303E-3</c:v>
                </c:pt>
                <c:pt idx="13">
                  <c:v>2.4630569638828259E-4</c:v>
                </c:pt>
                <c:pt idx="14">
                  <c:v>7.8665855888337965E-5</c:v>
                </c:pt>
                <c:pt idx="15">
                  <c:v>5.9000552248500426E-5</c:v>
                </c:pt>
                <c:pt idx="16">
                  <c:v>7.8665855888337965E-5</c:v>
                </c:pt>
                <c:pt idx="17">
                  <c:v>9.8330386049338969E-5</c:v>
                </c:pt>
                <c:pt idx="18">
                  <c:v>1.5309257512274854E-4</c:v>
                </c:pt>
                <c:pt idx="19">
                  <c:v>1.1482382601080143E-4</c:v>
                </c:pt>
                <c:pt idx="20">
                  <c:v>7.7331233668931354E-5</c:v>
                </c:pt>
                <c:pt idx="21">
                  <c:v>3.285814345567184E-4</c:v>
                </c:pt>
                <c:pt idx="22">
                  <c:v>3.285814345567184E-4</c:v>
                </c:pt>
                <c:pt idx="23">
                  <c:v>2.748513143974729E-3</c:v>
                </c:pt>
                <c:pt idx="24">
                  <c:v>7.6552147344033372E-5</c:v>
                </c:pt>
                <c:pt idx="25">
                  <c:v>2.3898424950996588E-4</c:v>
                </c:pt>
                <c:pt idx="26">
                  <c:v>3.0613828274739241E-4</c:v>
                </c:pt>
                <c:pt idx="27">
                  <c:v>7.1023973851358502E-4</c:v>
                </c:pt>
                <c:pt idx="28">
                  <c:v>4.1069305666741052E-4</c:v>
                </c:pt>
                <c:pt idx="29">
                  <c:v>1.4161901804610189E-3</c:v>
                </c:pt>
                <c:pt idx="30">
                  <c:v>2.7671923742922377E-4</c:v>
                </c:pt>
              </c:numCache>
            </c:numRef>
          </c:xVal>
          <c:yVal>
            <c:numRef>
              <c:f>'Variable Indisponibilidad'!$D$8:$D$38</c:f>
              <c:numCache>
                <c:formatCode>_(* #,##0.00_);_(* \(#,##0.00\);_(* "-"??_);_(@_)</c:formatCode>
                <c:ptCount val="31"/>
                <c:pt idx="0">
                  <c:v>1511.312390589705</c:v>
                </c:pt>
                <c:pt idx="1">
                  <c:v>1272.734889635419</c:v>
                </c:pt>
                <c:pt idx="2">
                  <c:v>1501.2885966621573</c:v>
                </c:pt>
                <c:pt idx="3">
                  <c:v>3130.4490458921819</c:v>
                </c:pt>
                <c:pt idx="4">
                  <c:v>1351.4423931309377</c:v>
                </c:pt>
                <c:pt idx="5">
                  <c:v>2736.2910093826104</c:v>
                </c:pt>
                <c:pt idx="6">
                  <c:v>1461.3881980314654</c:v>
                </c:pt>
                <c:pt idx="7">
                  <c:v>1023.9513507479967</c:v>
                </c:pt>
                <c:pt idx="8">
                  <c:v>5585.752416876634</c:v>
                </c:pt>
                <c:pt idx="9">
                  <c:v>7864.1874255971197</c:v>
                </c:pt>
                <c:pt idx="10">
                  <c:v>8996.1684180275879</c:v>
                </c:pt>
                <c:pt idx="11">
                  <c:v>3663.01268499859</c:v>
                </c:pt>
                <c:pt idx="12">
                  <c:v>5650.1857119264359</c:v>
                </c:pt>
                <c:pt idx="13">
                  <c:v>1250.4468259997029</c:v>
                </c:pt>
                <c:pt idx="14">
                  <c:v>657.1516650212676</c:v>
                </c:pt>
                <c:pt idx="15">
                  <c:v>585.44006069234149</c:v>
                </c:pt>
                <c:pt idx="16">
                  <c:v>664.83337556009519</c:v>
                </c:pt>
                <c:pt idx="17">
                  <c:v>839.84737703093288</c:v>
                </c:pt>
                <c:pt idx="18">
                  <c:v>919.92484182614885</c:v>
                </c:pt>
                <c:pt idx="19">
                  <c:v>798.02890290254049</c:v>
                </c:pt>
                <c:pt idx="20">
                  <c:v>729.3814365518233</c:v>
                </c:pt>
                <c:pt idx="21">
                  <c:v>1512.7193769662597</c:v>
                </c:pt>
                <c:pt idx="22">
                  <c:v>1515.6370092862553</c:v>
                </c:pt>
                <c:pt idx="23">
                  <c:v>9609.0599337841777</c:v>
                </c:pt>
                <c:pt idx="24">
                  <c:v>682.88205012737194</c:v>
                </c:pt>
                <c:pt idx="25">
                  <c:v>1299.160675912618</c:v>
                </c:pt>
                <c:pt idx="26">
                  <c:v>1468.1267030784056</c:v>
                </c:pt>
                <c:pt idx="27">
                  <c:v>2957.4467052653899</c:v>
                </c:pt>
                <c:pt idx="28">
                  <c:v>1788.8727594372338</c:v>
                </c:pt>
                <c:pt idx="29">
                  <c:v>5124.856991043569</c:v>
                </c:pt>
                <c:pt idx="30">
                  <c:v>1352.4727206220127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4-42E1-96D4-07DD9ADCBFBE}"/>
            </c:ext>
          </c:extLst>
        </c:ser>
        <c:ser>
          <c:idx val="2"/>
          <c:order val="2"/>
          <c:tx>
            <c:v>-z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'Variable Indisponibilidad'!$C$8:$C$38</c:f>
              <c:numCache>
                <c:formatCode>_-* #,##0.000000_-;\-* #,##0.000000_-;_-* "-"??_-;_-@_-</c:formatCode>
                <c:ptCount val="31"/>
                <c:pt idx="0">
                  <c:v>3.0477399340544942E-4</c:v>
                </c:pt>
                <c:pt idx="1">
                  <c:v>2.3631058068007693E-4</c:v>
                </c:pt>
                <c:pt idx="2">
                  <c:v>3.1862424318185312E-4</c:v>
                </c:pt>
                <c:pt idx="3">
                  <c:v>8.0722582549397348E-4</c:v>
                </c:pt>
                <c:pt idx="4">
                  <c:v>2.7672322329064247E-4</c:v>
                </c:pt>
                <c:pt idx="5">
                  <c:v>6.8931331611410407E-4</c:v>
                </c:pt>
                <c:pt idx="6">
                  <c:v>3.2048717962940287E-4</c:v>
                </c:pt>
                <c:pt idx="7">
                  <c:v>1.5731933611640159E-4</c:v>
                </c:pt>
                <c:pt idx="8">
                  <c:v>1.6003842875603747E-3</c:v>
                </c:pt>
                <c:pt idx="9">
                  <c:v>1.5558044999818277E-3</c:v>
                </c:pt>
                <c:pt idx="10">
                  <c:v>2.2812776265089818E-3</c:v>
                </c:pt>
                <c:pt idx="11">
                  <c:v>9.6569206918839523E-4</c:v>
                </c:pt>
                <c:pt idx="12">
                  <c:v>1.4851748937493303E-3</c:v>
                </c:pt>
                <c:pt idx="13">
                  <c:v>2.4630569638828259E-4</c:v>
                </c:pt>
                <c:pt idx="14">
                  <c:v>7.8665855888337965E-5</c:v>
                </c:pt>
                <c:pt idx="15">
                  <c:v>5.9000552248500426E-5</c:v>
                </c:pt>
                <c:pt idx="16">
                  <c:v>7.8665855888337965E-5</c:v>
                </c:pt>
                <c:pt idx="17">
                  <c:v>9.8330386049338969E-5</c:v>
                </c:pt>
                <c:pt idx="18">
                  <c:v>1.5309257512274854E-4</c:v>
                </c:pt>
                <c:pt idx="19">
                  <c:v>1.1482382601080143E-4</c:v>
                </c:pt>
                <c:pt idx="20">
                  <c:v>7.7331233668931354E-5</c:v>
                </c:pt>
                <c:pt idx="21">
                  <c:v>3.285814345567184E-4</c:v>
                </c:pt>
                <c:pt idx="22">
                  <c:v>3.285814345567184E-4</c:v>
                </c:pt>
                <c:pt idx="23">
                  <c:v>2.748513143974729E-3</c:v>
                </c:pt>
                <c:pt idx="24">
                  <c:v>7.6552147344033372E-5</c:v>
                </c:pt>
                <c:pt idx="25">
                  <c:v>2.3898424950996588E-4</c:v>
                </c:pt>
                <c:pt idx="26">
                  <c:v>3.0613828274739241E-4</c:v>
                </c:pt>
                <c:pt idx="27">
                  <c:v>7.1023973851358502E-4</c:v>
                </c:pt>
                <c:pt idx="28">
                  <c:v>4.1069305666741052E-4</c:v>
                </c:pt>
                <c:pt idx="29">
                  <c:v>1.4161901804610189E-3</c:v>
                </c:pt>
                <c:pt idx="30">
                  <c:v>2.7671923742922377E-4</c:v>
                </c:pt>
              </c:numCache>
            </c:numRef>
          </c:xVal>
          <c:yVal>
            <c:numRef>
              <c:f>'Variable Indisponibilidad'!$E$8:$E$38</c:f>
              <c:numCache>
                <c:formatCode>_(* #,##0.00_);_(* \(#,##0.00\);_(* "-"??_);_(@_)</c:formatCode>
                <c:ptCount val="31"/>
                <c:pt idx="0">
                  <c:v>745.22830595855976</c:v>
                </c:pt>
                <c:pt idx="1">
                  <c:v>506.65080500427371</c:v>
                </c:pt>
                <c:pt idx="2">
                  <c:v>735.20451203101197</c:v>
                </c:pt>
                <c:pt idx="3">
                  <c:v>2364.364961261037</c:v>
                </c:pt>
                <c:pt idx="4">
                  <c:v>585.35830849979243</c:v>
                </c:pt>
                <c:pt idx="5">
                  <c:v>1970.2069247514653</c:v>
                </c:pt>
                <c:pt idx="6">
                  <c:v>695.30411340032015</c:v>
                </c:pt>
                <c:pt idx="7">
                  <c:v>257.8672661168514</c:v>
                </c:pt>
                <c:pt idx="8">
                  <c:v>4819.6683322454883</c:v>
                </c:pt>
                <c:pt idx="9">
                  <c:v>7098.103340965974</c:v>
                </c:pt>
                <c:pt idx="10">
                  <c:v>8230.084333396444</c:v>
                </c:pt>
                <c:pt idx="11">
                  <c:v>2896.9286003674442</c:v>
                </c:pt>
                <c:pt idx="12">
                  <c:v>4884.1016272952902</c:v>
                </c:pt>
                <c:pt idx="13">
                  <c:v>484.36274136855775</c:v>
                </c:pt>
                <c:pt idx="14">
                  <c:v>-108.93241960987768</c:v>
                </c:pt>
                <c:pt idx="15">
                  <c:v>-180.6440239388038</c:v>
                </c:pt>
                <c:pt idx="16">
                  <c:v>-101.25070907105004</c:v>
                </c:pt>
                <c:pt idx="17">
                  <c:v>73.763292399787588</c:v>
                </c:pt>
                <c:pt idx="18">
                  <c:v>153.84075719500356</c:v>
                </c:pt>
                <c:pt idx="19">
                  <c:v>31.94481827139515</c:v>
                </c:pt>
                <c:pt idx="20">
                  <c:v>-36.702648079322046</c:v>
                </c:pt>
                <c:pt idx="21">
                  <c:v>746.6352923351144</c:v>
                </c:pt>
                <c:pt idx="22">
                  <c:v>749.55292465511002</c:v>
                </c:pt>
                <c:pt idx="23">
                  <c:v>8842.9758491530338</c:v>
                </c:pt>
                <c:pt idx="24">
                  <c:v>-83.202034503773291</c:v>
                </c:pt>
                <c:pt idx="25">
                  <c:v>533.0765912814727</c:v>
                </c:pt>
                <c:pt idx="26">
                  <c:v>702.04261844726034</c:v>
                </c:pt>
                <c:pt idx="27">
                  <c:v>2191.3626206342451</c:v>
                </c:pt>
                <c:pt idx="28">
                  <c:v>1022.7886748060885</c:v>
                </c:pt>
                <c:pt idx="29">
                  <c:v>4358.7729064124233</c:v>
                </c:pt>
                <c:pt idx="30">
                  <c:v>586.38863599086756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94-42E1-96D4-07DD9ADC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416319"/>
        <c:axId val="1590999039"/>
      </c:scatterChart>
      <c:valAx>
        <c:axId val="158741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 b="1"/>
                  <a:t>Inidisponibilidad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.000000_-;\-* #,##0.0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0999039"/>
        <c:crosses val="autoZero"/>
        <c:crossBetween val="midCat"/>
      </c:valAx>
      <c:valAx>
        <c:axId val="15909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 b="1"/>
                  <a:t>Costos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741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AB1ACC-7471-486C-B520-7C184183F749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165D0B-BE10-4547-8900-2E5276CB773B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BA4E8E-28E5-4936-9F94-90340858CA38}">
  <sheetPr/>
  <sheetViews>
    <sheetView zoomScale="86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955A52-B8B1-44A1-9760-45A8F0D3EBE8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670C95-B1B8-45A1-B416-718FF5E4F76C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1118B9-789C-C958-9746-CDFA6F66D3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43543</xdr:colOff>
      <xdr:row>6</xdr:row>
      <xdr:rowOff>10887</xdr:rowOff>
    </xdr:from>
    <xdr:to>
      <xdr:col>15</xdr:col>
      <xdr:colOff>620485</xdr:colOff>
      <xdr:row>39</xdr:row>
      <xdr:rowOff>21771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C1BAB9-55E9-44BE-BB84-108A8258D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664027</xdr:colOff>
      <xdr:row>17</xdr:row>
      <xdr:rowOff>136072</xdr:rowOff>
    </xdr:from>
    <xdr:to>
      <xdr:col>42</xdr:col>
      <xdr:colOff>979713</xdr:colOff>
      <xdr:row>37</xdr:row>
      <xdr:rowOff>174172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08A847-0EF9-186F-EAB2-D4AEE57CA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664027</xdr:colOff>
      <xdr:row>17</xdr:row>
      <xdr:rowOff>136072</xdr:rowOff>
    </xdr:from>
    <xdr:to>
      <xdr:col>42</xdr:col>
      <xdr:colOff>979713</xdr:colOff>
      <xdr:row>37</xdr:row>
      <xdr:rowOff>174172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468FB6-1AA7-4A8C-912C-10ECD1129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101860</xdr:colOff>
      <xdr:row>1</xdr:row>
      <xdr:rowOff>19049</xdr:rowOff>
    </xdr:from>
    <xdr:to>
      <xdr:col>19</xdr:col>
      <xdr:colOff>702497</xdr:colOff>
      <xdr:row>32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C386D5-6911-5449-F4BE-C26BDA4B5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74685" y="200024"/>
          <a:ext cx="6925237" cy="5715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E180B8-9C72-8124-52EC-471B565A20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C77AAD-395A-B23A-61D7-332AAE6816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773AC6-23CB-5AD8-0159-03E728B2DD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65660D-EAEA-1D1F-0A97-0B59EB7C44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284995</xdr:colOff>
      <xdr:row>20</xdr:row>
      <xdr:rowOff>183394</xdr:rowOff>
    </xdr:from>
    <xdr:to>
      <xdr:col>22</xdr:col>
      <xdr:colOff>686253</xdr:colOff>
      <xdr:row>49</xdr:row>
      <xdr:rowOff>112637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DCC8E725-73E0-3CE9-912F-8CAB83729B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2" r="2298" b="3654"/>
        <a:stretch/>
      </xdr:blipFill>
      <xdr:spPr>
        <a:xfrm>
          <a:off x="15372595" y="4276423"/>
          <a:ext cx="5963858" cy="61123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33E0-BBB3-4745-8229-5BC060B68229}">
  <dimension ref="A1:AA65"/>
  <sheetViews>
    <sheetView zoomScale="48" zoomScaleNormal="60" workbookViewId="0">
      <pane ySplit="8" topLeftCell="A21" activePane="bottomLeft" state="frozenSplit"/>
      <selection pane="bottomLeft" activeCell="S60" sqref="S60"/>
    </sheetView>
  </sheetViews>
  <sheetFormatPr baseColWidth="10" defaultColWidth="11.5546875" defaultRowHeight="13.2"/>
  <cols>
    <col min="1" max="1" width="18.88671875" style="1" customWidth="1"/>
    <col min="2" max="2" width="6.109375" style="1" customWidth="1"/>
    <col min="3" max="3" width="26" style="1" customWidth="1"/>
    <col min="4" max="4" width="4.6640625" style="1" customWidth="1"/>
    <col min="5" max="5" width="19.21875" style="1" customWidth="1"/>
    <col min="6" max="6" width="4.109375" style="15" customWidth="1"/>
    <col min="7" max="7" width="20.109375" style="1" customWidth="1"/>
    <col min="8" max="8" width="4" style="15" customWidth="1"/>
    <col min="9" max="9" width="12.5546875" style="1" customWidth="1"/>
    <col min="10" max="10" width="11.44140625" style="16" customWidth="1"/>
    <col min="11" max="11" width="15.5546875" style="1" customWidth="1"/>
    <col min="12" max="12" width="15.5546875" style="9" customWidth="1"/>
    <col min="13" max="13" width="6.5546875" style="1" customWidth="1"/>
    <col min="14" max="14" width="7.21875" style="1" customWidth="1"/>
    <col min="15" max="15" width="6.5546875" style="1" customWidth="1"/>
    <col min="16" max="16" width="8.109375" style="1" customWidth="1"/>
    <col min="17" max="17" width="15.44140625" style="1" customWidth="1"/>
    <col min="18" max="18" width="5.5546875" style="1" customWidth="1"/>
    <col min="19" max="19" width="8.21875" style="1" customWidth="1"/>
    <col min="20" max="20" width="8.6640625" style="1" customWidth="1"/>
    <col min="21" max="21" width="8.33203125" style="1" customWidth="1"/>
    <col min="22" max="22" width="18.77734375" style="1" customWidth="1"/>
    <col min="23" max="23" width="18.6640625" style="1" bestFit="1" customWidth="1"/>
    <col min="24" max="24" width="14.44140625" style="1" bestFit="1" customWidth="1"/>
    <col min="25" max="25" width="40.88671875" style="1" customWidth="1"/>
    <col min="26" max="26" width="40.77734375" style="1" customWidth="1"/>
    <col min="27" max="27" width="22.21875" style="1" customWidth="1"/>
    <col min="28" max="16384" width="11.5546875" style="1"/>
  </cols>
  <sheetData>
    <row r="1" spans="1:27" ht="19.95" customHeight="1">
      <c r="A1" s="429" t="s">
        <v>196</v>
      </c>
      <c r="B1" s="429"/>
      <c r="C1" s="429"/>
      <c r="D1" s="429"/>
      <c r="E1" s="429"/>
      <c r="F1" s="429"/>
      <c r="G1" s="429"/>
      <c r="H1" s="429"/>
      <c r="I1" s="429"/>
      <c r="J1" s="429"/>
      <c r="K1" s="430"/>
      <c r="L1" s="464" t="s">
        <v>258</v>
      </c>
      <c r="M1" s="429"/>
      <c r="N1" s="429"/>
      <c r="O1" s="429"/>
      <c r="P1" s="429"/>
      <c r="Q1" s="429"/>
      <c r="R1" s="429"/>
      <c r="S1" s="429"/>
      <c r="T1" s="429"/>
      <c r="U1" s="430"/>
      <c r="V1" s="348"/>
      <c r="W1" s="349"/>
      <c r="X1" s="349"/>
      <c r="Y1" s="349"/>
      <c r="Z1" s="349"/>
    </row>
    <row r="2" spans="1:27" ht="67.8" customHeight="1" thickBot="1">
      <c r="A2" s="431"/>
      <c r="B2" s="431"/>
      <c r="C2" s="431"/>
      <c r="D2" s="431"/>
      <c r="E2" s="431"/>
      <c r="F2" s="431"/>
      <c r="G2" s="431"/>
      <c r="H2" s="431"/>
      <c r="I2" s="431"/>
      <c r="J2" s="431"/>
      <c r="K2" s="432"/>
      <c r="L2" s="464"/>
      <c r="M2" s="429"/>
      <c r="N2" s="429"/>
      <c r="O2" s="429"/>
      <c r="P2" s="429"/>
      <c r="Q2" s="429"/>
      <c r="R2" s="429"/>
      <c r="S2" s="429"/>
      <c r="T2" s="429"/>
      <c r="U2" s="430"/>
      <c r="V2" s="348"/>
      <c r="W2" s="349"/>
      <c r="X2" s="349"/>
      <c r="Y2" s="349"/>
      <c r="Z2" s="349"/>
    </row>
    <row r="3" spans="1:27" ht="16.2" customHeight="1">
      <c r="A3" s="352" t="s">
        <v>257</v>
      </c>
      <c r="B3" s="353"/>
      <c r="C3" s="353"/>
      <c r="D3" s="353"/>
      <c r="E3" s="353"/>
      <c r="F3" s="353"/>
      <c r="G3" s="353"/>
      <c r="H3" s="353"/>
      <c r="I3" s="353"/>
      <c r="J3" s="353"/>
      <c r="K3" s="354"/>
      <c r="L3" s="464"/>
      <c r="M3" s="429"/>
      <c r="N3" s="429"/>
      <c r="O3" s="429"/>
      <c r="P3" s="429"/>
      <c r="Q3" s="429"/>
      <c r="R3" s="429"/>
      <c r="S3" s="429"/>
      <c r="T3" s="429"/>
      <c r="U3" s="430"/>
      <c r="V3" s="348"/>
      <c r="W3" s="349"/>
      <c r="X3" s="349"/>
      <c r="Y3" s="349"/>
      <c r="Z3" s="349"/>
    </row>
    <row r="4" spans="1:27" ht="16.2" customHeight="1">
      <c r="A4" s="370" t="s">
        <v>260</v>
      </c>
      <c r="B4" s="371"/>
      <c r="C4" s="371"/>
      <c r="D4" s="371"/>
      <c r="E4" s="371"/>
      <c r="F4" s="371"/>
      <c r="G4" s="371"/>
      <c r="H4" s="371"/>
      <c r="I4" s="371"/>
      <c r="J4" s="371"/>
      <c r="K4" s="372"/>
      <c r="L4" s="464"/>
      <c r="M4" s="429"/>
      <c r="N4" s="429"/>
      <c r="O4" s="429"/>
      <c r="P4" s="429"/>
      <c r="Q4" s="429"/>
      <c r="R4" s="429"/>
      <c r="S4" s="429"/>
      <c r="T4" s="429"/>
      <c r="U4" s="430"/>
      <c r="V4" s="348"/>
      <c r="W4" s="349"/>
      <c r="X4" s="349"/>
      <c r="Y4" s="349"/>
      <c r="Z4" s="349"/>
    </row>
    <row r="5" spans="1:27" ht="15.6" customHeight="1" thickBot="1">
      <c r="A5" s="373"/>
      <c r="B5" s="374"/>
      <c r="C5" s="374"/>
      <c r="D5" s="374"/>
      <c r="E5" s="374"/>
      <c r="F5" s="374"/>
      <c r="G5" s="374"/>
      <c r="H5" s="374"/>
      <c r="I5" s="374"/>
      <c r="J5" s="374"/>
      <c r="K5" s="375"/>
      <c r="L5" s="465"/>
      <c r="M5" s="431"/>
      <c r="N5" s="431"/>
      <c r="O5" s="431"/>
      <c r="P5" s="431"/>
      <c r="Q5" s="431"/>
      <c r="R5" s="431"/>
      <c r="S5" s="431"/>
      <c r="T5" s="431"/>
      <c r="U5" s="432"/>
      <c r="V5" s="350"/>
      <c r="W5" s="351"/>
      <c r="X5" s="351"/>
      <c r="Y5" s="351"/>
      <c r="Z5" s="351"/>
    </row>
    <row r="6" spans="1:27" ht="39" customHeight="1" thickBot="1">
      <c r="A6" s="376" t="s">
        <v>17</v>
      </c>
      <c r="B6" s="449" t="s">
        <v>18</v>
      </c>
      <c r="C6" s="450"/>
      <c r="D6" s="443" t="s">
        <v>4</v>
      </c>
      <c r="E6" s="444"/>
      <c r="F6" s="437" t="s">
        <v>5</v>
      </c>
      <c r="G6" s="438"/>
      <c r="H6" s="459" t="s">
        <v>6</v>
      </c>
      <c r="I6" s="460"/>
      <c r="J6" s="460"/>
      <c r="K6" s="460"/>
      <c r="L6" s="456" t="s">
        <v>0</v>
      </c>
      <c r="M6" s="409" t="s">
        <v>7</v>
      </c>
      <c r="N6" s="410"/>
      <c r="O6" s="410"/>
      <c r="P6" s="410"/>
      <c r="Q6" s="411"/>
      <c r="R6" s="401" t="s">
        <v>8</v>
      </c>
      <c r="S6" s="402"/>
      <c r="T6" s="402"/>
      <c r="U6" s="402"/>
      <c r="V6" s="390" t="s">
        <v>208</v>
      </c>
      <c r="W6" s="391"/>
      <c r="X6" s="392"/>
      <c r="Y6" s="355" t="s">
        <v>259</v>
      </c>
      <c r="Z6" s="355" t="s">
        <v>344</v>
      </c>
      <c r="AA6" s="355" t="s">
        <v>209</v>
      </c>
    </row>
    <row r="7" spans="1:27" ht="42.6" customHeight="1">
      <c r="A7" s="377"/>
      <c r="B7" s="451"/>
      <c r="C7" s="452"/>
      <c r="D7" s="445"/>
      <c r="E7" s="446"/>
      <c r="F7" s="439"/>
      <c r="G7" s="440"/>
      <c r="H7" s="433" t="s">
        <v>1</v>
      </c>
      <c r="I7" s="434"/>
      <c r="J7" s="433" t="s">
        <v>2</v>
      </c>
      <c r="K7" s="434"/>
      <c r="L7" s="457"/>
      <c r="M7" s="393" t="s">
        <v>9</v>
      </c>
      <c r="N7" s="361" t="s">
        <v>10</v>
      </c>
      <c r="O7" s="361" t="s">
        <v>11</v>
      </c>
      <c r="P7" s="361" t="s">
        <v>12</v>
      </c>
      <c r="Q7" s="399" t="s">
        <v>7</v>
      </c>
      <c r="R7" s="405" t="s">
        <v>13</v>
      </c>
      <c r="S7" s="361" t="s">
        <v>14</v>
      </c>
      <c r="T7" s="407" t="s">
        <v>15</v>
      </c>
      <c r="U7" s="403" t="s">
        <v>16</v>
      </c>
      <c r="V7" s="395" t="s">
        <v>244</v>
      </c>
      <c r="W7" s="388" t="s">
        <v>200</v>
      </c>
      <c r="X7" s="397" t="s">
        <v>3</v>
      </c>
      <c r="Y7" s="356"/>
      <c r="Z7" s="356"/>
      <c r="AA7" s="356"/>
    </row>
    <row r="8" spans="1:27" ht="92.4" customHeight="1" thickBot="1">
      <c r="A8" s="378"/>
      <c r="B8" s="451"/>
      <c r="C8" s="452"/>
      <c r="D8" s="447"/>
      <c r="E8" s="448"/>
      <c r="F8" s="441"/>
      <c r="G8" s="442"/>
      <c r="H8" s="435"/>
      <c r="I8" s="436"/>
      <c r="J8" s="435"/>
      <c r="K8" s="436"/>
      <c r="L8" s="458"/>
      <c r="M8" s="394"/>
      <c r="N8" s="362"/>
      <c r="O8" s="362"/>
      <c r="P8" s="362"/>
      <c r="Q8" s="400"/>
      <c r="R8" s="406"/>
      <c r="S8" s="362"/>
      <c r="T8" s="408"/>
      <c r="U8" s="404"/>
      <c r="V8" s="396"/>
      <c r="W8" s="389"/>
      <c r="X8" s="398"/>
      <c r="Y8" s="357"/>
      <c r="Z8" s="357"/>
      <c r="AA8" s="357"/>
    </row>
    <row r="9" spans="1:27" ht="55.05" customHeight="1">
      <c r="A9" s="461" t="s">
        <v>19</v>
      </c>
      <c r="B9" s="346">
        <v>1</v>
      </c>
      <c r="C9" s="364" t="s">
        <v>28</v>
      </c>
      <c r="D9" s="367">
        <v>1</v>
      </c>
      <c r="E9" s="358" t="s">
        <v>161</v>
      </c>
      <c r="F9" s="384" t="s">
        <v>131</v>
      </c>
      <c r="G9" s="358" t="s">
        <v>167</v>
      </c>
      <c r="H9" s="384">
        <v>1</v>
      </c>
      <c r="I9" s="358" t="s">
        <v>130</v>
      </c>
      <c r="J9" s="58" t="s">
        <v>452</v>
      </c>
      <c r="K9" s="20" t="s">
        <v>140</v>
      </c>
      <c r="L9" s="358" t="s">
        <v>60</v>
      </c>
      <c r="M9" s="5" t="s">
        <v>198</v>
      </c>
      <c r="N9" s="6" t="s">
        <v>197</v>
      </c>
      <c r="O9" s="6" t="s">
        <v>197</v>
      </c>
      <c r="P9" s="6" t="s">
        <v>197</v>
      </c>
      <c r="Q9" s="358" t="s">
        <v>61</v>
      </c>
      <c r="R9" s="5">
        <v>9</v>
      </c>
      <c r="S9" s="6">
        <v>1</v>
      </c>
      <c r="T9" s="7">
        <v>1</v>
      </c>
      <c r="U9" s="32">
        <f t="shared" ref="U9:U64" si="0">T9*S9*R9</f>
        <v>9</v>
      </c>
      <c r="V9" s="347" t="s">
        <v>201</v>
      </c>
      <c r="W9" s="347" t="s">
        <v>254</v>
      </c>
      <c r="X9" s="346" t="s">
        <v>314</v>
      </c>
      <c r="Y9" s="347" t="s">
        <v>345</v>
      </c>
      <c r="Z9" s="347" t="s">
        <v>328</v>
      </c>
      <c r="AA9" s="347" t="s">
        <v>379</v>
      </c>
    </row>
    <row r="10" spans="1:27" ht="55.05" customHeight="1">
      <c r="A10" s="462"/>
      <c r="B10" s="346"/>
      <c r="C10" s="366"/>
      <c r="D10" s="368"/>
      <c r="E10" s="359"/>
      <c r="F10" s="383"/>
      <c r="G10" s="359"/>
      <c r="H10" s="383"/>
      <c r="I10" s="359"/>
      <c r="J10" s="60" t="s">
        <v>453</v>
      </c>
      <c r="K10" s="23" t="s">
        <v>247</v>
      </c>
      <c r="L10" s="359"/>
      <c r="M10" s="10" t="s">
        <v>198</v>
      </c>
      <c r="N10" s="11" t="s">
        <v>197</v>
      </c>
      <c r="O10" s="11" t="s">
        <v>197</v>
      </c>
      <c r="P10" s="11" t="s">
        <v>197</v>
      </c>
      <c r="Q10" s="359"/>
      <c r="R10" s="10">
        <v>9</v>
      </c>
      <c r="S10" s="11">
        <v>1</v>
      </c>
      <c r="T10" s="12">
        <v>1</v>
      </c>
      <c r="U10" s="31">
        <f t="shared" si="0"/>
        <v>9</v>
      </c>
      <c r="V10" s="347"/>
      <c r="W10" s="347"/>
      <c r="X10" s="346"/>
      <c r="Y10" s="347"/>
      <c r="Z10" s="347"/>
      <c r="AA10" s="347"/>
    </row>
    <row r="11" spans="1:27" ht="55.05" customHeight="1">
      <c r="A11" s="462"/>
      <c r="B11" s="346"/>
      <c r="C11" s="366"/>
      <c r="D11" s="368"/>
      <c r="E11" s="359"/>
      <c r="F11" s="383"/>
      <c r="G11" s="359"/>
      <c r="H11" s="383"/>
      <c r="I11" s="359"/>
      <c r="J11" s="60" t="s">
        <v>454</v>
      </c>
      <c r="K11" s="23" t="s">
        <v>248</v>
      </c>
      <c r="L11" s="359"/>
      <c r="M11" s="10" t="s">
        <v>198</v>
      </c>
      <c r="N11" s="11" t="s">
        <v>197</v>
      </c>
      <c r="O11" s="11" t="s">
        <v>197</v>
      </c>
      <c r="P11" s="11" t="s">
        <v>197</v>
      </c>
      <c r="Q11" s="359"/>
      <c r="R11" s="10">
        <v>9</v>
      </c>
      <c r="S11" s="11">
        <v>1</v>
      </c>
      <c r="T11" s="12">
        <v>1</v>
      </c>
      <c r="U11" s="31">
        <f t="shared" si="0"/>
        <v>9</v>
      </c>
      <c r="V11" s="347"/>
      <c r="W11" s="347"/>
      <c r="X11" s="346"/>
      <c r="Y11" s="347"/>
      <c r="Z11" s="347"/>
      <c r="AA11" s="347"/>
    </row>
    <row r="12" spans="1:27" ht="55.05" customHeight="1" thickBot="1">
      <c r="A12" s="462"/>
      <c r="B12" s="346"/>
      <c r="C12" s="365"/>
      <c r="D12" s="368"/>
      <c r="E12" s="359"/>
      <c r="F12" s="381"/>
      <c r="G12" s="363"/>
      <c r="H12" s="383"/>
      <c r="I12" s="359"/>
      <c r="J12" s="60" t="s">
        <v>455</v>
      </c>
      <c r="K12" s="23" t="s">
        <v>246</v>
      </c>
      <c r="L12" s="363"/>
      <c r="M12" s="10" t="s">
        <v>198</v>
      </c>
      <c r="N12" s="11" t="s">
        <v>197</v>
      </c>
      <c r="O12" s="11" t="s">
        <v>197</v>
      </c>
      <c r="P12" s="11" t="s">
        <v>197</v>
      </c>
      <c r="Q12" s="363"/>
      <c r="R12" s="10">
        <v>9</v>
      </c>
      <c r="S12" s="11">
        <v>1</v>
      </c>
      <c r="T12" s="12">
        <v>1</v>
      </c>
      <c r="U12" s="31">
        <f t="shared" si="0"/>
        <v>9</v>
      </c>
      <c r="V12" s="347"/>
      <c r="W12" s="347"/>
      <c r="X12" s="346"/>
      <c r="Y12" s="347"/>
      <c r="Z12" s="347"/>
      <c r="AA12" s="347"/>
    </row>
    <row r="13" spans="1:27" ht="55.05" customHeight="1">
      <c r="A13" s="462"/>
      <c r="B13" s="346">
        <v>2</v>
      </c>
      <c r="C13" s="364" t="s">
        <v>20</v>
      </c>
      <c r="D13" s="368"/>
      <c r="E13" s="359"/>
      <c r="F13" s="380" t="s">
        <v>135</v>
      </c>
      <c r="G13" s="379" t="s">
        <v>166</v>
      </c>
      <c r="H13" s="383"/>
      <c r="I13" s="359"/>
      <c r="J13" s="59" t="s">
        <v>456</v>
      </c>
      <c r="K13" s="14" t="s">
        <v>245</v>
      </c>
      <c r="L13" s="379" t="s">
        <v>62</v>
      </c>
      <c r="M13" s="2" t="s">
        <v>198</v>
      </c>
      <c r="N13" s="3" t="s">
        <v>197</v>
      </c>
      <c r="O13" s="3" t="s">
        <v>197</v>
      </c>
      <c r="P13" s="3" t="s">
        <v>197</v>
      </c>
      <c r="Q13" s="379" t="s">
        <v>63</v>
      </c>
      <c r="R13" s="2">
        <v>7</v>
      </c>
      <c r="S13" s="3">
        <v>4</v>
      </c>
      <c r="T13" s="4">
        <v>2</v>
      </c>
      <c r="U13" s="31">
        <f t="shared" si="0"/>
        <v>56</v>
      </c>
      <c r="V13" s="35" t="s">
        <v>203</v>
      </c>
      <c r="W13" s="35" t="s">
        <v>202</v>
      </c>
      <c r="X13" s="65" t="s">
        <v>307</v>
      </c>
      <c r="Y13" s="35" t="s">
        <v>340</v>
      </c>
      <c r="Z13" s="35" t="s">
        <v>341</v>
      </c>
      <c r="AA13" s="35" t="s">
        <v>379</v>
      </c>
    </row>
    <row r="14" spans="1:27" ht="55.05" customHeight="1" thickBot="1">
      <c r="A14" s="462"/>
      <c r="B14" s="346"/>
      <c r="C14" s="365"/>
      <c r="D14" s="368"/>
      <c r="E14" s="359"/>
      <c r="F14" s="381"/>
      <c r="G14" s="363"/>
      <c r="H14" s="381"/>
      <c r="I14" s="363"/>
      <c r="J14" s="59" t="s">
        <v>457</v>
      </c>
      <c r="K14" s="14" t="s">
        <v>199</v>
      </c>
      <c r="L14" s="363"/>
      <c r="M14" s="2" t="s">
        <v>198</v>
      </c>
      <c r="N14" s="3" t="s">
        <v>197</v>
      </c>
      <c r="O14" s="3" t="s">
        <v>197</v>
      </c>
      <c r="P14" s="3" t="s">
        <v>197</v>
      </c>
      <c r="Q14" s="363"/>
      <c r="R14" s="2">
        <v>7</v>
      </c>
      <c r="S14" s="3">
        <v>4</v>
      </c>
      <c r="T14" s="4">
        <v>2</v>
      </c>
      <c r="U14" s="31">
        <f t="shared" si="0"/>
        <v>56</v>
      </c>
      <c r="V14" s="35" t="s">
        <v>201</v>
      </c>
      <c r="W14" s="35" t="s">
        <v>254</v>
      </c>
      <c r="X14" s="65" t="s">
        <v>293</v>
      </c>
      <c r="Y14" s="35" t="s">
        <v>299</v>
      </c>
      <c r="Z14" s="35" t="s">
        <v>300</v>
      </c>
      <c r="AA14" s="35" t="s">
        <v>210</v>
      </c>
    </row>
    <row r="15" spans="1:27" ht="55.05" customHeight="1">
      <c r="A15" s="462"/>
      <c r="B15" s="346">
        <v>3</v>
      </c>
      <c r="C15" s="364" t="s">
        <v>50</v>
      </c>
      <c r="D15" s="368"/>
      <c r="E15" s="359"/>
      <c r="F15" s="380" t="s">
        <v>141</v>
      </c>
      <c r="G15" s="379" t="s">
        <v>168</v>
      </c>
      <c r="H15" s="380">
        <v>2</v>
      </c>
      <c r="I15" s="379" t="s">
        <v>65</v>
      </c>
      <c r="J15" s="59" t="s">
        <v>458</v>
      </c>
      <c r="K15" s="14" t="s">
        <v>250</v>
      </c>
      <c r="L15" s="379" t="s">
        <v>66</v>
      </c>
      <c r="M15" s="2" t="s">
        <v>198</v>
      </c>
      <c r="N15" s="3" t="s">
        <v>197</v>
      </c>
      <c r="O15" s="3" t="s">
        <v>197</v>
      </c>
      <c r="P15" s="3" t="s">
        <v>197</v>
      </c>
      <c r="Q15" s="379" t="s">
        <v>67</v>
      </c>
      <c r="R15" s="2">
        <v>10</v>
      </c>
      <c r="S15" s="3">
        <v>2</v>
      </c>
      <c r="T15" s="4">
        <v>1</v>
      </c>
      <c r="U15" s="31">
        <f t="shared" ref="U15:U16" si="1">T15*S15*R15</f>
        <v>20</v>
      </c>
      <c r="V15" s="35" t="s">
        <v>401</v>
      </c>
      <c r="W15" s="35" t="s">
        <v>202</v>
      </c>
      <c r="X15" s="65" t="s">
        <v>274</v>
      </c>
      <c r="Y15" s="35" t="s">
        <v>393</v>
      </c>
      <c r="Z15" s="35" t="s">
        <v>331</v>
      </c>
      <c r="AA15" s="35" t="s">
        <v>407</v>
      </c>
    </row>
    <row r="16" spans="1:27" ht="55.05" customHeight="1">
      <c r="A16" s="462"/>
      <c r="B16" s="346"/>
      <c r="C16" s="366"/>
      <c r="D16" s="368"/>
      <c r="E16" s="359"/>
      <c r="F16" s="383"/>
      <c r="G16" s="359"/>
      <c r="H16" s="383"/>
      <c r="I16" s="359"/>
      <c r="J16" s="59" t="s">
        <v>459</v>
      </c>
      <c r="K16" s="14" t="s">
        <v>158</v>
      </c>
      <c r="L16" s="359"/>
      <c r="M16" s="2" t="s">
        <v>198</v>
      </c>
      <c r="N16" s="3" t="s">
        <v>197</v>
      </c>
      <c r="O16" s="3" t="s">
        <v>197</v>
      </c>
      <c r="P16" s="3" t="s">
        <v>197</v>
      </c>
      <c r="Q16" s="359"/>
      <c r="R16" s="2">
        <v>10</v>
      </c>
      <c r="S16" s="3">
        <v>2</v>
      </c>
      <c r="T16" s="4">
        <v>1</v>
      </c>
      <c r="U16" s="31">
        <f t="shared" si="1"/>
        <v>20</v>
      </c>
      <c r="V16" s="35" t="s">
        <v>201</v>
      </c>
      <c r="W16" s="35" t="s">
        <v>202</v>
      </c>
      <c r="X16" s="65" t="s">
        <v>274</v>
      </c>
      <c r="Y16" s="35" t="s">
        <v>327</v>
      </c>
      <c r="Z16" s="35" t="s">
        <v>286</v>
      </c>
      <c r="AA16" s="35" t="s">
        <v>407</v>
      </c>
    </row>
    <row r="17" spans="1:27" ht="55.05" customHeight="1" thickBot="1">
      <c r="A17" s="463"/>
      <c r="B17" s="346"/>
      <c r="C17" s="365"/>
      <c r="D17" s="369"/>
      <c r="E17" s="360"/>
      <c r="F17" s="382"/>
      <c r="G17" s="360"/>
      <c r="H17" s="382"/>
      <c r="I17" s="360"/>
      <c r="J17" s="21" t="s">
        <v>460</v>
      </c>
      <c r="K17" s="22" t="s">
        <v>249</v>
      </c>
      <c r="L17" s="360"/>
      <c r="M17" s="17" t="s">
        <v>198</v>
      </c>
      <c r="N17" s="18" t="s">
        <v>197</v>
      </c>
      <c r="O17" s="18" t="s">
        <v>197</v>
      </c>
      <c r="P17" s="18" t="s">
        <v>197</v>
      </c>
      <c r="Q17" s="360"/>
      <c r="R17" s="17">
        <v>10</v>
      </c>
      <c r="S17" s="18">
        <v>2</v>
      </c>
      <c r="T17" s="19">
        <v>1</v>
      </c>
      <c r="U17" s="34">
        <f t="shared" si="0"/>
        <v>20</v>
      </c>
      <c r="V17" s="35" t="s">
        <v>203</v>
      </c>
      <c r="W17" s="35" t="s">
        <v>202</v>
      </c>
      <c r="X17" s="65" t="s">
        <v>314</v>
      </c>
      <c r="Y17" s="35" t="s">
        <v>329</v>
      </c>
      <c r="Z17" s="35" t="s">
        <v>330</v>
      </c>
      <c r="AA17" s="35" t="s">
        <v>379</v>
      </c>
    </row>
    <row r="18" spans="1:27" ht="55.05" customHeight="1">
      <c r="A18" s="426" t="s">
        <v>21</v>
      </c>
      <c r="B18" s="346">
        <v>4</v>
      </c>
      <c r="C18" s="364" t="s">
        <v>51</v>
      </c>
      <c r="D18" s="420">
        <v>2</v>
      </c>
      <c r="E18" s="358" t="s">
        <v>162</v>
      </c>
      <c r="F18" s="384" t="s">
        <v>131</v>
      </c>
      <c r="G18" s="358" t="s">
        <v>169</v>
      </c>
      <c r="H18" s="384">
        <v>1</v>
      </c>
      <c r="I18" s="358" t="s">
        <v>138</v>
      </c>
      <c r="J18" s="58" t="s">
        <v>461</v>
      </c>
      <c r="K18" s="20" t="s">
        <v>140</v>
      </c>
      <c r="L18" s="358" t="s">
        <v>68</v>
      </c>
      <c r="M18" s="5" t="s">
        <v>198</v>
      </c>
      <c r="N18" s="6" t="s">
        <v>198</v>
      </c>
      <c r="O18" s="6" t="s">
        <v>197</v>
      </c>
      <c r="P18" s="6" t="s">
        <v>197</v>
      </c>
      <c r="Q18" s="358" t="s">
        <v>69</v>
      </c>
      <c r="R18" s="5">
        <v>2</v>
      </c>
      <c r="S18" s="6">
        <v>1</v>
      </c>
      <c r="T18" s="7">
        <v>1</v>
      </c>
      <c r="U18" s="32">
        <f t="shared" si="0"/>
        <v>2</v>
      </c>
      <c r="V18" s="347" t="s">
        <v>201</v>
      </c>
      <c r="W18" s="347" t="s">
        <v>202</v>
      </c>
      <c r="X18" s="346" t="s">
        <v>314</v>
      </c>
      <c r="Y18" s="347" t="s">
        <v>324</v>
      </c>
      <c r="Z18" s="347" t="s">
        <v>325</v>
      </c>
      <c r="AA18" s="347" t="s">
        <v>379</v>
      </c>
    </row>
    <row r="19" spans="1:27" ht="55.05" customHeight="1">
      <c r="A19" s="427"/>
      <c r="B19" s="346"/>
      <c r="C19" s="366"/>
      <c r="D19" s="421"/>
      <c r="E19" s="359"/>
      <c r="F19" s="383"/>
      <c r="G19" s="359"/>
      <c r="H19" s="383"/>
      <c r="I19" s="359"/>
      <c r="J19" s="59" t="s">
        <v>462</v>
      </c>
      <c r="K19" s="14" t="s">
        <v>139</v>
      </c>
      <c r="L19" s="359"/>
      <c r="M19" s="2" t="s">
        <v>198</v>
      </c>
      <c r="N19" s="3" t="s">
        <v>198</v>
      </c>
      <c r="O19" s="3" t="s">
        <v>197</v>
      </c>
      <c r="P19" s="3" t="s">
        <v>197</v>
      </c>
      <c r="Q19" s="359"/>
      <c r="R19" s="2">
        <v>2</v>
      </c>
      <c r="S19" s="3">
        <v>1</v>
      </c>
      <c r="T19" s="4">
        <v>1</v>
      </c>
      <c r="U19" s="31">
        <f t="shared" ref="U19:U20" si="2">T19*S19*R19</f>
        <v>2</v>
      </c>
      <c r="V19" s="347"/>
      <c r="W19" s="347"/>
      <c r="X19" s="346"/>
      <c r="Y19" s="347"/>
      <c r="Z19" s="347"/>
      <c r="AA19" s="347"/>
    </row>
    <row r="20" spans="1:27" ht="55.05" customHeight="1" thickBot="1">
      <c r="A20" s="427"/>
      <c r="B20" s="346"/>
      <c r="C20" s="365"/>
      <c r="D20" s="421"/>
      <c r="E20" s="359"/>
      <c r="F20" s="381"/>
      <c r="G20" s="363"/>
      <c r="H20" s="381"/>
      <c r="I20" s="363"/>
      <c r="J20" s="59" t="s">
        <v>463</v>
      </c>
      <c r="K20" s="14" t="s">
        <v>134</v>
      </c>
      <c r="L20" s="363"/>
      <c r="M20" s="2" t="s">
        <v>198</v>
      </c>
      <c r="N20" s="3" t="s">
        <v>198</v>
      </c>
      <c r="O20" s="3" t="s">
        <v>197</v>
      </c>
      <c r="P20" s="3" t="s">
        <v>197</v>
      </c>
      <c r="Q20" s="363"/>
      <c r="R20" s="2">
        <v>2</v>
      </c>
      <c r="S20" s="3">
        <v>1</v>
      </c>
      <c r="T20" s="4">
        <v>5</v>
      </c>
      <c r="U20" s="31">
        <f t="shared" si="2"/>
        <v>10</v>
      </c>
      <c r="V20" s="347"/>
      <c r="W20" s="347"/>
      <c r="X20" s="346"/>
      <c r="Y20" s="347"/>
      <c r="Z20" s="347"/>
      <c r="AA20" s="347"/>
    </row>
    <row r="21" spans="1:27" ht="55.05" customHeight="1">
      <c r="A21" s="427"/>
      <c r="B21" s="453">
        <v>5</v>
      </c>
      <c r="C21" s="364" t="s">
        <v>29</v>
      </c>
      <c r="D21" s="421"/>
      <c r="E21" s="359"/>
      <c r="F21" s="380" t="s">
        <v>135</v>
      </c>
      <c r="G21" s="379" t="s">
        <v>170</v>
      </c>
      <c r="H21" s="380">
        <v>2</v>
      </c>
      <c r="I21" s="379" t="s">
        <v>58</v>
      </c>
      <c r="J21" s="59" t="s">
        <v>464</v>
      </c>
      <c r="K21" s="14" t="s">
        <v>140</v>
      </c>
      <c r="L21" s="379" t="s">
        <v>71</v>
      </c>
      <c r="M21" s="2" t="s">
        <v>198</v>
      </c>
      <c r="N21" s="3" t="s">
        <v>197</v>
      </c>
      <c r="O21" s="3" t="s">
        <v>197</v>
      </c>
      <c r="P21" s="3" t="s">
        <v>197</v>
      </c>
      <c r="Q21" s="379" t="s">
        <v>72</v>
      </c>
      <c r="R21" s="2">
        <v>7</v>
      </c>
      <c r="S21" s="3">
        <v>4</v>
      </c>
      <c r="T21" s="4">
        <v>2</v>
      </c>
      <c r="U21" s="31">
        <f t="shared" si="0"/>
        <v>56</v>
      </c>
      <c r="V21" s="35" t="s">
        <v>201</v>
      </c>
      <c r="W21" s="35" t="s">
        <v>202</v>
      </c>
      <c r="X21" s="65" t="s">
        <v>274</v>
      </c>
      <c r="Y21" s="35" t="s">
        <v>285</v>
      </c>
      <c r="Z21" s="35" t="s">
        <v>284</v>
      </c>
      <c r="AA21" s="35" t="s">
        <v>407</v>
      </c>
    </row>
    <row r="22" spans="1:27" ht="55.05" customHeight="1">
      <c r="A22" s="427"/>
      <c r="B22" s="454"/>
      <c r="C22" s="366"/>
      <c r="D22" s="421"/>
      <c r="E22" s="359"/>
      <c r="F22" s="383"/>
      <c r="G22" s="359"/>
      <c r="H22" s="383"/>
      <c r="I22" s="359"/>
      <c r="J22" s="59" t="s">
        <v>465</v>
      </c>
      <c r="K22" s="14" t="s">
        <v>144</v>
      </c>
      <c r="L22" s="359"/>
      <c r="M22" s="2" t="s">
        <v>198</v>
      </c>
      <c r="N22" s="3" t="s">
        <v>197</v>
      </c>
      <c r="O22" s="3" t="s">
        <v>197</v>
      </c>
      <c r="P22" s="3" t="s">
        <v>197</v>
      </c>
      <c r="Q22" s="359"/>
      <c r="R22" s="2">
        <v>7</v>
      </c>
      <c r="S22" s="3">
        <v>4</v>
      </c>
      <c r="T22" s="4">
        <v>1</v>
      </c>
      <c r="U22" s="31">
        <f t="shared" ref="U22:U23" si="3">T22*S22*R22</f>
        <v>28</v>
      </c>
      <c r="V22" s="35" t="s">
        <v>201</v>
      </c>
      <c r="W22" s="35" t="s">
        <v>202</v>
      </c>
      <c r="X22" s="65" t="s">
        <v>293</v>
      </c>
      <c r="Y22" s="35" t="s">
        <v>301</v>
      </c>
      <c r="Z22" s="35" t="s">
        <v>302</v>
      </c>
      <c r="AA22" s="35" t="s">
        <v>407</v>
      </c>
    </row>
    <row r="23" spans="1:27" ht="55.05" customHeight="1" thickBot="1">
      <c r="A23" s="427"/>
      <c r="B23" s="455"/>
      <c r="C23" s="365"/>
      <c r="D23" s="421"/>
      <c r="E23" s="359"/>
      <c r="F23" s="381"/>
      <c r="G23" s="363"/>
      <c r="H23" s="381"/>
      <c r="I23" s="363"/>
      <c r="J23" s="59" t="s">
        <v>466</v>
      </c>
      <c r="K23" s="14" t="s">
        <v>280</v>
      </c>
      <c r="L23" s="363"/>
      <c r="M23" s="2" t="s">
        <v>198</v>
      </c>
      <c r="N23" s="3" t="s">
        <v>197</v>
      </c>
      <c r="O23" s="3" t="s">
        <v>197</v>
      </c>
      <c r="P23" s="3" t="s">
        <v>197</v>
      </c>
      <c r="Q23" s="363"/>
      <c r="R23" s="2">
        <v>7</v>
      </c>
      <c r="S23" s="3">
        <v>4</v>
      </c>
      <c r="T23" s="4">
        <v>1</v>
      </c>
      <c r="U23" s="31">
        <f t="shared" si="3"/>
        <v>28</v>
      </c>
      <c r="V23" s="35" t="s">
        <v>201</v>
      </c>
      <c r="W23" s="35" t="s">
        <v>202</v>
      </c>
      <c r="X23" s="65" t="s">
        <v>274</v>
      </c>
      <c r="Y23" s="35" t="s">
        <v>278</v>
      </c>
      <c r="Z23" s="35" t="s">
        <v>279</v>
      </c>
      <c r="AA23" s="35" t="s">
        <v>407</v>
      </c>
    </row>
    <row r="24" spans="1:27" ht="55.05" customHeight="1">
      <c r="A24" s="427"/>
      <c r="B24" s="346">
        <v>6</v>
      </c>
      <c r="C24" s="364" t="s">
        <v>30</v>
      </c>
      <c r="D24" s="421"/>
      <c r="E24" s="359"/>
      <c r="F24" s="380" t="s">
        <v>141</v>
      </c>
      <c r="G24" s="379" t="s">
        <v>172</v>
      </c>
      <c r="H24" s="380">
        <v>3</v>
      </c>
      <c r="I24" s="379" t="s">
        <v>136</v>
      </c>
      <c r="J24" s="59" t="s">
        <v>467</v>
      </c>
      <c r="K24" s="14" t="s">
        <v>140</v>
      </c>
      <c r="L24" s="379" t="s">
        <v>74</v>
      </c>
      <c r="M24" s="2" t="s">
        <v>198</v>
      </c>
      <c r="N24" s="3" t="s">
        <v>197</v>
      </c>
      <c r="O24" s="3" t="s">
        <v>197</v>
      </c>
      <c r="P24" s="3" t="s">
        <v>197</v>
      </c>
      <c r="Q24" s="379" t="s">
        <v>75</v>
      </c>
      <c r="R24" s="2">
        <v>10</v>
      </c>
      <c r="S24" s="3">
        <v>4</v>
      </c>
      <c r="T24" s="4">
        <v>5</v>
      </c>
      <c r="U24" s="31">
        <f t="shared" si="0"/>
        <v>200</v>
      </c>
      <c r="V24" s="35" t="s">
        <v>201</v>
      </c>
      <c r="W24" s="35" t="s">
        <v>202</v>
      </c>
      <c r="X24" s="65" t="s">
        <v>293</v>
      </c>
      <c r="Y24" s="35" t="s">
        <v>337</v>
      </c>
      <c r="Z24" s="35" t="s">
        <v>284</v>
      </c>
      <c r="AA24" s="35" t="s">
        <v>407</v>
      </c>
    </row>
    <row r="25" spans="1:27" ht="55.05" customHeight="1" thickBot="1">
      <c r="A25" s="427"/>
      <c r="B25" s="346"/>
      <c r="C25" s="365"/>
      <c r="D25" s="421"/>
      <c r="E25" s="359"/>
      <c r="F25" s="381"/>
      <c r="G25" s="363"/>
      <c r="H25" s="381"/>
      <c r="I25" s="363"/>
      <c r="J25" s="59" t="s">
        <v>468</v>
      </c>
      <c r="K25" s="14" t="s">
        <v>144</v>
      </c>
      <c r="L25" s="363"/>
      <c r="M25" s="2" t="s">
        <v>198</v>
      </c>
      <c r="N25" s="3" t="s">
        <v>197</v>
      </c>
      <c r="O25" s="3" t="s">
        <v>197</v>
      </c>
      <c r="P25" s="3" t="s">
        <v>197</v>
      </c>
      <c r="Q25" s="363"/>
      <c r="R25" s="2">
        <v>10</v>
      </c>
      <c r="S25" s="3">
        <v>4</v>
      </c>
      <c r="T25" s="4">
        <v>5</v>
      </c>
      <c r="U25" s="31">
        <f t="shared" ref="U25" si="4">T25*S25*R25</f>
        <v>200</v>
      </c>
      <c r="V25" s="35" t="s">
        <v>401</v>
      </c>
      <c r="W25" s="35" t="s">
        <v>202</v>
      </c>
      <c r="X25" s="65" t="s">
        <v>274</v>
      </c>
      <c r="Y25" s="35" t="s">
        <v>400</v>
      </c>
      <c r="Z25" s="35" t="s">
        <v>283</v>
      </c>
      <c r="AA25" s="35" t="s">
        <v>407</v>
      </c>
    </row>
    <row r="26" spans="1:27" ht="55.05" customHeight="1">
      <c r="A26" s="427"/>
      <c r="B26" s="346">
        <v>7</v>
      </c>
      <c r="C26" s="364" t="s">
        <v>25</v>
      </c>
      <c r="D26" s="421"/>
      <c r="E26" s="359"/>
      <c r="F26" s="380" t="s">
        <v>142</v>
      </c>
      <c r="G26" s="379" t="s">
        <v>171</v>
      </c>
      <c r="H26" s="380">
        <v>4</v>
      </c>
      <c r="I26" s="379" t="s">
        <v>76</v>
      </c>
      <c r="J26" s="59" t="s">
        <v>469</v>
      </c>
      <c r="K26" s="14" t="s">
        <v>140</v>
      </c>
      <c r="L26" s="379" t="s">
        <v>77</v>
      </c>
      <c r="M26" s="2" t="s">
        <v>198</v>
      </c>
      <c r="N26" s="3" t="s">
        <v>197</v>
      </c>
      <c r="O26" s="3" t="s">
        <v>197</v>
      </c>
      <c r="P26" s="3" t="s">
        <v>197</v>
      </c>
      <c r="Q26" s="379" t="s">
        <v>78</v>
      </c>
      <c r="R26" s="2">
        <v>5</v>
      </c>
      <c r="S26" s="3">
        <v>1</v>
      </c>
      <c r="T26" s="4">
        <v>2</v>
      </c>
      <c r="U26" s="31">
        <f t="shared" si="0"/>
        <v>10</v>
      </c>
      <c r="V26" s="347" t="s">
        <v>205</v>
      </c>
      <c r="W26" s="35" t="s">
        <v>202</v>
      </c>
      <c r="X26" s="346" t="s">
        <v>314</v>
      </c>
      <c r="Y26" s="347" t="s">
        <v>333</v>
      </c>
      <c r="Z26" s="347" t="s">
        <v>332</v>
      </c>
      <c r="AA26" s="347" t="s">
        <v>379</v>
      </c>
    </row>
    <row r="27" spans="1:27" ht="55.05" customHeight="1" thickBot="1">
      <c r="A27" s="427"/>
      <c r="B27" s="346"/>
      <c r="C27" s="365"/>
      <c r="D27" s="421"/>
      <c r="E27" s="359"/>
      <c r="F27" s="381"/>
      <c r="G27" s="363"/>
      <c r="H27" s="381"/>
      <c r="I27" s="363"/>
      <c r="J27" s="59" t="s">
        <v>470</v>
      </c>
      <c r="K27" s="14" t="s">
        <v>132</v>
      </c>
      <c r="L27" s="363"/>
      <c r="M27" s="2" t="s">
        <v>198</v>
      </c>
      <c r="N27" s="3" t="s">
        <v>197</v>
      </c>
      <c r="O27" s="3" t="s">
        <v>197</v>
      </c>
      <c r="P27" s="3" t="s">
        <v>197</v>
      </c>
      <c r="Q27" s="363"/>
      <c r="R27" s="2">
        <v>5</v>
      </c>
      <c r="S27" s="3">
        <v>1</v>
      </c>
      <c r="T27" s="4">
        <v>2</v>
      </c>
      <c r="U27" s="31">
        <f t="shared" ref="U27:U29" si="5">T27*S27*R27</f>
        <v>10</v>
      </c>
      <c r="V27" s="347"/>
      <c r="W27" s="35" t="s">
        <v>202</v>
      </c>
      <c r="X27" s="346"/>
      <c r="Y27" s="347"/>
      <c r="Z27" s="347"/>
      <c r="AA27" s="347"/>
    </row>
    <row r="28" spans="1:27" ht="55.05" customHeight="1">
      <c r="A28" s="427"/>
      <c r="B28" s="346">
        <v>8</v>
      </c>
      <c r="C28" s="364" t="s">
        <v>31</v>
      </c>
      <c r="D28" s="421"/>
      <c r="E28" s="359"/>
      <c r="F28" s="380" t="s">
        <v>143</v>
      </c>
      <c r="G28" s="379" t="s">
        <v>173</v>
      </c>
      <c r="H28" s="380">
        <v>5</v>
      </c>
      <c r="I28" s="379" t="s">
        <v>79</v>
      </c>
      <c r="J28" s="245" t="s">
        <v>471</v>
      </c>
      <c r="K28" s="14" t="s">
        <v>140</v>
      </c>
      <c r="L28" s="379" t="s">
        <v>80</v>
      </c>
      <c r="M28" s="2" t="s">
        <v>198</v>
      </c>
      <c r="N28" s="3" t="s">
        <v>197</v>
      </c>
      <c r="O28" s="3" t="s">
        <v>197</v>
      </c>
      <c r="P28" s="3" t="s">
        <v>197</v>
      </c>
      <c r="Q28" s="379" t="s">
        <v>81</v>
      </c>
      <c r="R28" s="2">
        <v>10</v>
      </c>
      <c r="S28" s="3">
        <v>1</v>
      </c>
      <c r="T28" s="4">
        <v>1</v>
      </c>
      <c r="U28" s="31">
        <f t="shared" si="5"/>
        <v>10</v>
      </c>
      <c r="V28" s="347" t="s">
        <v>204</v>
      </c>
      <c r="W28" s="35" t="s">
        <v>202</v>
      </c>
      <c r="X28" s="346" t="s">
        <v>293</v>
      </c>
      <c r="Y28" s="347" t="s">
        <v>404</v>
      </c>
      <c r="Z28" s="347" t="s">
        <v>321</v>
      </c>
      <c r="AA28" s="347" t="s">
        <v>408</v>
      </c>
    </row>
    <row r="29" spans="1:27" ht="55.05" customHeight="1" thickBot="1">
      <c r="A29" s="428"/>
      <c r="B29" s="346"/>
      <c r="C29" s="365"/>
      <c r="D29" s="422"/>
      <c r="E29" s="360"/>
      <c r="F29" s="382"/>
      <c r="G29" s="360"/>
      <c r="H29" s="382"/>
      <c r="I29" s="360"/>
      <c r="J29" s="245" t="s">
        <v>472</v>
      </c>
      <c r="K29" s="22" t="s">
        <v>144</v>
      </c>
      <c r="L29" s="360"/>
      <c r="M29" s="17" t="s">
        <v>198</v>
      </c>
      <c r="N29" s="18" t="s">
        <v>197</v>
      </c>
      <c r="O29" s="18" t="s">
        <v>197</v>
      </c>
      <c r="P29" s="18" t="s">
        <v>197</v>
      </c>
      <c r="Q29" s="360"/>
      <c r="R29" s="17">
        <v>10</v>
      </c>
      <c r="S29" s="18">
        <v>1</v>
      </c>
      <c r="T29" s="19">
        <v>1</v>
      </c>
      <c r="U29" s="34">
        <f t="shared" si="5"/>
        <v>10</v>
      </c>
      <c r="V29" s="347"/>
      <c r="W29" s="35" t="s">
        <v>202</v>
      </c>
      <c r="X29" s="346"/>
      <c r="Y29" s="347"/>
      <c r="Z29" s="347"/>
      <c r="AA29" s="347"/>
    </row>
    <row r="30" spans="1:27" ht="55.05" customHeight="1">
      <c r="A30" s="412" t="s">
        <v>22</v>
      </c>
      <c r="B30" s="346">
        <v>9</v>
      </c>
      <c r="C30" s="364" t="s">
        <v>32</v>
      </c>
      <c r="D30" s="423">
        <v>3</v>
      </c>
      <c r="E30" s="358" t="s">
        <v>163</v>
      </c>
      <c r="F30" s="384" t="s">
        <v>131</v>
      </c>
      <c r="G30" s="358" t="s">
        <v>174</v>
      </c>
      <c r="H30" s="384">
        <v>1</v>
      </c>
      <c r="I30" s="358" t="s">
        <v>158</v>
      </c>
      <c r="J30" s="58" t="s">
        <v>473</v>
      </c>
      <c r="K30" s="20" t="s">
        <v>140</v>
      </c>
      <c r="L30" s="358" t="s">
        <v>82</v>
      </c>
      <c r="M30" s="5" t="s">
        <v>198</v>
      </c>
      <c r="N30" s="6" t="s">
        <v>197</v>
      </c>
      <c r="O30" s="6" t="s">
        <v>197</v>
      </c>
      <c r="P30" s="6" t="s">
        <v>197</v>
      </c>
      <c r="Q30" s="358" t="s">
        <v>83</v>
      </c>
      <c r="R30" s="5">
        <v>9</v>
      </c>
      <c r="S30" s="6">
        <v>1</v>
      </c>
      <c r="T30" s="7">
        <v>7</v>
      </c>
      <c r="U30" s="32">
        <f t="shared" si="0"/>
        <v>63</v>
      </c>
      <c r="V30" s="347" t="s">
        <v>205</v>
      </c>
      <c r="W30" s="347" t="s">
        <v>202</v>
      </c>
      <c r="X30" s="346" t="s">
        <v>314</v>
      </c>
      <c r="Y30" s="347" t="s">
        <v>315</v>
      </c>
      <c r="Z30" s="347" t="s">
        <v>316</v>
      </c>
      <c r="AA30" s="347" t="s">
        <v>379</v>
      </c>
    </row>
    <row r="31" spans="1:27" ht="55.05" customHeight="1" thickBot="1">
      <c r="A31" s="413"/>
      <c r="B31" s="346"/>
      <c r="C31" s="365"/>
      <c r="D31" s="424"/>
      <c r="E31" s="359"/>
      <c r="F31" s="381"/>
      <c r="G31" s="363"/>
      <c r="H31" s="381"/>
      <c r="I31" s="363"/>
      <c r="J31" s="59" t="s">
        <v>474</v>
      </c>
      <c r="K31" s="14" t="s">
        <v>133</v>
      </c>
      <c r="L31" s="363"/>
      <c r="M31" s="2" t="s">
        <v>198</v>
      </c>
      <c r="N31" s="3" t="s">
        <v>197</v>
      </c>
      <c r="O31" s="3" t="s">
        <v>197</v>
      </c>
      <c r="P31" s="3" t="s">
        <v>197</v>
      </c>
      <c r="Q31" s="363"/>
      <c r="R31" s="2">
        <v>9</v>
      </c>
      <c r="S31" s="3">
        <v>1</v>
      </c>
      <c r="T31" s="4">
        <v>7</v>
      </c>
      <c r="U31" s="31">
        <f t="shared" ref="U31:U33" si="6">T31*S31*R31</f>
        <v>63</v>
      </c>
      <c r="V31" s="347"/>
      <c r="W31" s="347"/>
      <c r="X31" s="346"/>
      <c r="Y31" s="347"/>
      <c r="Z31" s="347"/>
      <c r="AA31" s="347"/>
    </row>
    <row r="32" spans="1:27" ht="55.05" customHeight="1">
      <c r="A32" s="413"/>
      <c r="B32" s="346">
        <v>10</v>
      </c>
      <c r="C32" s="364" t="s">
        <v>26</v>
      </c>
      <c r="D32" s="424"/>
      <c r="E32" s="359"/>
      <c r="F32" s="380" t="s">
        <v>135</v>
      </c>
      <c r="G32" s="379" t="s">
        <v>175</v>
      </c>
      <c r="H32" s="380">
        <v>2</v>
      </c>
      <c r="I32" s="379" t="s">
        <v>84</v>
      </c>
      <c r="J32" s="59" t="s">
        <v>475</v>
      </c>
      <c r="K32" s="14" t="s">
        <v>144</v>
      </c>
      <c r="L32" s="379" t="s">
        <v>85</v>
      </c>
      <c r="M32" s="2" t="s">
        <v>198</v>
      </c>
      <c r="N32" s="3" t="s">
        <v>197</v>
      </c>
      <c r="O32" s="3" t="s">
        <v>197</v>
      </c>
      <c r="P32" s="3" t="s">
        <v>197</v>
      </c>
      <c r="Q32" s="379" t="s">
        <v>86</v>
      </c>
      <c r="R32" s="2">
        <v>10</v>
      </c>
      <c r="S32" s="3">
        <v>3</v>
      </c>
      <c r="T32" s="4">
        <v>8</v>
      </c>
      <c r="U32" s="31">
        <f t="shared" si="6"/>
        <v>240</v>
      </c>
      <c r="V32" s="35" t="s">
        <v>256</v>
      </c>
      <c r="W32" s="35" t="s">
        <v>202</v>
      </c>
      <c r="X32" s="65" t="s">
        <v>293</v>
      </c>
      <c r="Y32" s="35" t="s">
        <v>403</v>
      </c>
      <c r="Z32" s="35" t="s">
        <v>292</v>
      </c>
      <c r="AA32" s="35" t="s">
        <v>408</v>
      </c>
    </row>
    <row r="33" spans="1:27" ht="55.05" customHeight="1" thickBot="1">
      <c r="A33" s="413"/>
      <c r="B33" s="346"/>
      <c r="C33" s="365"/>
      <c r="D33" s="424"/>
      <c r="E33" s="359"/>
      <c r="F33" s="381"/>
      <c r="G33" s="363"/>
      <c r="H33" s="381"/>
      <c r="I33" s="363"/>
      <c r="J33" s="59" t="s">
        <v>476</v>
      </c>
      <c r="K33" s="14" t="s">
        <v>134</v>
      </c>
      <c r="L33" s="363"/>
      <c r="M33" s="2" t="s">
        <v>198</v>
      </c>
      <c r="N33" s="3" t="s">
        <v>197</v>
      </c>
      <c r="O33" s="3" t="s">
        <v>197</v>
      </c>
      <c r="P33" s="3" t="s">
        <v>197</v>
      </c>
      <c r="Q33" s="363"/>
      <c r="R33" s="2">
        <v>10</v>
      </c>
      <c r="S33" s="3">
        <v>3</v>
      </c>
      <c r="T33" s="4">
        <v>8</v>
      </c>
      <c r="U33" s="31">
        <f t="shared" si="6"/>
        <v>240</v>
      </c>
      <c r="V33" s="35" t="s">
        <v>256</v>
      </c>
      <c r="W33" s="35" t="s">
        <v>202</v>
      </c>
      <c r="X33" s="65" t="s">
        <v>314</v>
      </c>
      <c r="Y33" s="35" t="s">
        <v>335</v>
      </c>
      <c r="Z33" s="35" t="s">
        <v>320</v>
      </c>
      <c r="AA33" s="35" t="s">
        <v>379</v>
      </c>
    </row>
    <row r="34" spans="1:27" ht="55.05" customHeight="1">
      <c r="A34" s="413"/>
      <c r="B34" s="346">
        <v>11</v>
      </c>
      <c r="C34" s="364" t="s">
        <v>27</v>
      </c>
      <c r="D34" s="424"/>
      <c r="E34" s="359"/>
      <c r="F34" s="380" t="s">
        <v>141</v>
      </c>
      <c r="G34" s="379" t="s">
        <v>176</v>
      </c>
      <c r="H34" s="380">
        <v>3</v>
      </c>
      <c r="I34" s="379" t="s">
        <v>159</v>
      </c>
      <c r="J34" s="59" t="s">
        <v>477</v>
      </c>
      <c r="K34" s="14" t="s">
        <v>140</v>
      </c>
      <c r="L34" s="379" t="s">
        <v>87</v>
      </c>
      <c r="M34" s="2" t="s">
        <v>198</v>
      </c>
      <c r="N34" s="3" t="s">
        <v>197</v>
      </c>
      <c r="O34" s="3" t="s">
        <v>197</v>
      </c>
      <c r="P34" s="3" t="s">
        <v>197</v>
      </c>
      <c r="Q34" s="379" t="s">
        <v>72</v>
      </c>
      <c r="R34" s="2">
        <v>10</v>
      </c>
      <c r="S34" s="3">
        <v>7</v>
      </c>
      <c r="T34" s="4">
        <v>7</v>
      </c>
      <c r="U34" s="33">
        <f t="shared" si="0"/>
        <v>490</v>
      </c>
      <c r="V34" s="35" t="s">
        <v>201</v>
      </c>
      <c r="W34" s="35" t="s">
        <v>254</v>
      </c>
      <c r="X34" s="65" t="s">
        <v>307</v>
      </c>
      <c r="Y34" s="35" t="s">
        <v>311</v>
      </c>
      <c r="Z34" s="35" t="s">
        <v>319</v>
      </c>
      <c r="AA34" s="35" t="s">
        <v>379</v>
      </c>
    </row>
    <row r="35" spans="1:27" ht="55.05" customHeight="1">
      <c r="A35" s="413"/>
      <c r="B35" s="346"/>
      <c r="C35" s="366"/>
      <c r="D35" s="424"/>
      <c r="E35" s="359"/>
      <c r="F35" s="383"/>
      <c r="G35" s="359"/>
      <c r="H35" s="383"/>
      <c r="I35" s="359"/>
      <c r="J35" s="59" t="s">
        <v>478</v>
      </c>
      <c r="K35" s="14" t="s">
        <v>253</v>
      </c>
      <c r="L35" s="359"/>
      <c r="M35" s="2" t="s">
        <v>198</v>
      </c>
      <c r="N35" s="3" t="s">
        <v>197</v>
      </c>
      <c r="O35" s="3" t="s">
        <v>197</v>
      </c>
      <c r="P35" s="3" t="s">
        <v>197</v>
      </c>
      <c r="Q35" s="359"/>
      <c r="R35" s="2">
        <v>10</v>
      </c>
      <c r="S35" s="3">
        <v>7</v>
      </c>
      <c r="T35" s="4">
        <v>7</v>
      </c>
      <c r="U35" s="33">
        <f t="shared" ref="U35:U36" si="7">T35*S35*R35</f>
        <v>490</v>
      </c>
      <c r="V35" s="35" t="s">
        <v>201</v>
      </c>
      <c r="W35" s="35" t="s">
        <v>202</v>
      </c>
      <c r="X35" s="65" t="s">
        <v>274</v>
      </c>
      <c r="Y35" s="35" t="s">
        <v>255</v>
      </c>
      <c r="Z35" s="35" t="s">
        <v>282</v>
      </c>
      <c r="AA35" s="35" t="s">
        <v>407</v>
      </c>
    </row>
    <row r="36" spans="1:27" ht="55.05" customHeight="1" thickBot="1">
      <c r="A36" s="413"/>
      <c r="B36" s="346"/>
      <c r="C36" s="365"/>
      <c r="D36" s="424"/>
      <c r="E36" s="359"/>
      <c r="F36" s="381"/>
      <c r="G36" s="363"/>
      <c r="H36" s="381"/>
      <c r="I36" s="363"/>
      <c r="J36" s="59" t="s">
        <v>479</v>
      </c>
      <c r="K36" s="14" t="s">
        <v>144</v>
      </c>
      <c r="L36" s="363"/>
      <c r="M36" s="2" t="s">
        <v>198</v>
      </c>
      <c r="N36" s="3" t="s">
        <v>197</v>
      </c>
      <c r="O36" s="3" t="s">
        <v>197</v>
      </c>
      <c r="P36" s="3" t="s">
        <v>197</v>
      </c>
      <c r="Q36" s="363"/>
      <c r="R36" s="2">
        <v>10</v>
      </c>
      <c r="S36" s="3">
        <v>7</v>
      </c>
      <c r="T36" s="4">
        <v>7</v>
      </c>
      <c r="U36" s="33">
        <f t="shared" si="7"/>
        <v>490</v>
      </c>
      <c r="V36" s="35" t="s">
        <v>401</v>
      </c>
      <c r="W36" s="35" t="s">
        <v>202</v>
      </c>
      <c r="X36" s="65" t="s">
        <v>307</v>
      </c>
      <c r="Y36" s="35" t="s">
        <v>317</v>
      </c>
      <c r="Z36" s="35" t="s">
        <v>318</v>
      </c>
      <c r="AA36" s="35" t="s">
        <v>379</v>
      </c>
    </row>
    <row r="37" spans="1:27" ht="55.05" customHeight="1" thickBot="1">
      <c r="A37" s="413"/>
      <c r="B37" s="65">
        <v>12</v>
      </c>
      <c r="C37" s="55" t="s">
        <v>52</v>
      </c>
      <c r="D37" s="424"/>
      <c r="E37" s="359"/>
      <c r="F37" s="62" t="s">
        <v>142</v>
      </c>
      <c r="G37" s="61" t="s">
        <v>177</v>
      </c>
      <c r="H37" s="62">
        <v>4</v>
      </c>
      <c r="I37" s="61" t="s">
        <v>160</v>
      </c>
      <c r="J37" s="59" t="s">
        <v>480</v>
      </c>
      <c r="K37" s="14" t="s">
        <v>133</v>
      </c>
      <c r="L37" s="24" t="s">
        <v>89</v>
      </c>
      <c r="M37" s="2" t="s">
        <v>198</v>
      </c>
      <c r="N37" s="3" t="s">
        <v>197</v>
      </c>
      <c r="O37" s="3" t="s">
        <v>197</v>
      </c>
      <c r="P37" s="3" t="s">
        <v>197</v>
      </c>
      <c r="Q37" s="24" t="s">
        <v>83</v>
      </c>
      <c r="R37" s="2">
        <v>9</v>
      </c>
      <c r="S37" s="3">
        <v>1</v>
      </c>
      <c r="T37" s="4">
        <v>7</v>
      </c>
      <c r="U37" s="31">
        <f t="shared" si="0"/>
        <v>63</v>
      </c>
      <c r="V37" s="35" t="s">
        <v>204</v>
      </c>
      <c r="W37" s="35" t="s">
        <v>202</v>
      </c>
      <c r="X37" s="65" t="s">
        <v>314</v>
      </c>
      <c r="Y37" s="35" t="s">
        <v>336</v>
      </c>
      <c r="Z37" s="35" t="s">
        <v>302</v>
      </c>
      <c r="AA37" s="35" t="s">
        <v>379</v>
      </c>
    </row>
    <row r="38" spans="1:27" ht="55.05" customHeight="1" thickBot="1">
      <c r="A38" s="63"/>
      <c r="B38" s="65">
        <v>13</v>
      </c>
      <c r="C38" s="13" t="s">
        <v>46</v>
      </c>
      <c r="D38" s="424"/>
      <c r="E38" s="359"/>
      <c r="F38" s="59" t="s">
        <v>143</v>
      </c>
      <c r="G38" s="28" t="s">
        <v>178</v>
      </c>
      <c r="H38" s="59">
        <v>5</v>
      </c>
      <c r="I38" s="28" t="s">
        <v>147</v>
      </c>
      <c r="J38" s="245" t="s">
        <v>481</v>
      </c>
      <c r="K38" s="14" t="s">
        <v>134</v>
      </c>
      <c r="L38" s="25" t="s">
        <v>90</v>
      </c>
      <c r="M38" s="2" t="s">
        <v>198</v>
      </c>
      <c r="N38" s="3" t="s">
        <v>197</v>
      </c>
      <c r="O38" s="3" t="s">
        <v>197</v>
      </c>
      <c r="P38" s="3" t="s">
        <v>197</v>
      </c>
      <c r="Q38" s="25" t="s">
        <v>91</v>
      </c>
      <c r="R38" s="2">
        <v>10</v>
      </c>
      <c r="S38" s="3">
        <v>7</v>
      </c>
      <c r="T38" s="4">
        <v>5</v>
      </c>
      <c r="U38" s="31">
        <f t="shared" si="0"/>
        <v>350</v>
      </c>
      <c r="V38" s="35" t="s">
        <v>401</v>
      </c>
      <c r="W38" s="35" t="s">
        <v>202</v>
      </c>
      <c r="X38" s="65" t="s">
        <v>288</v>
      </c>
      <c r="Y38" s="35" t="s">
        <v>289</v>
      </c>
      <c r="Z38" s="35" t="s">
        <v>287</v>
      </c>
      <c r="AA38" s="35" t="s">
        <v>407</v>
      </c>
    </row>
    <row r="39" spans="1:27" ht="55.05" customHeight="1" thickBot="1">
      <c r="A39" s="64"/>
      <c r="B39" s="65">
        <v>14</v>
      </c>
      <c r="C39" s="57" t="s">
        <v>47</v>
      </c>
      <c r="D39" s="425"/>
      <c r="E39" s="360"/>
      <c r="F39" s="21" t="s">
        <v>146</v>
      </c>
      <c r="G39" s="29" t="s">
        <v>179</v>
      </c>
      <c r="H39" s="21">
        <v>6</v>
      </c>
      <c r="I39" s="29" t="s">
        <v>92</v>
      </c>
      <c r="J39" s="21" t="s">
        <v>482</v>
      </c>
      <c r="K39" s="22" t="s">
        <v>145</v>
      </c>
      <c r="L39" s="26" t="s">
        <v>93</v>
      </c>
      <c r="M39" s="17" t="s">
        <v>198</v>
      </c>
      <c r="N39" s="18" t="s">
        <v>197</v>
      </c>
      <c r="O39" s="18" t="s">
        <v>197</v>
      </c>
      <c r="P39" s="18" t="s">
        <v>197</v>
      </c>
      <c r="Q39" s="26" t="s">
        <v>91</v>
      </c>
      <c r="R39" s="17">
        <v>3</v>
      </c>
      <c r="S39" s="18">
        <v>1</v>
      </c>
      <c r="T39" s="19">
        <v>7</v>
      </c>
      <c r="U39" s="34">
        <f t="shared" si="0"/>
        <v>21</v>
      </c>
      <c r="V39" s="35" t="s">
        <v>206</v>
      </c>
      <c r="W39" s="35" t="s">
        <v>202</v>
      </c>
      <c r="X39" s="65" t="s">
        <v>293</v>
      </c>
      <c r="Y39" s="35" t="s">
        <v>297</v>
      </c>
      <c r="Z39" s="35" t="s">
        <v>298</v>
      </c>
      <c r="AA39" s="35" t="s">
        <v>408</v>
      </c>
    </row>
    <row r="40" spans="1:27" ht="55.05" customHeight="1" thickBot="1">
      <c r="A40" s="417" t="s">
        <v>23</v>
      </c>
      <c r="B40" s="65">
        <v>15</v>
      </c>
      <c r="C40" s="13" t="s">
        <v>33</v>
      </c>
      <c r="D40" s="385">
        <v>4</v>
      </c>
      <c r="E40" s="358" t="s">
        <v>164</v>
      </c>
      <c r="F40" s="58" t="s">
        <v>131</v>
      </c>
      <c r="G40" s="30" t="s">
        <v>181</v>
      </c>
      <c r="H40" s="58">
        <v>1</v>
      </c>
      <c r="I40" s="30" t="s">
        <v>59</v>
      </c>
      <c r="J40" s="58" t="s">
        <v>483</v>
      </c>
      <c r="K40" s="20" t="s">
        <v>145</v>
      </c>
      <c r="L40" s="27" t="s">
        <v>94</v>
      </c>
      <c r="M40" s="5" t="s">
        <v>198</v>
      </c>
      <c r="N40" s="6" t="s">
        <v>197</v>
      </c>
      <c r="O40" s="6" t="s">
        <v>197</v>
      </c>
      <c r="P40" s="6" t="s">
        <v>197</v>
      </c>
      <c r="Q40" s="27" t="s">
        <v>91</v>
      </c>
      <c r="R40" s="5">
        <v>5</v>
      </c>
      <c r="S40" s="6">
        <v>1</v>
      </c>
      <c r="T40" s="7">
        <v>2</v>
      </c>
      <c r="U40" s="32">
        <f t="shared" si="0"/>
        <v>10</v>
      </c>
      <c r="V40" s="35" t="s">
        <v>206</v>
      </c>
      <c r="W40" s="35" t="s">
        <v>202</v>
      </c>
      <c r="X40" s="65" t="s">
        <v>293</v>
      </c>
      <c r="Y40" s="35" t="s">
        <v>297</v>
      </c>
      <c r="Z40" s="35" t="s">
        <v>298</v>
      </c>
      <c r="AA40" s="35" t="s">
        <v>408</v>
      </c>
    </row>
    <row r="41" spans="1:27" ht="55.05" customHeight="1" thickBot="1">
      <c r="A41" s="418"/>
      <c r="B41" s="65">
        <v>16</v>
      </c>
      <c r="C41" s="13" t="s">
        <v>34</v>
      </c>
      <c r="D41" s="386"/>
      <c r="E41" s="359"/>
      <c r="F41" s="59" t="s">
        <v>135</v>
      </c>
      <c r="G41" s="28" t="s">
        <v>180</v>
      </c>
      <c r="H41" s="59">
        <v>2</v>
      </c>
      <c r="I41" s="28" t="s">
        <v>95</v>
      </c>
      <c r="J41" s="59" t="s">
        <v>484</v>
      </c>
      <c r="K41" s="14" t="s">
        <v>148</v>
      </c>
      <c r="L41" s="25" t="s">
        <v>96</v>
      </c>
      <c r="M41" s="2" t="s">
        <v>198</v>
      </c>
      <c r="N41" s="3" t="s">
        <v>197</v>
      </c>
      <c r="O41" s="3" t="s">
        <v>197</v>
      </c>
      <c r="P41" s="3" t="s">
        <v>197</v>
      </c>
      <c r="Q41" s="25" t="s">
        <v>91</v>
      </c>
      <c r="R41" s="2">
        <v>5</v>
      </c>
      <c r="S41" s="3">
        <v>1</v>
      </c>
      <c r="T41" s="4">
        <v>2</v>
      </c>
      <c r="U41" s="31">
        <f t="shared" si="0"/>
        <v>10</v>
      </c>
      <c r="V41" s="35" t="s">
        <v>206</v>
      </c>
      <c r="W41" s="35" t="s">
        <v>202</v>
      </c>
      <c r="X41" s="65" t="s">
        <v>293</v>
      </c>
      <c r="Y41" s="35" t="s">
        <v>297</v>
      </c>
      <c r="Z41" s="35" t="s">
        <v>298</v>
      </c>
      <c r="AA41" s="35" t="s">
        <v>408</v>
      </c>
    </row>
    <row r="42" spans="1:27" ht="55.05" customHeight="1" thickBot="1">
      <c r="A42" s="418"/>
      <c r="B42" s="65">
        <v>17</v>
      </c>
      <c r="C42" s="56" t="s">
        <v>53</v>
      </c>
      <c r="D42" s="386"/>
      <c r="E42" s="359"/>
      <c r="F42" s="59" t="s">
        <v>141</v>
      </c>
      <c r="G42" s="28" t="s">
        <v>182</v>
      </c>
      <c r="H42" s="59">
        <v>3</v>
      </c>
      <c r="I42" s="28" t="s">
        <v>97</v>
      </c>
      <c r="J42" s="59" t="s">
        <v>485</v>
      </c>
      <c r="K42" s="14" t="s">
        <v>145</v>
      </c>
      <c r="L42" s="25" t="s">
        <v>98</v>
      </c>
      <c r="M42" s="2" t="s">
        <v>198</v>
      </c>
      <c r="N42" s="3" t="s">
        <v>197</v>
      </c>
      <c r="O42" s="3" t="s">
        <v>197</v>
      </c>
      <c r="P42" s="3" t="s">
        <v>197</v>
      </c>
      <c r="Q42" s="25" t="s">
        <v>99</v>
      </c>
      <c r="R42" s="2">
        <v>5</v>
      </c>
      <c r="S42" s="3">
        <v>1</v>
      </c>
      <c r="T42" s="4">
        <v>2</v>
      </c>
      <c r="U42" s="31">
        <f t="shared" si="0"/>
        <v>10</v>
      </c>
      <c r="V42" s="35" t="s">
        <v>206</v>
      </c>
      <c r="W42" s="35" t="s">
        <v>202</v>
      </c>
      <c r="X42" s="65" t="s">
        <v>293</v>
      </c>
      <c r="Y42" s="35" t="s">
        <v>297</v>
      </c>
      <c r="Z42" s="35" t="s">
        <v>298</v>
      </c>
      <c r="AA42" s="35" t="s">
        <v>408</v>
      </c>
    </row>
    <row r="43" spans="1:27" ht="54.6" customHeight="1" thickBot="1">
      <c r="A43" s="418"/>
      <c r="B43" s="65">
        <v>18</v>
      </c>
      <c r="C43" s="13" t="s">
        <v>35</v>
      </c>
      <c r="D43" s="386"/>
      <c r="E43" s="359"/>
      <c r="F43" s="59" t="s">
        <v>142</v>
      </c>
      <c r="G43" s="28" t="s">
        <v>183</v>
      </c>
      <c r="H43" s="59">
        <v>4</v>
      </c>
      <c r="I43" s="28" t="s">
        <v>65</v>
      </c>
      <c r="J43" s="59" t="s">
        <v>486</v>
      </c>
      <c r="K43" s="14" t="s">
        <v>156</v>
      </c>
      <c r="L43" s="25" t="s">
        <v>100</v>
      </c>
      <c r="M43" s="2" t="s">
        <v>198</v>
      </c>
      <c r="N43" s="3" t="s">
        <v>197</v>
      </c>
      <c r="O43" s="3" t="s">
        <v>197</v>
      </c>
      <c r="P43" s="3" t="s">
        <v>197</v>
      </c>
      <c r="Q43" s="25" t="s">
        <v>91</v>
      </c>
      <c r="R43" s="2">
        <v>5</v>
      </c>
      <c r="S43" s="3">
        <v>1</v>
      </c>
      <c r="T43" s="4">
        <v>2</v>
      </c>
      <c r="U43" s="31">
        <f t="shared" si="0"/>
        <v>10</v>
      </c>
      <c r="V43" s="35" t="s">
        <v>201</v>
      </c>
      <c r="W43" s="35" t="s">
        <v>202</v>
      </c>
      <c r="X43" s="65" t="s">
        <v>274</v>
      </c>
      <c r="Y43" s="35" t="s">
        <v>376</v>
      </c>
      <c r="Z43" s="35" t="s">
        <v>281</v>
      </c>
      <c r="AA43" s="35" t="s">
        <v>407</v>
      </c>
    </row>
    <row r="44" spans="1:27" ht="55.05" customHeight="1" thickBot="1">
      <c r="A44" s="418"/>
      <c r="B44" s="65">
        <v>19</v>
      </c>
      <c r="C44" s="56" t="s">
        <v>36</v>
      </c>
      <c r="D44" s="386"/>
      <c r="E44" s="359"/>
      <c r="F44" s="59" t="s">
        <v>143</v>
      </c>
      <c r="G44" s="28" t="s">
        <v>184</v>
      </c>
      <c r="H44" s="59">
        <v>5</v>
      </c>
      <c r="I44" s="28" t="s">
        <v>65</v>
      </c>
      <c r="J44" s="245" t="s">
        <v>487</v>
      </c>
      <c r="K44" s="14" t="s">
        <v>156</v>
      </c>
      <c r="L44" s="25" t="s">
        <v>90</v>
      </c>
      <c r="M44" s="2" t="s">
        <v>198</v>
      </c>
      <c r="N44" s="3" t="s">
        <v>197</v>
      </c>
      <c r="O44" s="3" t="s">
        <v>197</v>
      </c>
      <c r="P44" s="3" t="s">
        <v>197</v>
      </c>
      <c r="Q44" s="25" t="s">
        <v>91</v>
      </c>
      <c r="R44" s="2">
        <v>5</v>
      </c>
      <c r="S44" s="3">
        <v>1</v>
      </c>
      <c r="T44" s="4">
        <v>2</v>
      </c>
      <c r="U44" s="31">
        <f t="shared" si="0"/>
        <v>10</v>
      </c>
      <c r="V44" s="35" t="s">
        <v>201</v>
      </c>
      <c r="W44" s="35" t="s">
        <v>202</v>
      </c>
      <c r="X44" s="65" t="s">
        <v>274</v>
      </c>
      <c r="Y44" s="35" t="s">
        <v>272</v>
      </c>
      <c r="Z44" s="35" t="s">
        <v>273</v>
      </c>
      <c r="AA44" s="35" t="s">
        <v>407</v>
      </c>
    </row>
    <row r="45" spans="1:27" ht="55.05" customHeight="1" thickBot="1">
      <c r="A45" s="418"/>
      <c r="B45" s="65">
        <v>20</v>
      </c>
      <c r="C45" s="13" t="s">
        <v>54</v>
      </c>
      <c r="D45" s="386"/>
      <c r="E45" s="359"/>
      <c r="F45" s="59" t="s">
        <v>146</v>
      </c>
      <c r="G45" s="28" t="s">
        <v>185</v>
      </c>
      <c r="H45" s="59">
        <v>6</v>
      </c>
      <c r="I45" s="28" t="s">
        <v>102</v>
      </c>
      <c r="J45" s="59" t="s">
        <v>488</v>
      </c>
      <c r="K45" s="14" t="s">
        <v>145</v>
      </c>
      <c r="L45" s="25" t="s">
        <v>103</v>
      </c>
      <c r="M45" s="2" t="s">
        <v>198</v>
      </c>
      <c r="N45" s="3" t="s">
        <v>197</v>
      </c>
      <c r="O45" s="3" t="s">
        <v>197</v>
      </c>
      <c r="P45" s="3" t="s">
        <v>197</v>
      </c>
      <c r="Q45" s="25" t="s">
        <v>91</v>
      </c>
      <c r="R45" s="2">
        <v>5</v>
      </c>
      <c r="S45" s="3">
        <v>1</v>
      </c>
      <c r="T45" s="4">
        <v>2</v>
      </c>
      <c r="U45" s="31">
        <f t="shared" si="0"/>
        <v>10</v>
      </c>
      <c r="V45" s="35" t="s">
        <v>207</v>
      </c>
      <c r="W45" s="35" t="s">
        <v>202</v>
      </c>
      <c r="X45" s="65" t="s">
        <v>314</v>
      </c>
      <c r="Y45" s="35" t="s">
        <v>322</v>
      </c>
      <c r="Z45" s="35" t="s">
        <v>323</v>
      </c>
      <c r="AA45" s="35" t="s">
        <v>379</v>
      </c>
    </row>
    <row r="46" spans="1:27" ht="55.05" customHeight="1" thickBot="1">
      <c r="A46" s="418"/>
      <c r="B46" s="65">
        <v>21</v>
      </c>
      <c r="C46" s="13" t="s">
        <v>37</v>
      </c>
      <c r="D46" s="386"/>
      <c r="E46" s="359"/>
      <c r="F46" s="59" t="s">
        <v>150</v>
      </c>
      <c r="G46" s="28" t="s">
        <v>186</v>
      </c>
      <c r="H46" s="59">
        <v>7</v>
      </c>
      <c r="I46" s="28" t="s">
        <v>65</v>
      </c>
      <c r="J46" s="59" t="s">
        <v>489</v>
      </c>
      <c r="K46" s="14" t="s">
        <v>136</v>
      </c>
      <c r="L46" s="25" t="s">
        <v>104</v>
      </c>
      <c r="M46" s="2" t="s">
        <v>198</v>
      </c>
      <c r="N46" s="3" t="s">
        <v>197</v>
      </c>
      <c r="O46" s="3" t="s">
        <v>197</v>
      </c>
      <c r="P46" s="3" t="s">
        <v>197</v>
      </c>
      <c r="Q46" s="25" t="s">
        <v>105</v>
      </c>
      <c r="R46" s="2">
        <v>5</v>
      </c>
      <c r="S46" s="3">
        <v>1</v>
      </c>
      <c r="T46" s="4">
        <v>2</v>
      </c>
      <c r="U46" s="31">
        <f t="shared" si="0"/>
        <v>10</v>
      </c>
      <c r="V46" s="35" t="s">
        <v>206</v>
      </c>
      <c r="W46" s="35" t="s">
        <v>202</v>
      </c>
      <c r="X46" s="65" t="s">
        <v>293</v>
      </c>
      <c r="Y46" s="35" t="s">
        <v>297</v>
      </c>
      <c r="Z46" s="35" t="s">
        <v>298</v>
      </c>
      <c r="AA46" s="35" t="s">
        <v>408</v>
      </c>
    </row>
    <row r="47" spans="1:27" ht="55.05" customHeight="1" thickBot="1">
      <c r="A47" s="418"/>
      <c r="B47" s="65">
        <v>22</v>
      </c>
      <c r="C47" s="56" t="s">
        <v>38</v>
      </c>
      <c r="D47" s="386"/>
      <c r="E47" s="359"/>
      <c r="F47" s="59" t="s">
        <v>151</v>
      </c>
      <c r="G47" s="28" t="s">
        <v>187</v>
      </c>
      <c r="H47" s="59">
        <v>8</v>
      </c>
      <c r="I47" s="28" t="s">
        <v>107</v>
      </c>
      <c r="J47" s="59" t="s">
        <v>490</v>
      </c>
      <c r="K47" s="14" t="s">
        <v>157</v>
      </c>
      <c r="L47" s="25" t="s">
        <v>108</v>
      </c>
      <c r="M47" s="2" t="s">
        <v>198</v>
      </c>
      <c r="N47" s="3" t="s">
        <v>197</v>
      </c>
      <c r="O47" s="3" t="s">
        <v>197</v>
      </c>
      <c r="P47" s="3" t="s">
        <v>197</v>
      </c>
      <c r="Q47" s="25" t="s">
        <v>109</v>
      </c>
      <c r="R47" s="2">
        <v>5</v>
      </c>
      <c r="S47" s="3">
        <v>1</v>
      </c>
      <c r="T47" s="4">
        <v>2</v>
      </c>
      <c r="U47" s="31">
        <f t="shared" si="0"/>
        <v>10</v>
      </c>
      <c r="V47" s="35" t="s">
        <v>405</v>
      </c>
      <c r="W47" s="35" t="s">
        <v>202</v>
      </c>
      <c r="X47" s="65" t="s">
        <v>307</v>
      </c>
      <c r="Y47" s="35" t="s">
        <v>326</v>
      </c>
      <c r="Z47" s="35" t="s">
        <v>309</v>
      </c>
      <c r="AA47" s="35" t="s">
        <v>379</v>
      </c>
    </row>
    <row r="48" spans="1:27" ht="55.05" customHeight="1" thickBot="1">
      <c r="A48" s="418"/>
      <c r="B48" s="65">
        <v>23</v>
      </c>
      <c r="C48" s="13" t="s">
        <v>39</v>
      </c>
      <c r="D48" s="386"/>
      <c r="E48" s="359"/>
      <c r="F48" s="59" t="s">
        <v>152</v>
      </c>
      <c r="G48" s="28" t="s">
        <v>188</v>
      </c>
      <c r="H48" s="59">
        <v>9</v>
      </c>
      <c r="I48" s="28" t="s">
        <v>107</v>
      </c>
      <c r="J48" s="59" t="s">
        <v>491</v>
      </c>
      <c r="K48" s="14" t="s">
        <v>157</v>
      </c>
      <c r="L48" s="25" t="s">
        <v>111</v>
      </c>
      <c r="M48" s="2" t="s">
        <v>198</v>
      </c>
      <c r="N48" s="3" t="s">
        <v>197</v>
      </c>
      <c r="O48" s="3" t="s">
        <v>197</v>
      </c>
      <c r="P48" s="3" t="s">
        <v>197</v>
      </c>
      <c r="Q48" s="25" t="s">
        <v>112</v>
      </c>
      <c r="R48" s="2">
        <v>5</v>
      </c>
      <c r="S48" s="3">
        <v>1</v>
      </c>
      <c r="T48" s="4">
        <v>2</v>
      </c>
      <c r="U48" s="31">
        <f t="shared" si="0"/>
        <v>10</v>
      </c>
      <c r="V48" s="35" t="s">
        <v>405</v>
      </c>
      <c r="W48" s="35" t="s">
        <v>202</v>
      </c>
      <c r="X48" s="65" t="s">
        <v>307</v>
      </c>
      <c r="Y48" s="35" t="s">
        <v>310</v>
      </c>
      <c r="Z48" s="35" t="s">
        <v>309</v>
      </c>
      <c r="AA48" s="35" t="s">
        <v>379</v>
      </c>
    </row>
    <row r="49" spans="1:27" ht="55.05" customHeight="1">
      <c r="A49" s="418"/>
      <c r="B49" s="346">
        <v>24</v>
      </c>
      <c r="C49" s="364" t="s">
        <v>40</v>
      </c>
      <c r="D49" s="386"/>
      <c r="E49" s="359"/>
      <c r="F49" s="380" t="s">
        <v>153</v>
      </c>
      <c r="G49" s="379" t="s">
        <v>189</v>
      </c>
      <c r="H49" s="380">
        <v>10</v>
      </c>
      <c r="I49" s="379" t="s">
        <v>65</v>
      </c>
      <c r="J49" s="59" t="s">
        <v>492</v>
      </c>
      <c r="K49" s="14" t="s">
        <v>136</v>
      </c>
      <c r="L49" s="379" t="s">
        <v>114</v>
      </c>
      <c r="M49" s="2" t="s">
        <v>198</v>
      </c>
      <c r="N49" s="3" t="s">
        <v>197</v>
      </c>
      <c r="O49" s="3" t="s">
        <v>197</v>
      </c>
      <c r="P49" s="3" t="s">
        <v>197</v>
      </c>
      <c r="Q49" s="379" t="s">
        <v>91</v>
      </c>
      <c r="R49" s="2">
        <v>5</v>
      </c>
      <c r="S49" s="3">
        <v>1</v>
      </c>
      <c r="T49" s="4">
        <v>3</v>
      </c>
      <c r="U49" s="31">
        <f t="shared" si="0"/>
        <v>15</v>
      </c>
      <c r="V49" s="35" t="s">
        <v>201</v>
      </c>
      <c r="W49" s="35" t="s">
        <v>202</v>
      </c>
      <c r="X49" s="65" t="s">
        <v>274</v>
      </c>
      <c r="Y49" s="35" t="s">
        <v>271</v>
      </c>
      <c r="Z49" s="35" t="s">
        <v>406</v>
      </c>
      <c r="AA49" s="35" t="s">
        <v>407</v>
      </c>
    </row>
    <row r="50" spans="1:27" ht="55.05" customHeight="1" thickBot="1">
      <c r="A50" s="418"/>
      <c r="B50" s="346"/>
      <c r="C50" s="365"/>
      <c r="D50" s="386"/>
      <c r="E50" s="359"/>
      <c r="F50" s="381"/>
      <c r="G50" s="363"/>
      <c r="H50" s="381"/>
      <c r="I50" s="363"/>
      <c r="J50" s="59" t="s">
        <v>493</v>
      </c>
      <c r="K50" s="14" t="s">
        <v>137</v>
      </c>
      <c r="L50" s="363"/>
      <c r="M50" s="2" t="s">
        <v>198</v>
      </c>
      <c r="N50" s="3" t="s">
        <v>197</v>
      </c>
      <c r="O50" s="3" t="s">
        <v>197</v>
      </c>
      <c r="P50" s="3" t="s">
        <v>197</v>
      </c>
      <c r="Q50" s="363"/>
      <c r="R50" s="2">
        <v>5</v>
      </c>
      <c r="S50" s="3">
        <v>1</v>
      </c>
      <c r="T50" s="4">
        <v>3</v>
      </c>
      <c r="U50" s="31">
        <f t="shared" ref="U50" si="8">T50*S50*R50</f>
        <v>15</v>
      </c>
      <c r="V50" s="35" t="s">
        <v>206</v>
      </c>
      <c r="W50" s="35" t="s">
        <v>202</v>
      </c>
      <c r="X50" s="65" t="s">
        <v>293</v>
      </c>
      <c r="Y50" s="35" t="s">
        <v>295</v>
      </c>
      <c r="Z50" s="35" t="s">
        <v>296</v>
      </c>
      <c r="AA50" s="35" t="s">
        <v>408</v>
      </c>
    </row>
    <row r="51" spans="1:27" ht="55.05" customHeight="1">
      <c r="A51" s="418"/>
      <c r="B51" s="346">
        <v>25</v>
      </c>
      <c r="C51" s="364" t="s">
        <v>41</v>
      </c>
      <c r="D51" s="386"/>
      <c r="E51" s="359"/>
      <c r="F51" s="380" t="s">
        <v>154</v>
      </c>
      <c r="G51" s="379" t="s">
        <v>190</v>
      </c>
      <c r="H51" s="380">
        <v>11</v>
      </c>
      <c r="I51" s="379" t="s">
        <v>65</v>
      </c>
      <c r="J51" s="59" t="s">
        <v>494</v>
      </c>
      <c r="K51" s="14" t="s">
        <v>136</v>
      </c>
      <c r="L51" s="379" t="s">
        <v>100</v>
      </c>
      <c r="M51" s="2" t="s">
        <v>198</v>
      </c>
      <c r="N51" s="3" t="s">
        <v>197</v>
      </c>
      <c r="O51" s="3" t="s">
        <v>197</v>
      </c>
      <c r="P51" s="3" t="s">
        <v>197</v>
      </c>
      <c r="Q51" s="379" t="s">
        <v>91</v>
      </c>
      <c r="R51" s="2">
        <v>5</v>
      </c>
      <c r="S51" s="3">
        <v>1</v>
      </c>
      <c r="T51" s="4">
        <v>3</v>
      </c>
      <c r="U51" s="31">
        <f t="shared" si="0"/>
        <v>15</v>
      </c>
      <c r="V51" s="347" t="s">
        <v>206</v>
      </c>
      <c r="W51" s="35" t="s">
        <v>202</v>
      </c>
      <c r="X51" s="346" t="s">
        <v>293</v>
      </c>
      <c r="Y51" s="347" t="s">
        <v>295</v>
      </c>
      <c r="Z51" s="347" t="s">
        <v>296</v>
      </c>
      <c r="AA51" s="347" t="s">
        <v>408</v>
      </c>
    </row>
    <row r="52" spans="1:27" ht="55.05" customHeight="1" thickBot="1">
      <c r="A52" s="418"/>
      <c r="B52" s="346"/>
      <c r="C52" s="365"/>
      <c r="D52" s="386"/>
      <c r="E52" s="359"/>
      <c r="F52" s="381"/>
      <c r="G52" s="363"/>
      <c r="H52" s="381"/>
      <c r="I52" s="363"/>
      <c r="J52" s="59" t="s">
        <v>495</v>
      </c>
      <c r="K52" s="14" t="s">
        <v>144</v>
      </c>
      <c r="L52" s="363"/>
      <c r="M52" s="2" t="s">
        <v>198</v>
      </c>
      <c r="N52" s="3" t="s">
        <v>197</v>
      </c>
      <c r="O52" s="3" t="s">
        <v>197</v>
      </c>
      <c r="P52" s="3" t="s">
        <v>197</v>
      </c>
      <c r="Q52" s="363"/>
      <c r="R52" s="2">
        <v>5</v>
      </c>
      <c r="S52" s="3">
        <v>1</v>
      </c>
      <c r="T52" s="4">
        <v>3</v>
      </c>
      <c r="U52" s="31">
        <f t="shared" ref="U52:U53" si="9">T52*S52*R52</f>
        <v>15</v>
      </c>
      <c r="V52" s="347"/>
      <c r="W52" s="35" t="s">
        <v>202</v>
      </c>
      <c r="X52" s="346"/>
      <c r="Y52" s="347"/>
      <c r="Z52" s="347"/>
      <c r="AA52" s="347"/>
    </row>
    <row r="53" spans="1:27" ht="55.05" customHeight="1">
      <c r="A53" s="418"/>
      <c r="B53" s="346">
        <v>26</v>
      </c>
      <c r="C53" s="364" t="s">
        <v>42</v>
      </c>
      <c r="D53" s="386"/>
      <c r="E53" s="359"/>
      <c r="F53" s="380" t="s">
        <v>155</v>
      </c>
      <c r="G53" s="379" t="s">
        <v>251</v>
      </c>
      <c r="H53" s="380">
        <v>12</v>
      </c>
      <c r="I53" s="379" t="s">
        <v>65</v>
      </c>
      <c r="J53" s="59" t="s">
        <v>496</v>
      </c>
      <c r="K53" s="14" t="s">
        <v>136</v>
      </c>
      <c r="L53" s="379" t="s">
        <v>116</v>
      </c>
      <c r="M53" s="2" t="s">
        <v>198</v>
      </c>
      <c r="N53" s="3" t="s">
        <v>197</v>
      </c>
      <c r="O53" s="3" t="s">
        <v>197</v>
      </c>
      <c r="P53" s="3" t="s">
        <v>197</v>
      </c>
      <c r="Q53" s="379" t="s">
        <v>252</v>
      </c>
      <c r="R53" s="2">
        <v>10</v>
      </c>
      <c r="S53" s="3">
        <v>2</v>
      </c>
      <c r="T53" s="4">
        <v>7</v>
      </c>
      <c r="U53" s="31">
        <f t="shared" si="9"/>
        <v>140</v>
      </c>
      <c r="V53" s="35" t="s">
        <v>201</v>
      </c>
      <c r="W53" s="35" t="s">
        <v>202</v>
      </c>
      <c r="X53" s="65" t="s">
        <v>293</v>
      </c>
      <c r="Y53" s="35" t="s">
        <v>342</v>
      </c>
      <c r="Z53" s="35" t="s">
        <v>343</v>
      </c>
      <c r="AA53" s="35" t="s">
        <v>407</v>
      </c>
    </row>
    <row r="54" spans="1:27" ht="55.05" customHeight="1" thickBot="1">
      <c r="A54" s="419"/>
      <c r="B54" s="346"/>
      <c r="C54" s="365"/>
      <c r="D54" s="387"/>
      <c r="E54" s="360"/>
      <c r="F54" s="382"/>
      <c r="G54" s="360"/>
      <c r="H54" s="382"/>
      <c r="I54" s="360"/>
      <c r="J54" s="21" t="s">
        <v>497</v>
      </c>
      <c r="K54" s="22" t="s">
        <v>137</v>
      </c>
      <c r="L54" s="360"/>
      <c r="M54" s="17" t="s">
        <v>198</v>
      </c>
      <c r="N54" s="18" t="s">
        <v>197</v>
      </c>
      <c r="O54" s="18" t="s">
        <v>197</v>
      </c>
      <c r="P54" s="18" t="s">
        <v>197</v>
      </c>
      <c r="Q54" s="360"/>
      <c r="R54" s="17">
        <v>10</v>
      </c>
      <c r="S54" s="18">
        <v>2</v>
      </c>
      <c r="T54" s="19">
        <v>7</v>
      </c>
      <c r="U54" s="34">
        <f t="shared" si="0"/>
        <v>140</v>
      </c>
      <c r="V54" s="35" t="s">
        <v>203</v>
      </c>
      <c r="W54" s="35" t="s">
        <v>202</v>
      </c>
      <c r="X54" s="65" t="s">
        <v>293</v>
      </c>
      <c r="Y54" s="35" t="s">
        <v>308</v>
      </c>
      <c r="Z54" s="35" t="s">
        <v>306</v>
      </c>
      <c r="AA54" s="35" t="s">
        <v>407</v>
      </c>
    </row>
    <row r="55" spans="1:27" ht="55.05" customHeight="1">
      <c r="A55" s="414" t="s">
        <v>24</v>
      </c>
      <c r="B55" s="346">
        <v>27</v>
      </c>
      <c r="C55" s="364" t="s">
        <v>43</v>
      </c>
      <c r="D55" s="364">
        <v>5</v>
      </c>
      <c r="E55" s="358" t="s">
        <v>165</v>
      </c>
      <c r="F55" s="384" t="s">
        <v>131</v>
      </c>
      <c r="G55" s="358" t="s">
        <v>191</v>
      </c>
      <c r="H55" s="384">
        <v>1</v>
      </c>
      <c r="I55" s="358" t="s">
        <v>117</v>
      </c>
      <c r="J55" s="58" t="s">
        <v>498</v>
      </c>
      <c r="K55" s="20" t="s">
        <v>136</v>
      </c>
      <c r="L55" s="358" t="s">
        <v>118</v>
      </c>
      <c r="M55" s="5" t="s">
        <v>198</v>
      </c>
      <c r="N55" s="6" t="s">
        <v>197</v>
      </c>
      <c r="O55" s="6" t="s">
        <v>197</v>
      </c>
      <c r="P55" s="6" t="s">
        <v>197</v>
      </c>
      <c r="Q55" s="358" t="s">
        <v>91</v>
      </c>
      <c r="R55" s="5">
        <v>5</v>
      </c>
      <c r="S55" s="6">
        <v>1</v>
      </c>
      <c r="T55" s="7">
        <v>2</v>
      </c>
      <c r="U55" s="32">
        <f t="shared" si="0"/>
        <v>10</v>
      </c>
      <c r="V55" s="35" t="s">
        <v>201</v>
      </c>
      <c r="W55" s="35" t="s">
        <v>202</v>
      </c>
      <c r="X55" s="65" t="s">
        <v>274</v>
      </c>
      <c r="Y55" s="35" t="s">
        <v>269</v>
      </c>
      <c r="Z55" s="35" t="s">
        <v>270</v>
      </c>
      <c r="AA55" s="35" t="s">
        <v>407</v>
      </c>
    </row>
    <row r="56" spans="1:27" ht="55.05" customHeight="1" thickBot="1">
      <c r="A56" s="415"/>
      <c r="B56" s="346"/>
      <c r="C56" s="365"/>
      <c r="D56" s="366"/>
      <c r="E56" s="359"/>
      <c r="F56" s="381"/>
      <c r="G56" s="363"/>
      <c r="H56" s="381"/>
      <c r="I56" s="363"/>
      <c r="J56" s="59" t="s">
        <v>499</v>
      </c>
      <c r="K56" s="14" t="s">
        <v>134</v>
      </c>
      <c r="L56" s="363"/>
      <c r="M56" s="2" t="s">
        <v>198</v>
      </c>
      <c r="N56" s="3" t="s">
        <v>197</v>
      </c>
      <c r="O56" s="3" t="s">
        <v>197</v>
      </c>
      <c r="P56" s="3" t="s">
        <v>197</v>
      </c>
      <c r="Q56" s="363"/>
      <c r="R56" s="2">
        <v>5</v>
      </c>
      <c r="S56" s="3">
        <v>1</v>
      </c>
      <c r="T56" s="4">
        <v>2</v>
      </c>
      <c r="U56" s="31">
        <f t="shared" ref="U56" si="10">T56*S56*R56</f>
        <v>10</v>
      </c>
      <c r="V56" s="35" t="s">
        <v>401</v>
      </c>
      <c r="W56" s="35" t="s">
        <v>202</v>
      </c>
      <c r="X56" s="65" t="s">
        <v>293</v>
      </c>
      <c r="Y56" s="35" t="s">
        <v>338</v>
      </c>
      <c r="Z56" s="35" t="s">
        <v>339</v>
      </c>
      <c r="AA56" s="35" t="s">
        <v>407</v>
      </c>
    </row>
    <row r="57" spans="1:27" ht="55.05" customHeight="1">
      <c r="A57" s="415"/>
      <c r="B57" s="346">
        <v>28</v>
      </c>
      <c r="C57" s="364" t="s">
        <v>49</v>
      </c>
      <c r="D57" s="366"/>
      <c r="E57" s="359"/>
      <c r="F57" s="380" t="s">
        <v>135</v>
      </c>
      <c r="G57" s="379" t="s">
        <v>192</v>
      </c>
      <c r="H57" s="380">
        <v>2</v>
      </c>
      <c r="I57" s="379" t="s">
        <v>119</v>
      </c>
      <c r="J57" s="59" t="s">
        <v>500</v>
      </c>
      <c r="K57" s="14" t="s">
        <v>148</v>
      </c>
      <c r="L57" s="379" t="s">
        <v>120</v>
      </c>
      <c r="M57" s="2" t="s">
        <v>198</v>
      </c>
      <c r="N57" s="3" t="s">
        <v>197</v>
      </c>
      <c r="O57" s="3" t="s">
        <v>197</v>
      </c>
      <c r="P57" s="3" t="s">
        <v>197</v>
      </c>
      <c r="Q57" s="379" t="s">
        <v>121</v>
      </c>
      <c r="R57" s="2">
        <v>5</v>
      </c>
      <c r="S57" s="3">
        <v>1</v>
      </c>
      <c r="T57" s="4">
        <v>3</v>
      </c>
      <c r="U57" s="31">
        <f t="shared" si="0"/>
        <v>15</v>
      </c>
      <c r="V57" s="35" t="s">
        <v>201</v>
      </c>
      <c r="W57" s="35" t="s">
        <v>202</v>
      </c>
      <c r="X57" s="65" t="s">
        <v>288</v>
      </c>
      <c r="Y57" s="35" t="s">
        <v>334</v>
      </c>
      <c r="Z57" s="35" t="s">
        <v>402</v>
      </c>
      <c r="AA57" s="35" t="s">
        <v>407</v>
      </c>
    </row>
    <row r="58" spans="1:27" ht="55.05" customHeight="1" thickBot="1">
      <c r="A58" s="415"/>
      <c r="B58" s="346"/>
      <c r="C58" s="365"/>
      <c r="D58" s="366"/>
      <c r="E58" s="359"/>
      <c r="F58" s="381"/>
      <c r="G58" s="363"/>
      <c r="H58" s="381"/>
      <c r="I58" s="363"/>
      <c r="J58" s="59" t="s">
        <v>501</v>
      </c>
      <c r="K58" s="14" t="s">
        <v>134</v>
      </c>
      <c r="L58" s="363"/>
      <c r="M58" s="2" t="s">
        <v>198</v>
      </c>
      <c r="N58" s="3" t="s">
        <v>197</v>
      </c>
      <c r="O58" s="3" t="s">
        <v>197</v>
      </c>
      <c r="P58" s="3" t="s">
        <v>197</v>
      </c>
      <c r="Q58" s="363"/>
      <c r="R58" s="2">
        <v>5</v>
      </c>
      <c r="S58" s="3">
        <v>1</v>
      </c>
      <c r="T58" s="4">
        <v>3</v>
      </c>
      <c r="U58" s="31">
        <f t="shared" ref="U58" si="11">T58*S58*R58</f>
        <v>15</v>
      </c>
      <c r="V58" s="35" t="s">
        <v>203</v>
      </c>
      <c r="W58" s="35" t="s">
        <v>202</v>
      </c>
      <c r="X58" s="65" t="s">
        <v>307</v>
      </c>
      <c r="Y58" s="35" t="s">
        <v>312</v>
      </c>
      <c r="Z58" s="35" t="s">
        <v>313</v>
      </c>
      <c r="AA58" s="35" t="s">
        <v>379</v>
      </c>
    </row>
    <row r="59" spans="1:27" ht="55.05" customHeight="1">
      <c r="A59" s="415"/>
      <c r="B59" s="346">
        <v>29</v>
      </c>
      <c r="C59" s="364" t="s">
        <v>44</v>
      </c>
      <c r="D59" s="366"/>
      <c r="E59" s="359"/>
      <c r="F59" s="380" t="s">
        <v>141</v>
      </c>
      <c r="G59" s="379" t="s">
        <v>195</v>
      </c>
      <c r="H59" s="380">
        <v>3</v>
      </c>
      <c r="I59" s="379" t="s">
        <v>122</v>
      </c>
      <c r="J59" s="59" t="s">
        <v>502</v>
      </c>
      <c r="K59" s="14" t="s">
        <v>148</v>
      </c>
      <c r="L59" s="379" t="s">
        <v>123</v>
      </c>
      <c r="M59" s="2" t="s">
        <v>198</v>
      </c>
      <c r="N59" s="3" t="s">
        <v>197</v>
      </c>
      <c r="O59" s="3" t="s">
        <v>197</v>
      </c>
      <c r="P59" s="3" t="s">
        <v>197</v>
      </c>
      <c r="Q59" s="379" t="s">
        <v>124</v>
      </c>
      <c r="R59" s="2">
        <v>5</v>
      </c>
      <c r="S59" s="3">
        <v>7</v>
      </c>
      <c r="T59" s="4">
        <v>1</v>
      </c>
      <c r="U59" s="31">
        <f t="shared" ref="U59:U60" si="12">T59*S59*R59</f>
        <v>35</v>
      </c>
      <c r="V59" s="35" t="s">
        <v>201</v>
      </c>
      <c r="W59" s="35" t="s">
        <v>202</v>
      </c>
      <c r="X59" s="65" t="s">
        <v>274</v>
      </c>
      <c r="Y59" s="35" t="s">
        <v>290</v>
      </c>
      <c r="Z59" s="35" t="s">
        <v>291</v>
      </c>
      <c r="AA59" s="35" t="s">
        <v>407</v>
      </c>
    </row>
    <row r="60" spans="1:27" ht="55.05" customHeight="1" thickBot="1">
      <c r="A60" s="415"/>
      <c r="B60" s="346"/>
      <c r="C60" s="365"/>
      <c r="D60" s="366"/>
      <c r="E60" s="359"/>
      <c r="F60" s="381"/>
      <c r="G60" s="363"/>
      <c r="H60" s="381"/>
      <c r="I60" s="363"/>
      <c r="J60" s="59" t="s">
        <v>503</v>
      </c>
      <c r="K60" s="14" t="s">
        <v>149</v>
      </c>
      <c r="L60" s="363"/>
      <c r="M60" s="2" t="s">
        <v>198</v>
      </c>
      <c r="N60" s="3" t="s">
        <v>197</v>
      </c>
      <c r="O60" s="3" t="s">
        <v>197</v>
      </c>
      <c r="P60" s="3" t="s">
        <v>197</v>
      </c>
      <c r="Q60" s="363"/>
      <c r="R60" s="2">
        <v>5</v>
      </c>
      <c r="S60" s="3">
        <v>7</v>
      </c>
      <c r="T60" s="4">
        <v>1</v>
      </c>
      <c r="U60" s="31">
        <f t="shared" si="12"/>
        <v>35</v>
      </c>
      <c r="V60" s="35" t="s">
        <v>401</v>
      </c>
      <c r="W60" s="35" t="s">
        <v>202</v>
      </c>
      <c r="X60" s="65" t="s">
        <v>293</v>
      </c>
      <c r="Y60" s="35" t="s">
        <v>304</v>
      </c>
      <c r="Z60" s="35" t="s">
        <v>294</v>
      </c>
      <c r="AA60" s="35" t="s">
        <v>407</v>
      </c>
    </row>
    <row r="61" spans="1:27" ht="55.05" customHeight="1">
      <c r="A61" s="415"/>
      <c r="B61" s="346">
        <v>30</v>
      </c>
      <c r="C61" s="364" t="s">
        <v>45</v>
      </c>
      <c r="D61" s="366"/>
      <c r="E61" s="359"/>
      <c r="F61" s="380" t="s">
        <v>142</v>
      </c>
      <c r="G61" s="379" t="s">
        <v>193</v>
      </c>
      <c r="H61" s="380">
        <v>4</v>
      </c>
      <c r="I61" s="379" t="s">
        <v>125</v>
      </c>
      <c r="J61" s="59" t="s">
        <v>504</v>
      </c>
      <c r="K61" s="14" t="s">
        <v>148</v>
      </c>
      <c r="L61" s="379" t="s">
        <v>126</v>
      </c>
      <c r="M61" s="2" t="s">
        <v>198</v>
      </c>
      <c r="N61" s="3" t="s">
        <v>197</v>
      </c>
      <c r="O61" s="3" t="s">
        <v>197</v>
      </c>
      <c r="P61" s="3" t="s">
        <v>197</v>
      </c>
      <c r="Q61" s="379" t="s">
        <v>127</v>
      </c>
      <c r="R61" s="2">
        <v>5</v>
      </c>
      <c r="S61" s="3">
        <v>2</v>
      </c>
      <c r="T61" s="4">
        <v>2</v>
      </c>
      <c r="U61" s="31">
        <f t="shared" si="0"/>
        <v>20</v>
      </c>
      <c r="V61" s="347" t="s">
        <v>203</v>
      </c>
      <c r="W61" s="35" t="s">
        <v>202</v>
      </c>
      <c r="X61" s="346" t="s">
        <v>307</v>
      </c>
      <c r="Y61" s="347" t="s">
        <v>340</v>
      </c>
      <c r="Z61" s="347" t="s">
        <v>341</v>
      </c>
      <c r="AA61" s="347" t="s">
        <v>379</v>
      </c>
    </row>
    <row r="62" spans="1:27" ht="55.05" customHeight="1" thickBot="1">
      <c r="A62" s="415"/>
      <c r="B62" s="346"/>
      <c r="C62" s="365"/>
      <c r="D62" s="366"/>
      <c r="E62" s="359"/>
      <c r="F62" s="381"/>
      <c r="G62" s="363"/>
      <c r="H62" s="381"/>
      <c r="I62" s="363"/>
      <c r="J62" s="59" t="s">
        <v>505</v>
      </c>
      <c r="K62" s="14" t="s">
        <v>134</v>
      </c>
      <c r="L62" s="363"/>
      <c r="M62" s="2" t="s">
        <v>198</v>
      </c>
      <c r="N62" s="3" t="s">
        <v>197</v>
      </c>
      <c r="O62" s="3" t="s">
        <v>197</v>
      </c>
      <c r="P62" s="3" t="s">
        <v>197</v>
      </c>
      <c r="Q62" s="363"/>
      <c r="R62" s="2">
        <v>5</v>
      </c>
      <c r="S62" s="3">
        <v>2</v>
      </c>
      <c r="T62" s="4">
        <v>2</v>
      </c>
      <c r="U62" s="31">
        <f t="shared" ref="U62" si="13">T62*S62*R62</f>
        <v>20</v>
      </c>
      <c r="V62" s="347"/>
      <c r="W62" s="35" t="s">
        <v>202</v>
      </c>
      <c r="X62" s="346"/>
      <c r="Y62" s="347"/>
      <c r="Z62" s="347"/>
      <c r="AA62" s="347"/>
    </row>
    <row r="63" spans="1:27" ht="55.05" customHeight="1">
      <c r="A63" s="415"/>
      <c r="B63" s="346">
        <v>31</v>
      </c>
      <c r="C63" s="364" t="s">
        <v>48</v>
      </c>
      <c r="D63" s="366"/>
      <c r="E63" s="359"/>
      <c r="F63" s="380" t="s">
        <v>143</v>
      </c>
      <c r="G63" s="379" t="s">
        <v>194</v>
      </c>
      <c r="H63" s="380">
        <v>5</v>
      </c>
      <c r="I63" s="379" t="s">
        <v>128</v>
      </c>
      <c r="J63" s="245" t="s">
        <v>506</v>
      </c>
      <c r="K63" s="14" t="s">
        <v>148</v>
      </c>
      <c r="L63" s="379" t="s">
        <v>129</v>
      </c>
      <c r="M63" s="2" t="s">
        <v>198</v>
      </c>
      <c r="N63" s="3" t="s">
        <v>197</v>
      </c>
      <c r="O63" s="3" t="s">
        <v>197</v>
      </c>
      <c r="P63" s="3" t="s">
        <v>197</v>
      </c>
      <c r="Q63" s="379" t="s">
        <v>124</v>
      </c>
      <c r="R63" s="2">
        <v>10</v>
      </c>
      <c r="S63" s="3">
        <v>7</v>
      </c>
      <c r="T63" s="4">
        <v>2</v>
      </c>
      <c r="U63" s="31">
        <f t="shared" ref="U63" si="14">T63*S63*R63</f>
        <v>140</v>
      </c>
      <c r="V63" s="35" t="s">
        <v>201</v>
      </c>
      <c r="W63" s="35" t="s">
        <v>202</v>
      </c>
      <c r="X63" s="65" t="s">
        <v>274</v>
      </c>
      <c r="Y63" s="35" t="s">
        <v>275</v>
      </c>
      <c r="Z63" s="35" t="s">
        <v>276</v>
      </c>
      <c r="AA63" s="35" t="s">
        <v>407</v>
      </c>
    </row>
    <row r="64" spans="1:27" ht="55.05" customHeight="1" thickBot="1">
      <c r="A64" s="416"/>
      <c r="B64" s="346"/>
      <c r="C64" s="365"/>
      <c r="D64" s="365"/>
      <c r="E64" s="360"/>
      <c r="F64" s="382"/>
      <c r="G64" s="360"/>
      <c r="H64" s="382"/>
      <c r="I64" s="360"/>
      <c r="J64" s="246" t="s">
        <v>507</v>
      </c>
      <c r="K64" s="22" t="s">
        <v>149</v>
      </c>
      <c r="L64" s="360"/>
      <c r="M64" s="17" t="s">
        <v>198</v>
      </c>
      <c r="N64" s="18" t="s">
        <v>197</v>
      </c>
      <c r="O64" s="18" t="s">
        <v>197</v>
      </c>
      <c r="P64" s="18" t="s">
        <v>197</v>
      </c>
      <c r="Q64" s="360"/>
      <c r="R64" s="17">
        <v>10</v>
      </c>
      <c r="S64" s="18">
        <v>7</v>
      </c>
      <c r="T64" s="19">
        <v>2</v>
      </c>
      <c r="U64" s="34">
        <f t="shared" si="0"/>
        <v>140</v>
      </c>
      <c r="V64" s="35" t="s">
        <v>401</v>
      </c>
      <c r="W64" s="35" t="s">
        <v>202</v>
      </c>
      <c r="X64" s="65" t="s">
        <v>293</v>
      </c>
      <c r="Y64" s="35" t="s">
        <v>303</v>
      </c>
      <c r="Z64" s="35" t="s">
        <v>305</v>
      </c>
      <c r="AA64" s="35" t="s">
        <v>407</v>
      </c>
    </row>
    <row r="65" ht="29.4" customHeight="1"/>
  </sheetData>
  <mergeCells count="234">
    <mergeCell ref="L6:L8"/>
    <mergeCell ref="H6:K6"/>
    <mergeCell ref="A9:A17"/>
    <mergeCell ref="B9:B12"/>
    <mergeCell ref="B13:B14"/>
    <mergeCell ref="B15:B17"/>
    <mergeCell ref="L15:L17"/>
    <mergeCell ref="H9:H14"/>
    <mergeCell ref="L1:U5"/>
    <mergeCell ref="F9:F12"/>
    <mergeCell ref="B49:B50"/>
    <mergeCell ref="A40:A54"/>
    <mergeCell ref="D18:D29"/>
    <mergeCell ref="D30:D39"/>
    <mergeCell ref="H34:H36"/>
    <mergeCell ref="A18:A29"/>
    <mergeCell ref="C26:C27"/>
    <mergeCell ref="A1:K2"/>
    <mergeCell ref="G9:G12"/>
    <mergeCell ref="I15:I17"/>
    <mergeCell ref="H7:I8"/>
    <mergeCell ref="J7:K8"/>
    <mergeCell ref="F6:G8"/>
    <mergeCell ref="D6:E8"/>
    <mergeCell ref="B6:C8"/>
    <mergeCell ref="H28:H29"/>
    <mergeCell ref="H26:H27"/>
    <mergeCell ref="H32:H33"/>
    <mergeCell ref="B24:B25"/>
    <mergeCell ref="B26:B27"/>
    <mergeCell ref="B28:B29"/>
    <mergeCell ref="B30:B31"/>
    <mergeCell ref="B32:B33"/>
    <mergeCell ref="B21:B23"/>
    <mergeCell ref="X18:X20"/>
    <mergeCell ref="X26:X27"/>
    <mergeCell ref="X28:X29"/>
    <mergeCell ref="X30:X31"/>
    <mergeCell ref="L21:L23"/>
    <mergeCell ref="A30:A37"/>
    <mergeCell ref="D55:D64"/>
    <mergeCell ref="L24:L25"/>
    <mergeCell ref="E40:E54"/>
    <mergeCell ref="C57:C58"/>
    <mergeCell ref="C55:C56"/>
    <mergeCell ref="A55:A64"/>
    <mergeCell ref="G30:G31"/>
    <mergeCell ref="F32:F33"/>
    <mergeCell ref="C63:C64"/>
    <mergeCell ref="C61:C62"/>
    <mergeCell ref="B57:B58"/>
    <mergeCell ref="B59:B60"/>
    <mergeCell ref="B55:B56"/>
    <mergeCell ref="B63:B64"/>
    <mergeCell ref="B61:B62"/>
    <mergeCell ref="B34:B36"/>
    <mergeCell ref="X51:X52"/>
    <mergeCell ref="X61:X62"/>
    <mergeCell ref="H24:H25"/>
    <mergeCell ref="I28:I29"/>
    <mergeCell ref="Q30:Q31"/>
    <mergeCell ref="L53:L54"/>
    <mergeCell ref="V9:V12"/>
    <mergeCell ref="H59:H60"/>
    <mergeCell ref="I18:I20"/>
    <mergeCell ref="L26:L27"/>
    <mergeCell ref="H18:H20"/>
    <mergeCell ref="H15:H17"/>
    <mergeCell ref="L13:L14"/>
    <mergeCell ref="V18:V20"/>
    <mergeCell ref="V26:V27"/>
    <mergeCell ref="V28:V29"/>
    <mergeCell ref="V30:V31"/>
    <mergeCell ref="V51:V52"/>
    <mergeCell ref="Q24:Q25"/>
    <mergeCell ref="Q53:Q54"/>
    <mergeCell ref="AA6:AA8"/>
    <mergeCell ref="W7:W8"/>
    <mergeCell ref="V6:X6"/>
    <mergeCell ref="Q15:Q17"/>
    <mergeCell ref="M7:M8"/>
    <mergeCell ref="N7:N8"/>
    <mergeCell ref="V7:V8"/>
    <mergeCell ref="X7:X8"/>
    <mergeCell ref="Q7:Q8"/>
    <mergeCell ref="R6:U6"/>
    <mergeCell ref="U7:U8"/>
    <mergeCell ref="R7:R8"/>
    <mergeCell ref="S7:S8"/>
    <mergeCell ref="T7:T8"/>
    <mergeCell ref="Z6:Z8"/>
    <mergeCell ref="Y9:Y12"/>
    <mergeCell ref="AA9:AA12"/>
    <mergeCell ref="X9:X12"/>
    <mergeCell ref="Q13:Q14"/>
    <mergeCell ref="Z9:Z12"/>
    <mergeCell ref="M6:Q6"/>
    <mergeCell ref="O7:O8"/>
    <mergeCell ref="W9:W12"/>
    <mergeCell ref="Y18:Y20"/>
    <mergeCell ref="Q63:Q64"/>
    <mergeCell ref="Q49:Q50"/>
    <mergeCell ref="I61:I62"/>
    <mergeCell ref="L9:L12"/>
    <mergeCell ref="L28:L29"/>
    <mergeCell ref="Q32:Q33"/>
    <mergeCell ref="Q61:Q62"/>
    <mergeCell ref="L59:L60"/>
    <mergeCell ref="Q51:Q52"/>
    <mergeCell ref="L55:L56"/>
    <mergeCell ref="L57:L58"/>
    <mergeCell ref="Q55:Q56"/>
    <mergeCell ref="Q57:Q58"/>
    <mergeCell ref="I24:I25"/>
    <mergeCell ref="I26:I27"/>
    <mergeCell ref="Q21:Q23"/>
    <mergeCell ref="Q26:Q27"/>
    <mergeCell ref="Q28:Q29"/>
    <mergeCell ref="Q59:Q60"/>
    <mergeCell ref="L32:L33"/>
    <mergeCell ref="L30:L31"/>
    <mergeCell ref="Y30:Y31"/>
    <mergeCell ref="I9:I14"/>
    <mergeCell ref="C21:C23"/>
    <mergeCell ref="F21:F23"/>
    <mergeCell ref="C13:C14"/>
    <mergeCell ref="G15:G17"/>
    <mergeCell ref="F15:F17"/>
    <mergeCell ref="G26:G27"/>
    <mergeCell ref="G24:G25"/>
    <mergeCell ref="C28:C29"/>
    <mergeCell ref="G28:G29"/>
    <mergeCell ref="C24:C25"/>
    <mergeCell ref="F24:F25"/>
    <mergeCell ref="F13:F14"/>
    <mergeCell ref="G13:G14"/>
    <mergeCell ref="G21:G23"/>
    <mergeCell ref="C18:C20"/>
    <mergeCell ref="C30:C31"/>
    <mergeCell ref="L63:L64"/>
    <mergeCell ref="G61:G62"/>
    <mergeCell ref="C59:C60"/>
    <mergeCell ref="G63:G64"/>
    <mergeCell ref="C51:C52"/>
    <mergeCell ref="F51:F52"/>
    <mergeCell ref="G51:G52"/>
    <mergeCell ref="L51:L52"/>
    <mergeCell ref="H55:H56"/>
    <mergeCell ref="I59:I60"/>
    <mergeCell ref="I57:I58"/>
    <mergeCell ref="I55:I56"/>
    <mergeCell ref="I63:I64"/>
    <mergeCell ref="F63:F64"/>
    <mergeCell ref="F55:F56"/>
    <mergeCell ref="H63:H64"/>
    <mergeCell ref="H61:H62"/>
    <mergeCell ref="H57:H58"/>
    <mergeCell ref="H51:H52"/>
    <mergeCell ref="H53:H54"/>
    <mergeCell ref="G59:G60"/>
    <mergeCell ref="G57:G58"/>
    <mergeCell ref="G55:G56"/>
    <mergeCell ref="E55:E64"/>
    <mergeCell ref="AA26:AA27"/>
    <mergeCell ref="AA28:AA29"/>
    <mergeCell ref="AA30:AA31"/>
    <mergeCell ref="D40:D54"/>
    <mergeCell ref="I49:I50"/>
    <mergeCell ref="I51:I52"/>
    <mergeCell ref="I53:I54"/>
    <mergeCell ref="H49:H50"/>
    <mergeCell ref="G53:G54"/>
    <mergeCell ref="F53:F54"/>
    <mergeCell ref="AA51:AA52"/>
    <mergeCell ref="AA61:AA62"/>
    <mergeCell ref="F57:F58"/>
    <mergeCell ref="F59:F60"/>
    <mergeCell ref="F61:F62"/>
    <mergeCell ref="L61:L62"/>
    <mergeCell ref="Z30:Z31"/>
    <mergeCell ref="Y51:Y52"/>
    <mergeCell ref="F30:F31"/>
    <mergeCell ref="H30:H31"/>
    <mergeCell ref="L34:L36"/>
    <mergeCell ref="Q34:Q36"/>
    <mergeCell ref="V61:V62"/>
    <mergeCell ref="Z18:Z20"/>
    <mergeCell ref="Y26:Y27"/>
    <mergeCell ref="Z26:Z27"/>
    <mergeCell ref="Y28:Y29"/>
    <mergeCell ref="W18:W20"/>
    <mergeCell ref="W30:W31"/>
    <mergeCell ref="G49:G50"/>
    <mergeCell ref="F49:F50"/>
    <mergeCell ref="L49:L50"/>
    <mergeCell ref="F28:F29"/>
    <mergeCell ref="F26:F27"/>
    <mergeCell ref="G34:G36"/>
    <mergeCell ref="Z28:Z29"/>
    <mergeCell ref="L18:L20"/>
    <mergeCell ref="H21:H23"/>
    <mergeCell ref="I21:I23"/>
    <mergeCell ref="Q18:Q20"/>
    <mergeCell ref="F34:F36"/>
    <mergeCell ref="G32:G33"/>
    <mergeCell ref="I30:I31"/>
    <mergeCell ref="I32:I33"/>
    <mergeCell ref="I34:I36"/>
    <mergeCell ref="F18:F20"/>
    <mergeCell ref="G18:G20"/>
    <mergeCell ref="B18:B20"/>
    <mergeCell ref="AA18:AA20"/>
    <mergeCell ref="V1:Z5"/>
    <mergeCell ref="A3:K3"/>
    <mergeCell ref="Y6:Y8"/>
    <mergeCell ref="Z51:Z52"/>
    <mergeCell ref="Y61:Y62"/>
    <mergeCell ref="Z61:Z62"/>
    <mergeCell ref="E18:E29"/>
    <mergeCell ref="B51:B52"/>
    <mergeCell ref="B53:B54"/>
    <mergeCell ref="E9:E17"/>
    <mergeCell ref="P7:P8"/>
    <mergeCell ref="Q9:Q12"/>
    <mergeCell ref="C53:C54"/>
    <mergeCell ref="C49:C50"/>
    <mergeCell ref="C34:C36"/>
    <mergeCell ref="C32:C33"/>
    <mergeCell ref="E30:E39"/>
    <mergeCell ref="D9:D17"/>
    <mergeCell ref="A4:K5"/>
    <mergeCell ref="A6:A8"/>
    <mergeCell ref="C9:C12"/>
    <mergeCell ref="C15:C17"/>
  </mergeCells>
  <phoneticPr fontId="28" type="noConversion"/>
  <conditionalFormatting sqref="U9:U64">
    <cfRule type="cellIs" dxfId="5" priority="4" stopIfTrue="1" operator="lessThan">
      <formula>75</formula>
    </cfRule>
    <cfRule type="cellIs" dxfId="4" priority="5" stopIfTrue="1" operator="between">
      <formula>75</formula>
      <formula>200</formula>
    </cfRule>
    <cfRule type="cellIs" dxfId="3" priority="6" stopIfTrue="1" operator="greaterThan">
      <formula>200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9F11-F903-4084-90F6-5440C979B19A}">
  <dimension ref="B1:BA90"/>
  <sheetViews>
    <sheetView zoomScale="80" zoomScaleNormal="80" workbookViewId="0">
      <pane xSplit="3" ySplit="2" topLeftCell="X3" activePane="bottomRight" state="frozenSplit"/>
      <selection pane="topRight" activeCell="I1" sqref="I1"/>
      <selection pane="bottomLeft" activeCell="A11" sqref="A11"/>
      <selection pane="bottomRight" activeCell="AB36" sqref="AB36"/>
    </sheetView>
  </sheetViews>
  <sheetFormatPr baseColWidth="10" defaultRowHeight="14.4"/>
  <cols>
    <col min="1" max="1" width="3.33203125" customWidth="1"/>
    <col min="2" max="2" width="9" bestFit="1" customWidth="1"/>
    <col min="3" max="3" width="50.77734375" bestFit="1" customWidth="1"/>
    <col min="5" max="8" width="14.21875" customWidth="1"/>
    <col min="11" max="11" width="13" bestFit="1" customWidth="1"/>
    <col min="12" max="12" width="4.5546875" customWidth="1"/>
    <col min="13" max="13" width="13.109375" customWidth="1"/>
    <col min="14" max="15" width="14.21875" customWidth="1"/>
    <col min="19" max="19" width="5.44140625" customWidth="1"/>
    <col min="20" max="20" width="12.33203125" customWidth="1"/>
    <col min="21" max="21" width="13.21875" customWidth="1"/>
    <col min="22" max="22" width="13.88671875" customWidth="1"/>
    <col min="23" max="23" width="10.77734375" customWidth="1"/>
    <col min="24" max="24" width="16.6640625" bestFit="1" customWidth="1"/>
    <col min="25" max="25" width="14.6640625" customWidth="1"/>
    <col min="26" max="26" width="12.6640625" customWidth="1"/>
    <col min="27" max="27" width="12" bestFit="1" customWidth="1"/>
    <col min="28" max="28" width="13.109375" customWidth="1"/>
    <col min="29" max="29" width="12.6640625" customWidth="1"/>
    <col min="30" max="30" width="13.21875" customWidth="1"/>
    <col min="31" max="31" width="11.88671875" customWidth="1"/>
    <col min="32" max="32" width="16.33203125" bestFit="1" customWidth="1"/>
    <col min="33" max="33" width="14.6640625" customWidth="1"/>
    <col min="34" max="34" width="12.44140625" bestFit="1" customWidth="1"/>
    <col min="35" max="35" width="12" bestFit="1" customWidth="1"/>
    <col min="36" max="36" width="37.88671875" bestFit="1" customWidth="1"/>
    <col min="37" max="37" width="10" customWidth="1"/>
    <col min="39" max="39" width="15.33203125" customWidth="1"/>
    <col min="40" max="40" width="19.21875" bestFit="1" customWidth="1"/>
    <col min="41" max="41" width="14.6640625" bestFit="1" customWidth="1"/>
    <col min="42" max="42" width="14" bestFit="1" customWidth="1"/>
    <col min="43" max="43" width="14.5546875" bestFit="1" customWidth="1"/>
    <col min="44" max="44" width="16.21875" customWidth="1"/>
    <col min="45" max="46" width="16" bestFit="1" customWidth="1"/>
    <col min="47" max="47" width="18" bestFit="1" customWidth="1"/>
    <col min="48" max="48" width="13.44140625" customWidth="1"/>
  </cols>
  <sheetData>
    <row r="1" spans="2:48" ht="15" thickBot="1">
      <c r="T1" t="s">
        <v>243</v>
      </c>
      <c r="Z1" s="236"/>
    </row>
    <row r="2" spans="2:48" ht="67.2" customHeight="1" thickBot="1">
      <c r="B2" s="76" t="s">
        <v>56</v>
      </c>
      <c r="C2" s="95" t="s">
        <v>55</v>
      </c>
      <c r="D2" s="101" t="s">
        <v>349</v>
      </c>
      <c r="E2" s="101" t="s">
        <v>350</v>
      </c>
      <c r="F2" s="102" t="s">
        <v>419</v>
      </c>
      <c r="G2" s="102" t="s">
        <v>421</v>
      </c>
      <c r="H2" s="76" t="s">
        <v>418</v>
      </c>
      <c r="I2" s="76" t="s">
        <v>348</v>
      </c>
      <c r="J2" s="76" t="s">
        <v>533</v>
      </c>
      <c r="K2" s="76" t="s">
        <v>370</v>
      </c>
      <c r="L2" s="76"/>
      <c r="M2" s="78" t="s">
        <v>514</v>
      </c>
      <c r="N2" s="78" t="s">
        <v>513</v>
      </c>
      <c r="O2" s="76" t="s">
        <v>512</v>
      </c>
      <c r="P2" s="76" t="s">
        <v>510</v>
      </c>
      <c r="Q2" s="76" t="s">
        <v>534</v>
      </c>
      <c r="R2" s="76" t="s">
        <v>511</v>
      </c>
      <c r="S2" s="76"/>
      <c r="T2" s="142" t="s">
        <v>353</v>
      </c>
      <c r="U2" s="142" t="s">
        <v>352</v>
      </c>
      <c r="V2" s="142" t="s">
        <v>374</v>
      </c>
      <c r="W2" s="142" t="s">
        <v>451</v>
      </c>
      <c r="X2" s="142" t="s">
        <v>509</v>
      </c>
      <c r="Y2" s="142" t="s">
        <v>633</v>
      </c>
      <c r="Z2" s="247" t="s">
        <v>508</v>
      </c>
      <c r="AB2" s="142" t="s">
        <v>353</v>
      </c>
      <c r="AC2" s="142" t="s">
        <v>352</v>
      </c>
      <c r="AD2" s="142" t="s">
        <v>374</v>
      </c>
      <c r="AE2" s="142" t="s">
        <v>451</v>
      </c>
      <c r="AF2" s="142" t="s">
        <v>509</v>
      </c>
      <c r="AG2" s="142" t="s">
        <v>632</v>
      </c>
      <c r="AH2" s="247" t="s">
        <v>508</v>
      </c>
      <c r="AI2" s="223"/>
    </row>
    <row r="3" spans="2:48" ht="15" customHeight="1">
      <c r="B3" s="79">
        <v>1</v>
      </c>
      <c r="C3" s="96" t="s">
        <v>604</v>
      </c>
      <c r="D3" s="80">
        <f>412*12</f>
        <v>4944</v>
      </c>
      <c r="E3" s="80">
        <v>48</v>
      </c>
      <c r="F3" s="103">
        <f>1/30</f>
        <v>3.3333333333333333E-2</v>
      </c>
      <c r="G3" s="103">
        <f t="shared" ref="G3:G33" si="0">F3/(206*24)</f>
        <v>6.7421790722761597E-6</v>
      </c>
      <c r="H3" s="80">
        <f>1/G3</f>
        <v>148320</v>
      </c>
      <c r="I3" s="93">
        <f>EXP(-(D3*G3))</f>
        <v>0.9672161004820059</v>
      </c>
      <c r="J3" s="104">
        <f>EXP(-(D3*G3))*G3</f>
        <v>6.5211441510383357E-6</v>
      </c>
      <c r="K3" s="104">
        <f>H3/(H3+E3)</f>
        <v>0.99967648010352639</v>
      </c>
      <c r="L3" s="93"/>
      <c r="M3" s="93">
        <f>(D3-E3)/(O3)</f>
        <v>3.109642470889077E-2</v>
      </c>
      <c r="N3" s="104">
        <f>M3/(206*24)</f>
        <v>6.2897299168468388E-6</v>
      </c>
      <c r="O3" s="80">
        <f>'MTTF OREDA'!K3</f>
        <v>157445.75287461217</v>
      </c>
      <c r="P3" s="93">
        <f>EXP(-(D3*N3))</f>
        <v>0.96938209618292892</v>
      </c>
      <c r="Q3" s="104">
        <f>EXP(-(D3*N3))*N3</f>
        <v>6.0971515712174677E-6</v>
      </c>
      <c r="R3" s="104">
        <f t="shared" ref="R3:R33" si="1">O3/(O3+E3)</f>
        <v>0.99969522600659455</v>
      </c>
      <c r="S3" s="93"/>
      <c r="T3" s="143">
        <f>F3</f>
        <v>3.3333333333333333E-2</v>
      </c>
      <c r="U3" s="144">
        <v>3125</v>
      </c>
      <c r="V3" s="145">
        <f>T3*U3</f>
        <v>104.16666666666667</v>
      </c>
      <c r="W3" s="145">
        <f>V3*0.15</f>
        <v>15.625</v>
      </c>
      <c r="X3" s="145">
        <f t="shared" ref="X3:X33" si="2">$AJ$6*E3*T3</f>
        <v>1089.5999999999999</v>
      </c>
      <c r="Y3" s="145">
        <f t="shared" ref="Y3:Y33" si="3">(T3*E3*$AJ$4*5)+(V3+W3+X3)</f>
        <v>1271.6734848484848</v>
      </c>
      <c r="Z3" s="241">
        <f>V3+W3+X3</f>
        <v>1209.3916666666667</v>
      </c>
      <c r="AA3" s="310">
        <f>(T3*F3*$AJ$4*5)+(V3+W3)</f>
        <v>119.83491792929293</v>
      </c>
      <c r="AB3" s="143">
        <f t="shared" ref="AB3:AB33" si="4">M3</f>
        <v>3.109642470889077E-2</v>
      </c>
      <c r="AC3" s="144">
        <v>3125</v>
      </c>
      <c r="AD3" s="145">
        <f>AB3*AC3</f>
        <v>97.176327215283649</v>
      </c>
      <c r="AE3" s="145">
        <f>AD3*0.15</f>
        <v>14.576449082292546</v>
      </c>
      <c r="AF3" s="145">
        <f t="shared" ref="AF3:AF33" si="5">$AJ$6*E3*AB3</f>
        <v>1016.4799308842215</v>
      </c>
      <c r="AG3" s="145">
        <f t="shared" ref="AG3:AG33" si="6">(AB3*M3*$AJ$4*5)+(AD3+AE3+AF3)</f>
        <v>1128.2703482741324</v>
      </c>
      <c r="AH3" s="241">
        <f>AD3+AE3+AF3</f>
        <v>1128.2327071817977</v>
      </c>
      <c r="AI3" s="310">
        <f>(AB3*M3*$AJ$4*5)+(AD3+AE3)</f>
        <v>111.7904173899109</v>
      </c>
      <c r="AJ3" s="94" t="s">
        <v>391</v>
      </c>
      <c r="AK3" s="288"/>
      <c r="AL3" s="335" t="s">
        <v>354</v>
      </c>
      <c r="AM3" s="335" t="s">
        <v>531</v>
      </c>
      <c r="AN3" s="335" t="s">
        <v>532</v>
      </c>
      <c r="AO3" s="335" t="s">
        <v>537</v>
      </c>
      <c r="AP3" s="290"/>
    </row>
    <row r="4" spans="2:48" ht="15" customHeight="1">
      <c r="B4" s="79">
        <v>2</v>
      </c>
      <c r="C4" s="96" t="s">
        <v>605</v>
      </c>
      <c r="D4" s="80">
        <f t="shared" ref="D4:D33" si="7">412*12</f>
        <v>4944</v>
      </c>
      <c r="E4" s="80">
        <v>8</v>
      </c>
      <c r="F4" s="103">
        <f>1/5</f>
        <v>0.2</v>
      </c>
      <c r="G4" s="103">
        <f t="shared" si="0"/>
        <v>4.0453074433656958E-5</v>
      </c>
      <c r="H4" s="80">
        <f t="shared" ref="H4:H33" si="8">1/G4</f>
        <v>24720</v>
      </c>
      <c r="I4" s="93">
        <f t="shared" ref="I4:I33" si="9">EXP(-(D4*G4))</f>
        <v>0.81873075307798182</v>
      </c>
      <c r="J4" s="104">
        <f t="shared" ref="J4:J33" si="10">EXP(-(D4*G4))*G4</f>
        <v>3.3120176095387615E-5</v>
      </c>
      <c r="K4" s="104">
        <f t="shared" ref="K4:K33" si="11">H4/(H4+E4)</f>
        <v>0.99967648010352639</v>
      </c>
      <c r="L4" s="93"/>
      <c r="M4" s="93">
        <f t="shared" ref="M4:M33" si="12">(D4-E4)/(O4)</f>
        <v>0.14583809136367343</v>
      </c>
      <c r="N4" s="104">
        <f t="shared" ref="N4:N33" si="13">M4/(206*24)</f>
        <v>2.9497995825985724E-5</v>
      </c>
      <c r="O4" s="80">
        <f>'MTTF OREDA'!K4</f>
        <v>33845.752874612153</v>
      </c>
      <c r="P4" s="93">
        <f t="shared" ref="P4:P33" si="14">EXP(-(D4*N4))</f>
        <v>0.86429762910723851</v>
      </c>
      <c r="Q4" s="104">
        <f t="shared" ref="Q4:Q33" si="15">EXP(-(D4*N4))*N4</f>
        <v>2.5495047855814681E-5</v>
      </c>
      <c r="R4" s="104">
        <f t="shared" si="1"/>
        <v>0.99976368941931992</v>
      </c>
      <c r="S4" s="93"/>
      <c r="T4" s="143">
        <f t="shared" ref="T4:T33" si="16">F4</f>
        <v>0.2</v>
      </c>
      <c r="U4" s="144">
        <v>562.5</v>
      </c>
      <c r="V4" s="145">
        <f t="shared" ref="V4:V33" si="17">T4*U4</f>
        <v>112.5</v>
      </c>
      <c r="W4" s="145">
        <f t="shared" ref="W4:W33" si="18">V4*0.15</f>
        <v>16.875</v>
      </c>
      <c r="X4" s="145">
        <f t="shared" si="2"/>
        <v>1089.6000000000001</v>
      </c>
      <c r="Y4" s="145">
        <f t="shared" si="3"/>
        <v>1281.2568181818183</v>
      </c>
      <c r="Z4" s="241">
        <f t="shared" ref="Z4:Z33" si="19">V4+W4+X4</f>
        <v>1218.9750000000001</v>
      </c>
      <c r="AA4" s="310">
        <f t="shared" ref="AA4:AA33" si="20">(T4*F4*$AJ$4*5)+(V4+W4)</f>
        <v>130.93204545454546</v>
      </c>
      <c r="AB4" s="143">
        <f t="shared" si="4"/>
        <v>0.14583809136367343</v>
      </c>
      <c r="AC4" s="144">
        <v>562.5</v>
      </c>
      <c r="AD4" s="145">
        <f t="shared" ref="AD4:AD33" si="21">AB4*AC4</f>
        <v>82.033926392066306</v>
      </c>
      <c r="AE4" s="145">
        <f t="shared" ref="AE4:AE33" si="22">AD4*0.15</f>
        <v>12.305088958809945</v>
      </c>
      <c r="AF4" s="145">
        <f t="shared" si="5"/>
        <v>794.52592174929282</v>
      </c>
      <c r="AG4" s="145">
        <f t="shared" si="6"/>
        <v>889.69284731984635</v>
      </c>
      <c r="AH4" s="241">
        <f t="shared" ref="AH4:AH33" si="23">AD4+AE4+AF4</f>
        <v>888.86493710016907</v>
      </c>
      <c r="AI4" s="310">
        <f t="shared" ref="AI4:AI33" si="24">(AB4*M4*$AJ$4*5)+(AD4+AE4)</f>
        <v>95.166925570553502</v>
      </c>
      <c r="AJ4" s="159">
        <f>MO!L8</f>
        <v>7.7852272727272736</v>
      </c>
      <c r="AK4" s="174"/>
      <c r="AL4" s="290">
        <v>2024</v>
      </c>
      <c r="AM4" s="147">
        <f>Y34</f>
        <v>94503.592316017326</v>
      </c>
      <c r="AN4" s="147">
        <f>AM4+AN12+AN13+AN14</f>
        <v>104103.59231601733</v>
      </c>
      <c r="AO4" s="337">
        <f>AN4-AM4</f>
        <v>9600</v>
      </c>
      <c r="AP4" s="338">
        <f>(AM4-AN4)/AN4</f>
        <v>-9.2215837959349164E-2</v>
      </c>
    </row>
    <row r="5" spans="2:48" ht="15" customHeight="1">
      <c r="B5" s="79">
        <v>3</v>
      </c>
      <c r="C5" s="96" t="s">
        <v>606</v>
      </c>
      <c r="D5" s="80">
        <f t="shared" si="7"/>
        <v>4944</v>
      </c>
      <c r="E5" s="80">
        <v>12</v>
      </c>
      <c r="F5" s="103">
        <f>1/7</f>
        <v>0.14285714285714285</v>
      </c>
      <c r="G5" s="103">
        <f t="shared" si="0"/>
        <v>2.8895053166897826E-5</v>
      </c>
      <c r="H5" s="80">
        <f t="shared" si="8"/>
        <v>34608</v>
      </c>
      <c r="I5" s="93">
        <f t="shared" si="9"/>
        <v>0.86687789975018159</v>
      </c>
      <c r="J5" s="104">
        <f t="shared" si="10"/>
        <v>2.5048483002490222E-5</v>
      </c>
      <c r="K5" s="104">
        <f t="shared" si="11"/>
        <v>0.99965337954939337</v>
      </c>
      <c r="L5" s="93"/>
      <c r="M5" s="93">
        <f t="shared" si="12"/>
        <v>0.13099630254548095</v>
      </c>
      <c r="N5" s="104">
        <f t="shared" si="13"/>
        <v>2.6496015887030937E-5</v>
      </c>
      <c r="O5" s="80">
        <f>'MTTF OREDA'!K5</f>
        <v>37649.917624870715</v>
      </c>
      <c r="P5" s="93">
        <f t="shared" si="14"/>
        <v>0.87722101786986395</v>
      </c>
      <c r="Q5" s="104">
        <f t="shared" si="15"/>
        <v>2.3242862025917365E-5</v>
      </c>
      <c r="R5" s="104">
        <f t="shared" si="1"/>
        <v>0.99968137575681815</v>
      </c>
      <c r="S5" s="93"/>
      <c r="T5" s="143">
        <f t="shared" si="16"/>
        <v>0.14285714285714285</v>
      </c>
      <c r="U5" s="144">
        <v>312.5</v>
      </c>
      <c r="V5" s="145">
        <f t="shared" si="17"/>
        <v>44.642857142857139</v>
      </c>
      <c r="W5" s="145">
        <f t="shared" si="18"/>
        <v>6.6964285714285703</v>
      </c>
      <c r="X5" s="145">
        <f t="shared" si="2"/>
        <v>1167.4285714285713</v>
      </c>
      <c r="Y5" s="145">
        <f t="shared" si="3"/>
        <v>1285.4983766233765</v>
      </c>
      <c r="Z5" s="241">
        <f t="shared" si="19"/>
        <v>1218.7678571428571</v>
      </c>
      <c r="AA5" s="310">
        <f t="shared" si="20"/>
        <v>52.133696660482371</v>
      </c>
      <c r="AB5" s="143">
        <f t="shared" si="4"/>
        <v>0.13099630254548095</v>
      </c>
      <c r="AC5" s="144">
        <v>312.5</v>
      </c>
      <c r="AD5" s="145">
        <f t="shared" si="21"/>
        <v>40.936344545462795</v>
      </c>
      <c r="AE5" s="145">
        <f t="shared" si="22"/>
        <v>6.1404516818194192</v>
      </c>
      <c r="AF5" s="145">
        <f t="shared" si="5"/>
        <v>1070.5017844016702</v>
      </c>
      <c r="AG5" s="145">
        <f t="shared" si="6"/>
        <v>1118.2465543465846</v>
      </c>
      <c r="AH5" s="241">
        <f t="shared" si="23"/>
        <v>1117.5785806289523</v>
      </c>
      <c r="AI5" s="310">
        <f t="shared" si="24"/>
        <v>47.744769944914616</v>
      </c>
      <c r="AJ5" s="94" t="s">
        <v>392</v>
      </c>
      <c r="AK5" s="288"/>
      <c r="AL5" s="290">
        <v>2025</v>
      </c>
      <c r="AM5" s="147">
        <f>AM4*1.03</f>
        <v>97338.700085497854</v>
      </c>
      <c r="AN5" s="147">
        <f>AG34*1.03+AN14</f>
        <v>74459.055149748965</v>
      </c>
      <c r="AO5" s="337">
        <f t="shared" ref="AO5:AO8" si="25">AN5-AM5</f>
        <v>-22879.644935748889</v>
      </c>
      <c r="AP5" s="338">
        <f t="shared" ref="AP5:AP8" si="26">(AM5-AN5)/AN5</f>
        <v>0.30727820665645428</v>
      </c>
    </row>
    <row r="6" spans="2:48" ht="15" customHeight="1">
      <c r="B6" s="79">
        <v>4</v>
      </c>
      <c r="C6" s="96" t="s">
        <v>607</v>
      </c>
      <c r="D6" s="80">
        <f t="shared" si="7"/>
        <v>4944</v>
      </c>
      <c r="E6" s="80">
        <f>24*5</f>
        <v>120</v>
      </c>
      <c r="F6" s="103">
        <f>1/30</f>
        <v>3.3333333333333333E-2</v>
      </c>
      <c r="G6" s="103">
        <f t="shared" si="0"/>
        <v>6.7421790722761597E-6</v>
      </c>
      <c r="H6" s="80">
        <f t="shared" si="8"/>
        <v>148320</v>
      </c>
      <c r="I6" s="93">
        <f t="shared" si="9"/>
        <v>0.9672161004820059</v>
      </c>
      <c r="J6" s="104">
        <f t="shared" si="10"/>
        <v>6.5211441510383357E-6</v>
      </c>
      <c r="K6" s="104">
        <f t="shared" si="11"/>
        <v>0.99919159256265155</v>
      </c>
      <c r="L6" s="93"/>
      <c r="M6" s="93">
        <f t="shared" si="12"/>
        <v>3.2476694211149744E-2</v>
      </c>
      <c r="N6" s="104">
        <f t="shared" si="13"/>
        <v>6.5689106414137831E-6</v>
      </c>
      <c r="O6" s="80">
        <f>'MTTF OREDA'!K6</f>
        <v>148537.28549575858</v>
      </c>
      <c r="P6" s="93">
        <f t="shared" si="14"/>
        <v>0.96804501062102155</v>
      </c>
      <c r="Q6" s="104">
        <f t="shared" si="15"/>
        <v>6.359001171635947E-6</v>
      </c>
      <c r="R6" s="104">
        <f t="shared" si="1"/>
        <v>0.99919277417450603</v>
      </c>
      <c r="S6" s="93"/>
      <c r="T6" s="143">
        <f t="shared" si="16"/>
        <v>3.3333333333333333E-2</v>
      </c>
      <c r="U6" s="144">
        <v>2500</v>
      </c>
      <c r="V6" s="145">
        <f t="shared" si="17"/>
        <v>83.333333333333329</v>
      </c>
      <c r="W6" s="145">
        <f t="shared" si="18"/>
        <v>12.499999999999998</v>
      </c>
      <c r="X6" s="145">
        <f t="shared" si="2"/>
        <v>2724</v>
      </c>
      <c r="Y6" s="145">
        <f t="shared" si="3"/>
        <v>2975.537878787879</v>
      </c>
      <c r="Z6" s="241">
        <f t="shared" si="19"/>
        <v>2819.8333333333335</v>
      </c>
      <c r="AA6" s="310">
        <f t="shared" si="20"/>
        <v>95.876584595959585</v>
      </c>
      <c r="AB6" s="143">
        <f t="shared" si="4"/>
        <v>3.2476694211149744E-2</v>
      </c>
      <c r="AC6" s="144">
        <v>2500</v>
      </c>
      <c r="AD6" s="145">
        <f t="shared" si="21"/>
        <v>81.191735527874357</v>
      </c>
      <c r="AE6" s="145">
        <f t="shared" si="22"/>
        <v>12.178760329181154</v>
      </c>
      <c r="AF6" s="145">
        <f t="shared" si="5"/>
        <v>2653.9954509351569</v>
      </c>
      <c r="AG6" s="145">
        <f t="shared" si="6"/>
        <v>2747.4070035766094</v>
      </c>
      <c r="AH6" s="241">
        <f t="shared" si="23"/>
        <v>2747.3659467922125</v>
      </c>
      <c r="AI6" s="310">
        <f t="shared" si="24"/>
        <v>93.411552641452261</v>
      </c>
      <c r="AJ6" s="160">
        <v>681</v>
      </c>
      <c r="AK6" s="173"/>
      <c r="AL6" s="290">
        <v>2026</v>
      </c>
      <c r="AM6" s="147">
        <f>AM5*1.03</f>
        <v>100258.8610880628</v>
      </c>
      <c r="AN6" s="147">
        <f>(AG34)*1.03+AN14</f>
        <v>74459.055149748965</v>
      </c>
      <c r="AO6" s="337">
        <f t="shared" si="25"/>
        <v>-25799.805938313832</v>
      </c>
      <c r="AP6" s="338">
        <f t="shared" si="26"/>
        <v>0.346496552856148</v>
      </c>
    </row>
    <row r="7" spans="2:48" ht="15" customHeight="1">
      <c r="B7" s="79">
        <v>5</v>
      </c>
      <c r="C7" s="96" t="s">
        <v>608</v>
      </c>
      <c r="D7" s="80">
        <f t="shared" si="7"/>
        <v>4944</v>
      </c>
      <c r="E7" s="80">
        <v>8</v>
      </c>
      <c r="F7" s="103">
        <f>1/4</f>
        <v>0.25</v>
      </c>
      <c r="G7" s="103">
        <f t="shared" si="0"/>
        <v>5.05663430420712E-5</v>
      </c>
      <c r="H7" s="80">
        <f t="shared" si="8"/>
        <v>19776</v>
      </c>
      <c r="I7" s="93">
        <f t="shared" si="9"/>
        <v>0.77880078307140488</v>
      </c>
      <c r="J7" s="104">
        <f t="shared" si="10"/>
        <v>3.9381107558222333E-5</v>
      </c>
      <c r="K7" s="104">
        <f t="shared" si="11"/>
        <v>0.99959563283461383</v>
      </c>
      <c r="L7" s="93"/>
      <c r="M7" s="93">
        <f t="shared" si="12"/>
        <v>0.1707854890813863</v>
      </c>
      <c r="N7" s="104">
        <f t="shared" si="13"/>
        <v>3.4543990509989138E-5</v>
      </c>
      <c r="O7" s="80">
        <f>'MTTF OREDA'!K7</f>
        <v>28901.752874612157</v>
      </c>
      <c r="P7" s="93">
        <f t="shared" si="14"/>
        <v>0.843002387294149</v>
      </c>
      <c r="Q7" s="104">
        <f t="shared" si="15"/>
        <v>2.912066646658727E-5</v>
      </c>
      <c r="R7" s="104">
        <f t="shared" si="1"/>
        <v>0.99972327677670936</v>
      </c>
      <c r="S7" s="93"/>
      <c r="T7" s="143">
        <f t="shared" si="16"/>
        <v>0.25</v>
      </c>
      <c r="U7" s="144">
        <v>187.5</v>
      </c>
      <c r="V7" s="145">
        <f t="shared" si="17"/>
        <v>46.875</v>
      </c>
      <c r="W7" s="145">
        <f t="shared" si="18"/>
        <v>7.03125</v>
      </c>
      <c r="X7" s="145">
        <f t="shared" si="2"/>
        <v>1362</v>
      </c>
      <c r="Y7" s="145">
        <f t="shared" si="3"/>
        <v>1493.7585227272727</v>
      </c>
      <c r="Z7" s="241">
        <f t="shared" si="19"/>
        <v>1415.90625</v>
      </c>
      <c r="AA7" s="310">
        <f t="shared" si="20"/>
        <v>56.339133522727273</v>
      </c>
      <c r="AB7" s="143">
        <f t="shared" si="4"/>
        <v>0.1707854890813863</v>
      </c>
      <c r="AC7" s="144">
        <v>187.5</v>
      </c>
      <c r="AD7" s="145">
        <f t="shared" si="21"/>
        <v>32.022279202759933</v>
      </c>
      <c r="AE7" s="145">
        <f t="shared" si="22"/>
        <v>4.8033418804139894</v>
      </c>
      <c r="AF7" s="145">
        <f t="shared" si="5"/>
        <v>930.43934451539258</v>
      </c>
      <c r="AG7" s="145">
        <f t="shared" si="6"/>
        <v>968.40035081536507</v>
      </c>
      <c r="AH7" s="241">
        <f t="shared" si="23"/>
        <v>967.2649655985665</v>
      </c>
      <c r="AI7" s="310">
        <f t="shared" si="24"/>
        <v>37.961006299972468</v>
      </c>
      <c r="AL7" s="290">
        <v>2027</v>
      </c>
      <c r="AM7" s="147">
        <f>AM6*1.03</f>
        <v>103266.62692070469</v>
      </c>
      <c r="AN7" s="147">
        <f>AG34*1.03+AN14</f>
        <v>74459.055149748965</v>
      </c>
      <c r="AO7" s="337">
        <f t="shared" si="25"/>
        <v>-28807.571770955721</v>
      </c>
      <c r="AP7" s="338">
        <f t="shared" si="26"/>
        <v>0.38689144944183251</v>
      </c>
    </row>
    <row r="8" spans="2:48" ht="15" customHeight="1">
      <c r="B8" s="79">
        <v>6</v>
      </c>
      <c r="C8" s="96" t="s">
        <v>609</v>
      </c>
      <c r="D8" s="80">
        <f t="shared" si="7"/>
        <v>4944</v>
      </c>
      <c r="E8" s="80">
        <v>8</v>
      </c>
      <c r="F8" s="103">
        <v>2</v>
      </c>
      <c r="G8" s="103">
        <f t="shared" si="0"/>
        <v>4.045307443365696E-4</v>
      </c>
      <c r="H8" s="80">
        <f t="shared" si="8"/>
        <v>2472</v>
      </c>
      <c r="I8" s="93">
        <f t="shared" si="9"/>
        <v>0.1353352832366127</v>
      </c>
      <c r="J8" s="104">
        <f t="shared" si="10"/>
        <v>5.4747282862707408E-5</v>
      </c>
      <c r="K8" s="104">
        <f t="shared" si="11"/>
        <v>0.99677419354838714</v>
      </c>
      <c r="L8" s="93"/>
      <c r="M8" s="93">
        <f t="shared" si="12"/>
        <v>0.4255996875743972</v>
      </c>
      <c r="N8" s="104">
        <f t="shared" si="13"/>
        <v>8.6084079201941187E-5</v>
      </c>
      <c r="O8" s="80">
        <f>'MTTF OREDA'!K8</f>
        <v>11597.752874612155</v>
      </c>
      <c r="P8" s="93">
        <f t="shared" si="14"/>
        <v>0.65337784504573371</v>
      </c>
      <c r="Q8" s="104">
        <f t="shared" si="15"/>
        <v>5.6245430161710594E-5</v>
      </c>
      <c r="R8" s="104">
        <f t="shared" si="1"/>
        <v>0.9993106866838859</v>
      </c>
      <c r="S8" s="93"/>
      <c r="T8" s="143">
        <f t="shared" si="16"/>
        <v>2</v>
      </c>
      <c r="U8" s="144">
        <v>56.25</v>
      </c>
      <c r="V8" s="145">
        <f t="shared" si="17"/>
        <v>112.5</v>
      </c>
      <c r="W8" s="145">
        <f t="shared" si="18"/>
        <v>16.875</v>
      </c>
      <c r="X8" s="145">
        <f t="shared" si="2"/>
        <v>10896</v>
      </c>
      <c r="Y8" s="145">
        <f t="shared" si="3"/>
        <v>11648.193181818182</v>
      </c>
      <c r="Z8" s="241">
        <f t="shared" si="19"/>
        <v>11025.375</v>
      </c>
      <c r="AA8" s="310">
        <f t="shared" si="20"/>
        <v>285.0795454545455</v>
      </c>
      <c r="AB8" s="143">
        <f t="shared" si="4"/>
        <v>0.4255996875743972</v>
      </c>
      <c r="AC8" s="144">
        <v>56.25</v>
      </c>
      <c r="AD8" s="145">
        <f t="shared" si="21"/>
        <v>23.939982426059842</v>
      </c>
      <c r="AE8" s="145">
        <f t="shared" si="22"/>
        <v>3.5909973639089761</v>
      </c>
      <c r="AF8" s="145">
        <f t="shared" si="5"/>
        <v>2318.667097905316</v>
      </c>
      <c r="AG8" s="145">
        <f t="shared" si="6"/>
        <v>2353.2489670670379</v>
      </c>
      <c r="AH8" s="241">
        <f t="shared" si="23"/>
        <v>2346.1980776952851</v>
      </c>
      <c r="AI8" s="310">
        <f t="shared" si="24"/>
        <v>34.581869161721784</v>
      </c>
      <c r="AL8" s="290">
        <v>2028</v>
      </c>
      <c r="AM8" s="147">
        <f>AM7*1.03</f>
        <v>106364.62572832583</v>
      </c>
      <c r="AN8" s="147">
        <f>AG34*1.03+AN14</f>
        <v>74459.055149748965</v>
      </c>
      <c r="AO8" s="337">
        <f t="shared" si="25"/>
        <v>-31905.570578576866</v>
      </c>
      <c r="AP8" s="338">
        <f t="shared" si="26"/>
        <v>0.42849819292508756</v>
      </c>
    </row>
    <row r="9" spans="2:48" ht="15" customHeight="1">
      <c r="B9" s="79">
        <v>7</v>
      </c>
      <c r="C9" s="96" t="s">
        <v>610</v>
      </c>
      <c r="D9" s="80">
        <f t="shared" si="7"/>
        <v>4944</v>
      </c>
      <c r="E9" s="80">
        <v>48</v>
      </c>
      <c r="F9" s="103">
        <f>1/30</f>
        <v>3.3333333333333333E-2</v>
      </c>
      <c r="G9" s="103">
        <f t="shared" si="0"/>
        <v>6.7421790722761597E-6</v>
      </c>
      <c r="H9" s="80">
        <f t="shared" si="8"/>
        <v>148320</v>
      </c>
      <c r="I9" s="93">
        <f t="shared" si="9"/>
        <v>0.9672161004820059</v>
      </c>
      <c r="J9" s="104">
        <f t="shared" si="10"/>
        <v>6.5211441510383357E-6</v>
      </c>
      <c r="K9" s="104">
        <f t="shared" si="11"/>
        <v>0.99967648010352639</v>
      </c>
      <c r="L9" s="93"/>
      <c r="M9" s="93">
        <f t="shared" si="12"/>
        <v>3.2700172308194948E-2</v>
      </c>
      <c r="N9" s="104">
        <f t="shared" si="13"/>
        <v>6.6141125218840914E-6</v>
      </c>
      <c r="O9" s="80">
        <f>'MTTF OREDA'!K9</f>
        <v>149723.98169207873</v>
      </c>
      <c r="P9" s="93">
        <f t="shared" si="14"/>
        <v>0.96782869793566784</v>
      </c>
      <c r="Q9" s="104">
        <f t="shared" si="15"/>
        <v>6.4013279100550765E-6</v>
      </c>
      <c r="R9" s="104">
        <f t="shared" si="1"/>
        <v>0.9996795128203706</v>
      </c>
      <c r="S9" s="93"/>
      <c r="T9" s="143">
        <f t="shared" si="16"/>
        <v>3.3333333333333333E-2</v>
      </c>
      <c r="U9" s="144">
        <v>250</v>
      </c>
      <c r="V9" s="145">
        <f t="shared" si="17"/>
        <v>8.3333333333333339</v>
      </c>
      <c r="W9" s="145">
        <f t="shared" si="18"/>
        <v>1.25</v>
      </c>
      <c r="X9" s="145">
        <f t="shared" si="2"/>
        <v>1089.5999999999999</v>
      </c>
      <c r="Y9" s="145">
        <f t="shared" si="3"/>
        <v>1161.4651515151513</v>
      </c>
      <c r="Z9" s="241">
        <f t="shared" si="19"/>
        <v>1099.1833333333332</v>
      </c>
      <c r="AA9" s="310">
        <f t="shared" si="20"/>
        <v>9.6265845959595957</v>
      </c>
      <c r="AB9" s="143">
        <f t="shared" si="4"/>
        <v>3.2700172308194948E-2</v>
      </c>
      <c r="AC9" s="144">
        <v>250</v>
      </c>
      <c r="AD9" s="145">
        <f t="shared" si="21"/>
        <v>8.1750430770487377</v>
      </c>
      <c r="AE9" s="145">
        <f t="shared" si="22"/>
        <v>1.2262564615573106</v>
      </c>
      <c r="AF9" s="145">
        <f t="shared" si="5"/>
        <v>1068.9032324102764</v>
      </c>
      <c r="AG9" s="145">
        <f t="shared" si="6"/>
        <v>1078.3461557158928</v>
      </c>
      <c r="AH9" s="241">
        <f t="shared" si="23"/>
        <v>1078.3045319488824</v>
      </c>
      <c r="AI9" s="310">
        <f t="shared" si="24"/>
        <v>9.442923305616393</v>
      </c>
      <c r="AL9" s="339" t="s">
        <v>369</v>
      </c>
      <c r="AM9" s="336">
        <f>SUM(AM4:AM8)</f>
        <v>501732.40613860846</v>
      </c>
      <c r="AN9" s="336">
        <f t="shared" ref="AN9" si="27">SUM(AN4:AN8)</f>
        <v>401939.81291501323</v>
      </c>
      <c r="AO9" s="336">
        <f>SUM(AO4:AO8)</f>
        <v>-99792.593223595308</v>
      </c>
      <c r="AP9" s="291">
        <f>AVERAGE(AP4:AP8)</f>
        <v>0.27538971278403462</v>
      </c>
    </row>
    <row r="10" spans="2:48" ht="15" customHeight="1">
      <c r="B10" s="79">
        <v>8</v>
      </c>
      <c r="C10" s="96" t="s">
        <v>611</v>
      </c>
      <c r="D10" s="80">
        <f t="shared" si="7"/>
        <v>4944</v>
      </c>
      <c r="E10" s="80">
        <v>8</v>
      </c>
      <c r="F10" s="103">
        <f>1/10</f>
        <v>0.1</v>
      </c>
      <c r="G10" s="103">
        <f t="shared" si="0"/>
        <v>2.0226537216828479E-5</v>
      </c>
      <c r="H10" s="80">
        <f t="shared" si="8"/>
        <v>49440</v>
      </c>
      <c r="I10" s="93">
        <f t="shared" si="9"/>
        <v>0.90483741803595952</v>
      </c>
      <c r="J10" s="104">
        <f t="shared" si="10"/>
        <v>1.8301727711083324E-5</v>
      </c>
      <c r="K10" s="104">
        <f t="shared" si="11"/>
        <v>0.99983821388124894</v>
      </c>
      <c r="L10" s="93"/>
      <c r="M10" s="93">
        <f t="shared" si="12"/>
        <v>9.7081303149965673E-2</v>
      </c>
      <c r="N10" s="104">
        <f t="shared" si="13"/>
        <v>1.9636185912209885E-5</v>
      </c>
      <c r="O10" s="80">
        <f>'MTTF OREDA'!K10</f>
        <v>50843.981692078734</v>
      </c>
      <c r="P10" s="93">
        <f t="shared" si="14"/>
        <v>0.90748222197068684</v>
      </c>
      <c r="Q10" s="104">
        <f t="shared" si="15"/>
        <v>1.7819489622641727E-5</v>
      </c>
      <c r="R10" s="104">
        <f t="shared" si="1"/>
        <v>0.9998426806638836</v>
      </c>
      <c r="S10" s="93"/>
      <c r="T10" s="143">
        <f t="shared" si="16"/>
        <v>0.1</v>
      </c>
      <c r="U10" s="144">
        <v>1000</v>
      </c>
      <c r="V10" s="145">
        <f t="shared" si="17"/>
        <v>100</v>
      </c>
      <c r="W10" s="145">
        <f t="shared" si="18"/>
        <v>15</v>
      </c>
      <c r="X10" s="145">
        <f t="shared" si="2"/>
        <v>544.80000000000007</v>
      </c>
      <c r="Y10" s="145">
        <f t="shared" si="3"/>
        <v>690.94090909090914</v>
      </c>
      <c r="Z10" s="241">
        <f t="shared" si="19"/>
        <v>659.80000000000007</v>
      </c>
      <c r="AA10" s="310">
        <f t="shared" si="20"/>
        <v>115.38926136363636</v>
      </c>
      <c r="AB10" s="143">
        <f t="shared" si="4"/>
        <v>9.7081303149965673E-2</v>
      </c>
      <c r="AC10" s="144">
        <v>1000</v>
      </c>
      <c r="AD10" s="145">
        <f t="shared" si="21"/>
        <v>97.081303149965677</v>
      </c>
      <c r="AE10" s="145">
        <f t="shared" si="22"/>
        <v>14.562195472494851</v>
      </c>
      <c r="AF10" s="145">
        <f t="shared" si="5"/>
        <v>528.89893956101298</v>
      </c>
      <c r="AG10" s="145">
        <f t="shared" si="6"/>
        <v>640.90930843242404</v>
      </c>
      <c r="AH10" s="241">
        <f t="shared" si="23"/>
        <v>640.54243818347345</v>
      </c>
      <c r="AI10" s="310">
        <f t="shared" si="24"/>
        <v>112.01036887141107</v>
      </c>
      <c r="AM10" s="289"/>
      <c r="AN10" s="289"/>
      <c r="AO10" s="66"/>
    </row>
    <row r="11" spans="2:48" ht="15" customHeight="1">
      <c r="B11" s="79">
        <v>9</v>
      </c>
      <c r="C11" s="96" t="s">
        <v>612</v>
      </c>
      <c r="D11" s="80">
        <f t="shared" si="7"/>
        <v>4944</v>
      </c>
      <c r="E11" s="80">
        <f>24*5*2</f>
        <v>240</v>
      </c>
      <c r="F11" s="103">
        <f>1/30</f>
        <v>3.3333333333333333E-2</v>
      </c>
      <c r="G11" s="103">
        <f t="shared" si="0"/>
        <v>6.7421790722761597E-6</v>
      </c>
      <c r="H11" s="80">
        <f t="shared" si="8"/>
        <v>148320</v>
      </c>
      <c r="I11" s="93">
        <f t="shared" si="9"/>
        <v>0.9672161004820059</v>
      </c>
      <c r="J11" s="104">
        <f t="shared" si="10"/>
        <v>6.5211441510383357E-6</v>
      </c>
      <c r="K11" s="104">
        <f t="shared" si="11"/>
        <v>0.99838449111470118</v>
      </c>
      <c r="L11" s="93"/>
      <c r="M11" s="93">
        <f t="shared" si="12"/>
        <v>3.141781260983436E-2</v>
      </c>
      <c r="N11" s="104">
        <f t="shared" si="13"/>
        <v>6.3547355602415778E-6</v>
      </c>
      <c r="O11" s="80">
        <f>'MTTF OREDA'!K11</f>
        <v>149723.98169207873</v>
      </c>
      <c r="P11" s="93">
        <f t="shared" si="14"/>
        <v>0.96907059856428845</v>
      </c>
      <c r="Q11" s="104">
        <f t="shared" si="15"/>
        <v>6.1581873930810747E-6</v>
      </c>
      <c r="R11" s="104">
        <f t="shared" si="1"/>
        <v>0.99839961571243963</v>
      </c>
      <c r="S11" s="93"/>
      <c r="T11" s="143">
        <f t="shared" si="16"/>
        <v>3.3333333333333333E-2</v>
      </c>
      <c r="U11" s="144">
        <v>1875</v>
      </c>
      <c r="V11" s="145">
        <f t="shared" si="17"/>
        <v>62.5</v>
      </c>
      <c r="W11" s="145">
        <f t="shared" si="18"/>
        <v>9.375</v>
      </c>
      <c r="X11" s="145">
        <f t="shared" si="2"/>
        <v>5448</v>
      </c>
      <c r="Y11" s="145">
        <f t="shared" si="3"/>
        <v>5831.284090909091</v>
      </c>
      <c r="Z11" s="241">
        <f t="shared" si="19"/>
        <v>5519.875</v>
      </c>
      <c r="AA11" s="310">
        <f t="shared" si="20"/>
        <v>71.918251262626256</v>
      </c>
      <c r="AB11" s="143">
        <f t="shared" si="4"/>
        <v>3.141781260983436E-2</v>
      </c>
      <c r="AC11" s="144">
        <v>1875</v>
      </c>
      <c r="AD11" s="145">
        <f t="shared" si="21"/>
        <v>58.908398643439426</v>
      </c>
      <c r="AE11" s="145">
        <f t="shared" si="22"/>
        <v>8.8362597965159129</v>
      </c>
      <c r="AF11" s="145">
        <f t="shared" si="5"/>
        <v>5134.9272929513281</v>
      </c>
      <c r="AG11" s="145">
        <f t="shared" si="6"/>
        <v>5202.7103745610611</v>
      </c>
      <c r="AH11" s="241">
        <f t="shared" si="23"/>
        <v>5202.6719513912831</v>
      </c>
      <c r="AI11" s="310">
        <f t="shared" si="24"/>
        <v>67.78308160973306</v>
      </c>
      <c r="AM11" s="289"/>
      <c r="AN11" s="289"/>
      <c r="AO11" s="66"/>
    </row>
    <row r="12" spans="2:48" ht="15" customHeight="1">
      <c r="B12" s="79">
        <v>10</v>
      </c>
      <c r="C12" s="97" t="s">
        <v>613</v>
      </c>
      <c r="D12" s="80">
        <f t="shared" si="7"/>
        <v>4944</v>
      </c>
      <c r="E12" s="80">
        <v>48</v>
      </c>
      <c r="F12" s="103">
        <f>1/5</f>
        <v>0.2</v>
      </c>
      <c r="G12" s="103">
        <f t="shared" si="0"/>
        <v>4.0453074433656958E-5</v>
      </c>
      <c r="H12" s="80">
        <f t="shared" si="8"/>
        <v>24720</v>
      </c>
      <c r="I12" s="93">
        <f t="shared" si="9"/>
        <v>0.81873075307798182</v>
      </c>
      <c r="J12" s="104">
        <f t="shared" si="10"/>
        <v>3.3120176095387615E-5</v>
      </c>
      <c r="K12" s="104">
        <f t="shared" si="11"/>
        <v>0.99806201550387597</v>
      </c>
      <c r="L12" s="93"/>
      <c r="M12" s="93">
        <f t="shared" si="12"/>
        <v>0.15893933753470685</v>
      </c>
      <c r="N12" s="104">
        <f t="shared" si="13"/>
        <v>3.2147924258638119E-5</v>
      </c>
      <c r="O12" s="80">
        <f>'MTTF OREDA'!K12</f>
        <v>30804.205402774398</v>
      </c>
      <c r="P12" s="93">
        <f t="shared" si="14"/>
        <v>0.85304810540066989</v>
      </c>
      <c r="Q12" s="104">
        <f t="shared" si="15"/>
        <v>2.7423725881395483E-5</v>
      </c>
      <c r="R12" s="104">
        <f t="shared" si="1"/>
        <v>0.99844419550001817</v>
      </c>
      <c r="S12" s="93"/>
      <c r="T12" s="143">
        <f t="shared" si="16"/>
        <v>0.2</v>
      </c>
      <c r="U12" s="144">
        <v>12500</v>
      </c>
      <c r="V12" s="145">
        <f t="shared" si="17"/>
        <v>2500</v>
      </c>
      <c r="W12" s="145">
        <f t="shared" si="18"/>
        <v>375</v>
      </c>
      <c r="X12" s="145">
        <f t="shared" si="2"/>
        <v>6537.6</v>
      </c>
      <c r="Y12" s="145">
        <f t="shared" si="3"/>
        <v>9786.2909090909088</v>
      </c>
      <c r="Z12" s="241">
        <f t="shared" si="19"/>
        <v>9412.6</v>
      </c>
      <c r="AA12" s="310">
        <f t="shared" si="20"/>
        <v>2876.5570454545455</v>
      </c>
      <c r="AB12" s="143">
        <f t="shared" si="4"/>
        <v>0.15893933753470685</v>
      </c>
      <c r="AC12" s="144">
        <v>12500</v>
      </c>
      <c r="AD12" s="145">
        <f t="shared" si="21"/>
        <v>1986.7417191838356</v>
      </c>
      <c r="AE12" s="145">
        <f t="shared" si="22"/>
        <v>298.0112578775753</v>
      </c>
      <c r="AF12" s="145">
        <f t="shared" si="5"/>
        <v>5195.4090653344974</v>
      </c>
      <c r="AG12" s="145">
        <f t="shared" si="6"/>
        <v>7481.1453832815469</v>
      </c>
      <c r="AH12" s="241">
        <f t="shared" si="23"/>
        <v>7480.1620423959084</v>
      </c>
      <c r="AI12" s="310">
        <f t="shared" si="24"/>
        <v>2285.7363179470499</v>
      </c>
      <c r="AM12" s="109" t="s">
        <v>597</v>
      </c>
      <c r="AN12" s="340">
        <v>2800</v>
      </c>
      <c r="AO12" t="s">
        <v>598</v>
      </c>
      <c r="AP12" s="172"/>
      <c r="AQ12" s="172"/>
      <c r="AR12" s="172"/>
    </row>
    <row r="13" spans="2:48" ht="15" customHeight="1">
      <c r="B13" s="79">
        <v>11</v>
      </c>
      <c r="C13" s="98" t="s">
        <v>614</v>
      </c>
      <c r="D13" s="80">
        <f t="shared" si="7"/>
        <v>4944</v>
      </c>
      <c r="E13" s="80">
        <f>24*5*2</f>
        <v>240</v>
      </c>
      <c r="F13" s="103">
        <f>1/20</f>
        <v>0.05</v>
      </c>
      <c r="G13" s="104">
        <f t="shared" si="0"/>
        <v>1.011326860841424E-5</v>
      </c>
      <c r="H13" s="80">
        <f t="shared" si="8"/>
        <v>98880</v>
      </c>
      <c r="I13" s="93">
        <f t="shared" si="9"/>
        <v>0.95122942450071402</v>
      </c>
      <c r="J13" s="104">
        <f t="shared" si="10"/>
        <v>9.6200386782030144E-6</v>
      </c>
      <c r="K13" s="104">
        <f t="shared" si="11"/>
        <v>0.99757869249394671</v>
      </c>
      <c r="L13" s="93"/>
      <c r="M13" s="93">
        <f t="shared" si="12"/>
        <v>4.4815277569620553E-2</v>
      </c>
      <c r="N13" s="104">
        <f t="shared" si="13"/>
        <v>9.0645787964442867E-6</v>
      </c>
      <c r="O13" s="80">
        <f>'MTTF OREDA'!K13</f>
        <v>104964.2054027744</v>
      </c>
      <c r="P13" s="93">
        <f t="shared" si="14"/>
        <v>0.95617409232283801</v>
      </c>
      <c r="Q13" s="104">
        <f t="shared" si="15"/>
        <v>8.6673154029789589E-6</v>
      </c>
      <c r="R13" s="104">
        <f t="shared" si="1"/>
        <v>0.99771872237349102</v>
      </c>
      <c r="S13" s="93"/>
      <c r="T13" s="143">
        <f t="shared" si="16"/>
        <v>0.05</v>
      </c>
      <c r="U13" s="144">
        <v>25000</v>
      </c>
      <c r="V13" s="145">
        <f t="shared" si="17"/>
        <v>1250</v>
      </c>
      <c r="W13" s="145">
        <f t="shared" si="18"/>
        <v>187.5</v>
      </c>
      <c r="X13" s="145">
        <f t="shared" si="2"/>
        <v>8172</v>
      </c>
      <c r="Y13" s="145">
        <f t="shared" si="3"/>
        <v>10076.613636363636</v>
      </c>
      <c r="Z13" s="241">
        <f t="shared" si="19"/>
        <v>9609.5</v>
      </c>
      <c r="AA13" s="310">
        <f t="shared" si="20"/>
        <v>1437.5973153409091</v>
      </c>
      <c r="AB13" s="143">
        <f t="shared" si="4"/>
        <v>4.4815277569620553E-2</v>
      </c>
      <c r="AC13" s="144">
        <v>25000</v>
      </c>
      <c r="AD13" s="145">
        <f t="shared" si="21"/>
        <v>1120.3819392405139</v>
      </c>
      <c r="AE13" s="145">
        <f t="shared" si="22"/>
        <v>168.05729088607708</v>
      </c>
      <c r="AF13" s="145">
        <f t="shared" si="5"/>
        <v>7324.6089659787831</v>
      </c>
      <c r="AG13" s="145">
        <f t="shared" si="6"/>
        <v>8613.1263757120159</v>
      </c>
      <c r="AH13" s="241">
        <f t="shared" si="23"/>
        <v>8613.0481961053738</v>
      </c>
      <c r="AI13" s="310">
        <f t="shared" si="24"/>
        <v>1288.5174097332333</v>
      </c>
      <c r="AM13" s="109" t="s">
        <v>599</v>
      </c>
      <c r="AN13" s="341">
        <v>2000</v>
      </c>
      <c r="AO13" t="s">
        <v>598</v>
      </c>
      <c r="AP13" s="172"/>
      <c r="AQ13" s="173"/>
      <c r="AR13" s="175"/>
      <c r="AV13" s="174"/>
    </row>
    <row r="14" spans="2:48" ht="15" customHeight="1">
      <c r="B14" s="79">
        <v>12</v>
      </c>
      <c r="C14" s="96" t="s">
        <v>615</v>
      </c>
      <c r="D14" s="80">
        <f t="shared" si="7"/>
        <v>4944</v>
      </c>
      <c r="E14" s="80">
        <v>48</v>
      </c>
      <c r="F14" s="103">
        <f>1/10</f>
        <v>0.1</v>
      </c>
      <c r="G14" s="104">
        <f t="shared" si="0"/>
        <v>2.0226537216828479E-5</v>
      </c>
      <c r="H14" s="80">
        <f t="shared" si="8"/>
        <v>49440</v>
      </c>
      <c r="I14" s="93">
        <f t="shared" si="9"/>
        <v>0.90483741803595952</v>
      </c>
      <c r="J14" s="104">
        <f t="shared" si="10"/>
        <v>1.8301727711083324E-5</v>
      </c>
      <c r="K14" s="104">
        <f t="shared" si="11"/>
        <v>0.99903006789524729</v>
      </c>
      <c r="L14" s="93"/>
      <c r="M14" s="93">
        <f t="shared" si="12"/>
        <v>9.8595804243431437E-2</v>
      </c>
      <c r="N14" s="104">
        <f t="shared" si="13"/>
        <v>1.9942517039529012E-5</v>
      </c>
      <c r="O14" s="80">
        <f>'MTTF OREDA'!K14</f>
        <v>49657.285495758581</v>
      </c>
      <c r="P14" s="93">
        <f t="shared" si="14"/>
        <v>0.90610887938014351</v>
      </c>
      <c r="Q14" s="104">
        <f t="shared" si="15"/>
        <v>1.8070091766707051E-5</v>
      </c>
      <c r="R14" s="104">
        <f t="shared" si="1"/>
        <v>0.9990343079308116</v>
      </c>
      <c r="S14" s="93"/>
      <c r="T14" s="143">
        <f t="shared" si="16"/>
        <v>0.1</v>
      </c>
      <c r="U14" s="144">
        <v>500</v>
      </c>
      <c r="V14" s="145">
        <f t="shared" si="17"/>
        <v>50</v>
      </c>
      <c r="W14" s="145">
        <f t="shared" si="18"/>
        <v>7.5</v>
      </c>
      <c r="X14" s="145">
        <f t="shared" si="2"/>
        <v>3268.8</v>
      </c>
      <c r="Y14" s="145">
        <f t="shared" si="3"/>
        <v>3513.1454545454549</v>
      </c>
      <c r="Z14" s="241">
        <f t="shared" si="19"/>
        <v>3326.3</v>
      </c>
      <c r="AA14" s="310">
        <f t="shared" si="20"/>
        <v>57.889261363636365</v>
      </c>
      <c r="AB14" s="143">
        <f t="shared" si="4"/>
        <v>9.8595804243431437E-2</v>
      </c>
      <c r="AC14" s="144">
        <v>500</v>
      </c>
      <c r="AD14" s="145">
        <f t="shared" si="21"/>
        <v>49.297902121715715</v>
      </c>
      <c r="AE14" s="145">
        <f t="shared" si="22"/>
        <v>7.3946853182573573</v>
      </c>
      <c r="AF14" s="145">
        <f t="shared" si="5"/>
        <v>3222.8996491092867</v>
      </c>
      <c r="AG14" s="145">
        <f t="shared" si="6"/>
        <v>3279.9706426830171</v>
      </c>
      <c r="AH14" s="241">
        <f t="shared" si="23"/>
        <v>3279.5922365492597</v>
      </c>
      <c r="AI14" s="310">
        <f t="shared" si="24"/>
        <v>57.070993573730554</v>
      </c>
      <c r="AM14" s="109" t="s">
        <v>600</v>
      </c>
      <c r="AN14" s="340">
        <f>400*12</f>
        <v>4800</v>
      </c>
      <c r="AO14" t="s">
        <v>596</v>
      </c>
      <c r="AP14" s="174"/>
      <c r="AQ14" s="173"/>
      <c r="AR14" s="175"/>
      <c r="AV14" s="174"/>
    </row>
    <row r="15" spans="2:48" ht="15" customHeight="1">
      <c r="B15" s="79">
        <v>13</v>
      </c>
      <c r="C15" s="97" t="s">
        <v>616</v>
      </c>
      <c r="D15" s="80">
        <f t="shared" si="7"/>
        <v>4944</v>
      </c>
      <c r="E15" s="80">
        <f>4</f>
        <v>4</v>
      </c>
      <c r="F15" s="103">
        <v>2</v>
      </c>
      <c r="G15" s="104">
        <f t="shared" si="0"/>
        <v>4.045307443365696E-4</v>
      </c>
      <c r="H15" s="80">
        <f t="shared" si="8"/>
        <v>2472</v>
      </c>
      <c r="I15" s="93">
        <f t="shared" si="9"/>
        <v>0.1353352832366127</v>
      </c>
      <c r="J15" s="104">
        <f t="shared" si="10"/>
        <v>5.4747282862707408E-5</v>
      </c>
      <c r="K15" s="104">
        <f t="shared" si="11"/>
        <v>0.99838449111470118</v>
      </c>
      <c r="L15" s="93"/>
      <c r="M15" s="93">
        <f t="shared" si="12"/>
        <v>1.8369191399690112</v>
      </c>
      <c r="N15" s="104">
        <f t="shared" si="13"/>
        <v>3.715451334888777E-4</v>
      </c>
      <c r="O15" s="80">
        <f>'MTTF OREDA'!K15</f>
        <v>2689.2854957585873</v>
      </c>
      <c r="P15" s="93">
        <f t="shared" si="14"/>
        <v>0.15930747486543848</v>
      </c>
      <c r="Q15" s="104">
        <f t="shared" si="15"/>
        <v>5.9189917014655364E-5</v>
      </c>
      <c r="R15" s="104">
        <f t="shared" si="1"/>
        <v>0.99851482510625067</v>
      </c>
      <c r="S15" s="93"/>
      <c r="T15" s="143">
        <f t="shared" si="16"/>
        <v>2</v>
      </c>
      <c r="U15" s="144">
        <v>62.5</v>
      </c>
      <c r="V15" s="145">
        <f t="shared" si="17"/>
        <v>125</v>
      </c>
      <c r="W15" s="145">
        <f t="shared" si="18"/>
        <v>18.75</v>
      </c>
      <c r="X15" s="145">
        <f t="shared" si="2"/>
        <v>5448</v>
      </c>
      <c r="Y15" s="145">
        <f t="shared" si="3"/>
        <v>5903.159090909091</v>
      </c>
      <c r="Z15" s="241">
        <f t="shared" si="19"/>
        <v>5591.75</v>
      </c>
      <c r="AA15" s="310">
        <f t="shared" si="20"/>
        <v>299.4545454545455</v>
      </c>
      <c r="AB15" s="143">
        <f t="shared" si="4"/>
        <v>1.8369191399690112</v>
      </c>
      <c r="AC15" s="144">
        <v>62.5</v>
      </c>
      <c r="AD15" s="145">
        <f t="shared" si="21"/>
        <v>114.8074462480632</v>
      </c>
      <c r="AE15" s="145">
        <f t="shared" si="22"/>
        <v>17.22111693720948</v>
      </c>
      <c r="AF15" s="145">
        <f t="shared" si="5"/>
        <v>5003.767737275587</v>
      </c>
      <c r="AG15" s="145">
        <f t="shared" si="6"/>
        <v>5267.1436696108631</v>
      </c>
      <c r="AH15" s="241">
        <f t="shared" si="23"/>
        <v>5135.79630046086</v>
      </c>
      <c r="AI15" s="310">
        <f t="shared" si="24"/>
        <v>263.37593233527582</v>
      </c>
      <c r="AM15" s="105"/>
      <c r="AN15" s="173"/>
      <c r="AO15" s="174"/>
      <c r="AP15" s="174"/>
      <c r="AQ15" s="173"/>
      <c r="AR15" s="175"/>
      <c r="AV15" s="174"/>
    </row>
    <row r="16" spans="2:48" ht="15" customHeight="1">
      <c r="B16" s="79">
        <v>14</v>
      </c>
      <c r="C16" s="96" t="s">
        <v>617</v>
      </c>
      <c r="D16" s="80">
        <f t="shared" si="7"/>
        <v>4944</v>
      </c>
      <c r="E16" s="80">
        <v>4</v>
      </c>
      <c r="F16" s="103">
        <f>1/3</f>
        <v>0.33333333333333331</v>
      </c>
      <c r="G16" s="104">
        <f t="shared" si="0"/>
        <v>6.7421790722761591E-5</v>
      </c>
      <c r="H16" s="80">
        <f t="shared" si="8"/>
        <v>14832.000000000002</v>
      </c>
      <c r="I16" s="93">
        <f t="shared" si="9"/>
        <v>0.71653131057378927</v>
      </c>
      <c r="J16" s="104">
        <f t="shared" si="10"/>
        <v>4.8309824067812111E-5</v>
      </c>
      <c r="K16" s="104">
        <f t="shared" si="11"/>
        <v>0.99973038554866545</v>
      </c>
      <c r="L16" s="93"/>
      <c r="M16" s="93">
        <f t="shared" si="12"/>
        <v>0.30426247662068645</v>
      </c>
      <c r="N16" s="104">
        <f t="shared" si="13"/>
        <v>6.1541763070527188E-5</v>
      </c>
      <c r="O16" s="80">
        <f>'MTTF OREDA'!K16</f>
        <v>16235.981692078738</v>
      </c>
      <c r="P16" s="93">
        <f t="shared" si="14"/>
        <v>0.73766722063868939</v>
      </c>
      <c r="Q16" s="104">
        <f t="shared" si="15"/>
        <v>4.5397341317440524E-5</v>
      </c>
      <c r="R16" s="104">
        <f t="shared" si="1"/>
        <v>0.99975369430361172</v>
      </c>
      <c r="S16" s="93"/>
      <c r="T16" s="143">
        <f t="shared" si="16"/>
        <v>0.33333333333333331</v>
      </c>
      <c r="U16" s="144">
        <v>100</v>
      </c>
      <c r="V16" s="145">
        <f t="shared" si="17"/>
        <v>33.333333333333329</v>
      </c>
      <c r="W16" s="145">
        <f t="shared" si="18"/>
        <v>4.9999999999999991</v>
      </c>
      <c r="X16" s="145">
        <f t="shared" si="2"/>
        <v>908</v>
      </c>
      <c r="Y16" s="145">
        <f t="shared" si="3"/>
        <v>998.2348484848485</v>
      </c>
      <c r="Z16" s="241">
        <f t="shared" si="19"/>
        <v>946.33333333333337</v>
      </c>
      <c r="AA16" s="310">
        <f t="shared" si="20"/>
        <v>42.658459595959592</v>
      </c>
      <c r="AB16" s="143">
        <f t="shared" si="4"/>
        <v>0.30426247662068645</v>
      </c>
      <c r="AC16" s="144">
        <v>100</v>
      </c>
      <c r="AD16" s="145">
        <f t="shared" si="21"/>
        <v>30.426247662068644</v>
      </c>
      <c r="AE16" s="145">
        <f t="shared" si="22"/>
        <v>4.5639371493102967</v>
      </c>
      <c r="AF16" s="145">
        <f t="shared" si="5"/>
        <v>828.81098631474993</v>
      </c>
      <c r="AG16" s="145">
        <f t="shared" si="6"/>
        <v>867.40478368413039</v>
      </c>
      <c r="AH16" s="241">
        <f t="shared" si="23"/>
        <v>863.80117112612891</v>
      </c>
      <c r="AI16" s="310">
        <f t="shared" si="24"/>
        <v>38.593797369380376</v>
      </c>
      <c r="AM16" s="105"/>
      <c r="AN16" s="173"/>
      <c r="AO16" s="174"/>
      <c r="AP16" s="174"/>
      <c r="AQ16" s="173"/>
      <c r="AR16" s="175"/>
      <c r="AV16" s="174"/>
    </row>
    <row r="17" spans="2:48" ht="15" customHeight="1">
      <c r="B17" s="79">
        <v>15</v>
      </c>
      <c r="C17" s="96" t="s">
        <v>33</v>
      </c>
      <c r="D17" s="80">
        <f t="shared" si="7"/>
        <v>4944</v>
      </c>
      <c r="E17" s="80">
        <f>4</f>
        <v>4</v>
      </c>
      <c r="F17" s="103">
        <f>1/10</f>
        <v>0.1</v>
      </c>
      <c r="G17" s="104">
        <f t="shared" si="0"/>
        <v>2.0226537216828479E-5</v>
      </c>
      <c r="H17" s="80">
        <f t="shared" si="8"/>
        <v>49440</v>
      </c>
      <c r="I17" s="93">
        <f t="shared" si="9"/>
        <v>0.90483741803595952</v>
      </c>
      <c r="J17" s="104">
        <f t="shared" si="10"/>
        <v>1.8301727711083324E-5</v>
      </c>
      <c r="K17" s="104">
        <f t="shared" si="11"/>
        <v>0.99991910039640808</v>
      </c>
      <c r="L17" s="93"/>
      <c r="M17" s="93">
        <f t="shared" si="12"/>
        <v>9.7159975194657702E-2</v>
      </c>
      <c r="N17" s="104">
        <f t="shared" si="13"/>
        <v>1.9652098542608759E-5</v>
      </c>
      <c r="O17" s="80">
        <f>'MTTF OREDA'!K17</f>
        <v>50843.981692078734</v>
      </c>
      <c r="P17" s="93">
        <f t="shared" si="14"/>
        <v>0.90741083129702471</v>
      </c>
      <c r="Q17" s="104">
        <f t="shared" si="15"/>
        <v>1.7832527075279663E-5</v>
      </c>
      <c r="R17" s="104">
        <f t="shared" si="1"/>
        <v>0.99992133414411166</v>
      </c>
      <c r="S17" s="93"/>
      <c r="T17" s="143">
        <f t="shared" si="16"/>
        <v>0.1</v>
      </c>
      <c r="U17" s="144">
        <v>81.25</v>
      </c>
      <c r="V17" s="145">
        <f t="shared" si="17"/>
        <v>8.125</v>
      </c>
      <c r="W17" s="145">
        <f t="shared" si="18"/>
        <v>1.21875</v>
      </c>
      <c r="X17" s="145">
        <f t="shared" si="2"/>
        <v>272.40000000000003</v>
      </c>
      <c r="Y17" s="145">
        <f t="shared" si="3"/>
        <v>297.31420454545457</v>
      </c>
      <c r="Z17" s="241">
        <f t="shared" si="19"/>
        <v>281.74375000000003</v>
      </c>
      <c r="AA17" s="310">
        <f t="shared" si="20"/>
        <v>9.7330113636363631</v>
      </c>
      <c r="AB17" s="143">
        <f t="shared" si="4"/>
        <v>9.7159975194657702E-2</v>
      </c>
      <c r="AC17" s="144">
        <v>81.25</v>
      </c>
      <c r="AD17" s="145">
        <f t="shared" si="21"/>
        <v>7.8942479845659381</v>
      </c>
      <c r="AE17" s="145">
        <f t="shared" si="22"/>
        <v>1.1841371976848907</v>
      </c>
      <c r="AF17" s="145">
        <f t="shared" si="5"/>
        <v>264.6637724302476</v>
      </c>
      <c r="AG17" s="145">
        <f t="shared" si="6"/>
        <v>274.10962270569496</v>
      </c>
      <c r="AH17" s="241">
        <f t="shared" si="23"/>
        <v>273.74215761249843</v>
      </c>
      <c r="AI17" s="310">
        <f t="shared" si="24"/>
        <v>9.4458502754473699</v>
      </c>
      <c r="AP17" s="174"/>
      <c r="AQ17" s="173"/>
      <c r="AR17" s="175"/>
      <c r="AV17" s="174"/>
    </row>
    <row r="18" spans="2:48" ht="15" customHeight="1">
      <c r="B18" s="79">
        <v>16</v>
      </c>
      <c r="C18" s="96" t="s">
        <v>618</v>
      </c>
      <c r="D18" s="80">
        <f t="shared" si="7"/>
        <v>4944</v>
      </c>
      <c r="E18" s="80">
        <v>3</v>
      </c>
      <c r="F18" s="103">
        <f>1/10</f>
        <v>0.1</v>
      </c>
      <c r="G18" s="104">
        <f t="shared" si="0"/>
        <v>2.0226537216828479E-5</v>
      </c>
      <c r="H18" s="80">
        <f t="shared" si="8"/>
        <v>49440</v>
      </c>
      <c r="I18" s="93">
        <f t="shared" si="9"/>
        <v>0.90483741803595952</v>
      </c>
      <c r="J18" s="104">
        <f t="shared" si="10"/>
        <v>1.8301727711083324E-5</v>
      </c>
      <c r="K18" s="104">
        <f t="shared" si="11"/>
        <v>0.99993932407014141</v>
      </c>
      <c r="L18" s="93"/>
      <c r="M18" s="93">
        <f t="shared" si="12"/>
        <v>9.717964320583071E-2</v>
      </c>
      <c r="N18" s="104">
        <f t="shared" si="13"/>
        <v>1.9656076700208477E-5</v>
      </c>
      <c r="O18" s="80">
        <f>'MTTF OREDA'!K18</f>
        <v>50843.981692078734</v>
      </c>
      <c r="P18" s="93">
        <f t="shared" si="14"/>
        <v>0.90739298450616224</v>
      </c>
      <c r="Q18" s="104">
        <f t="shared" si="15"/>
        <v>1.7835786100684206E-5</v>
      </c>
      <c r="R18" s="104">
        <f t="shared" si="1"/>
        <v>0.9999409994477515</v>
      </c>
      <c r="S18" s="93"/>
      <c r="T18" s="143">
        <f t="shared" si="16"/>
        <v>0.1</v>
      </c>
      <c r="U18" s="144">
        <v>31.25</v>
      </c>
      <c r="V18" s="145">
        <f t="shared" si="17"/>
        <v>3.125</v>
      </c>
      <c r="W18" s="145">
        <f t="shared" si="18"/>
        <v>0.46875</v>
      </c>
      <c r="X18" s="145">
        <f t="shared" si="2"/>
        <v>204.3</v>
      </c>
      <c r="Y18" s="145">
        <f t="shared" si="3"/>
        <v>219.57159090909093</v>
      </c>
      <c r="Z18" s="241">
        <f t="shared" si="19"/>
        <v>207.89375000000001</v>
      </c>
      <c r="AA18" s="310">
        <f t="shared" si="20"/>
        <v>3.983011363636364</v>
      </c>
      <c r="AB18" s="143">
        <f t="shared" si="4"/>
        <v>9.717964320583071E-2</v>
      </c>
      <c r="AC18" s="144">
        <v>31.25</v>
      </c>
      <c r="AD18" s="145">
        <f t="shared" si="21"/>
        <v>3.0368638501822098</v>
      </c>
      <c r="AE18" s="145">
        <f t="shared" si="22"/>
        <v>0.45552957752733148</v>
      </c>
      <c r="AF18" s="145">
        <f t="shared" si="5"/>
        <v>198.53801106951215</v>
      </c>
      <c r="AG18" s="145">
        <f t="shared" si="6"/>
        <v>202.39801837676885</v>
      </c>
      <c r="AH18" s="241">
        <f t="shared" si="23"/>
        <v>202.0304044972217</v>
      </c>
      <c r="AI18" s="310">
        <f t="shared" si="24"/>
        <v>3.8600073072566987</v>
      </c>
      <c r="AM18" s="105"/>
      <c r="AN18" s="105"/>
      <c r="AQ18" s="107"/>
      <c r="AR18" s="175"/>
      <c r="AV18" s="176"/>
    </row>
    <row r="19" spans="2:48" ht="15" customHeight="1">
      <c r="B19" s="79">
        <v>17</v>
      </c>
      <c r="C19" s="96" t="s">
        <v>53</v>
      </c>
      <c r="D19" s="80">
        <f t="shared" si="7"/>
        <v>4944</v>
      </c>
      <c r="E19" s="80">
        <v>4</v>
      </c>
      <c r="F19" s="103">
        <f>1/10</f>
        <v>0.1</v>
      </c>
      <c r="G19" s="104">
        <f t="shared" si="0"/>
        <v>2.0226537216828479E-5</v>
      </c>
      <c r="H19" s="80">
        <f t="shared" si="8"/>
        <v>49440</v>
      </c>
      <c r="I19" s="93">
        <f t="shared" si="9"/>
        <v>0.90483741803595952</v>
      </c>
      <c r="J19" s="104">
        <f t="shared" si="10"/>
        <v>1.8301727711083324E-5</v>
      </c>
      <c r="K19" s="104">
        <f t="shared" si="11"/>
        <v>0.99991910039640808</v>
      </c>
      <c r="L19" s="93"/>
      <c r="M19" s="93">
        <f t="shared" si="12"/>
        <v>9.7159975194657702E-2</v>
      </c>
      <c r="N19" s="104">
        <f t="shared" si="13"/>
        <v>1.9652098542608759E-5</v>
      </c>
      <c r="O19" s="80">
        <f>'MTTF OREDA'!K19</f>
        <v>50843.981692078734</v>
      </c>
      <c r="P19" s="93">
        <f t="shared" si="14"/>
        <v>0.90741083129702471</v>
      </c>
      <c r="Q19" s="104">
        <f t="shared" si="15"/>
        <v>1.7832527075279663E-5</v>
      </c>
      <c r="R19" s="104">
        <f t="shared" si="1"/>
        <v>0.99992133414411166</v>
      </c>
      <c r="S19" s="93"/>
      <c r="T19" s="143">
        <f t="shared" si="16"/>
        <v>0.1</v>
      </c>
      <c r="U19" s="144">
        <v>150</v>
      </c>
      <c r="V19" s="145">
        <f t="shared" si="17"/>
        <v>15</v>
      </c>
      <c r="W19" s="145">
        <f t="shared" si="18"/>
        <v>2.25</v>
      </c>
      <c r="X19" s="145">
        <f t="shared" si="2"/>
        <v>272.40000000000003</v>
      </c>
      <c r="Y19" s="145">
        <f t="shared" si="3"/>
        <v>305.22045454545457</v>
      </c>
      <c r="Z19" s="241">
        <f t="shared" si="19"/>
        <v>289.65000000000003</v>
      </c>
      <c r="AA19" s="310">
        <f t="shared" si="20"/>
        <v>17.639261363636365</v>
      </c>
      <c r="AB19" s="143">
        <f t="shared" si="4"/>
        <v>9.7159975194657702E-2</v>
      </c>
      <c r="AC19" s="144">
        <v>150</v>
      </c>
      <c r="AD19" s="145">
        <f t="shared" si="21"/>
        <v>14.573996279198655</v>
      </c>
      <c r="AE19" s="145">
        <f t="shared" si="22"/>
        <v>2.1860994418797981</v>
      </c>
      <c r="AF19" s="145">
        <f t="shared" si="5"/>
        <v>264.6637724302476</v>
      </c>
      <c r="AG19" s="145">
        <f t="shared" si="6"/>
        <v>281.7913332445226</v>
      </c>
      <c r="AH19" s="241">
        <f t="shared" si="23"/>
        <v>281.42386815132608</v>
      </c>
      <c r="AI19" s="310">
        <f t="shared" si="24"/>
        <v>17.127560814274997</v>
      </c>
    </row>
    <row r="20" spans="2:48" ht="15" customHeight="1">
      <c r="B20" s="79">
        <v>18</v>
      </c>
      <c r="C20" s="96" t="s">
        <v>619</v>
      </c>
      <c r="D20" s="80">
        <f t="shared" si="7"/>
        <v>4944</v>
      </c>
      <c r="E20" s="80">
        <f>5</f>
        <v>5</v>
      </c>
      <c r="F20" s="103">
        <f>1/10</f>
        <v>0.1</v>
      </c>
      <c r="G20" s="104">
        <f t="shared" si="0"/>
        <v>2.0226537216828479E-5</v>
      </c>
      <c r="H20" s="80">
        <f t="shared" si="8"/>
        <v>49440</v>
      </c>
      <c r="I20" s="93">
        <f t="shared" si="9"/>
        <v>0.90483741803595952</v>
      </c>
      <c r="J20" s="104">
        <f t="shared" si="10"/>
        <v>1.8301727711083324E-5</v>
      </c>
      <c r="K20" s="104">
        <f t="shared" si="11"/>
        <v>0.99989887754070184</v>
      </c>
      <c r="L20" s="93"/>
      <c r="M20" s="93">
        <f t="shared" si="12"/>
        <v>9.7140307183484695E-2</v>
      </c>
      <c r="N20" s="104">
        <f t="shared" si="13"/>
        <v>1.9648120385009042E-5</v>
      </c>
      <c r="O20" s="80">
        <f>'MTTF OREDA'!K20</f>
        <v>50843.981692078734</v>
      </c>
      <c r="P20" s="93">
        <f t="shared" si="14"/>
        <v>0.9074286784389014</v>
      </c>
      <c r="Q20" s="104">
        <f t="shared" si="15"/>
        <v>1.7829267914777194E-5</v>
      </c>
      <c r="R20" s="104">
        <f t="shared" si="1"/>
        <v>0.99990166961395066</v>
      </c>
      <c r="S20" s="93"/>
      <c r="T20" s="143">
        <f t="shared" si="16"/>
        <v>0.1</v>
      </c>
      <c r="U20" s="144">
        <v>1125</v>
      </c>
      <c r="V20" s="145">
        <f t="shared" si="17"/>
        <v>112.5</v>
      </c>
      <c r="W20" s="145">
        <f t="shared" si="18"/>
        <v>16.875</v>
      </c>
      <c r="X20" s="145">
        <f t="shared" si="2"/>
        <v>340.5</v>
      </c>
      <c r="Y20" s="145">
        <f t="shared" si="3"/>
        <v>489.33806818181819</v>
      </c>
      <c r="Z20" s="241">
        <f t="shared" si="19"/>
        <v>469.875</v>
      </c>
      <c r="AA20" s="310">
        <f t="shared" si="20"/>
        <v>129.76426136363636</v>
      </c>
      <c r="AB20" s="143">
        <f t="shared" si="4"/>
        <v>9.7140307183484695E-2</v>
      </c>
      <c r="AC20" s="144">
        <v>1125</v>
      </c>
      <c r="AD20" s="145">
        <f t="shared" si="21"/>
        <v>109.28284558142028</v>
      </c>
      <c r="AE20" s="145">
        <f t="shared" si="22"/>
        <v>16.392426837213041</v>
      </c>
      <c r="AF20" s="145">
        <f t="shared" si="5"/>
        <v>330.76274595976537</v>
      </c>
      <c r="AG20" s="145">
        <f t="shared" si="6"/>
        <v>456.80533471536023</v>
      </c>
      <c r="AH20" s="241">
        <f t="shared" si="23"/>
        <v>456.43801837839868</v>
      </c>
      <c r="AI20" s="310">
        <f t="shared" si="24"/>
        <v>126.04258875559489</v>
      </c>
      <c r="AO20" s="163"/>
      <c r="AP20" s="164"/>
      <c r="AQ20" s="164"/>
      <c r="AR20" s="164"/>
      <c r="AV20" s="164"/>
    </row>
    <row r="21" spans="2:48" ht="15" customHeight="1">
      <c r="B21" s="79">
        <v>19</v>
      </c>
      <c r="C21" s="96" t="s">
        <v>620</v>
      </c>
      <c r="D21" s="80">
        <f t="shared" si="7"/>
        <v>4944</v>
      </c>
      <c r="E21" s="80">
        <v>4</v>
      </c>
      <c r="F21" s="103">
        <f>1/5</f>
        <v>0.2</v>
      </c>
      <c r="G21" s="104">
        <f t="shared" si="0"/>
        <v>4.0453074433656958E-5</v>
      </c>
      <c r="H21" s="80">
        <f t="shared" si="8"/>
        <v>24720</v>
      </c>
      <c r="I21" s="93">
        <f t="shared" si="9"/>
        <v>0.81873075307798182</v>
      </c>
      <c r="J21" s="104">
        <f t="shared" si="10"/>
        <v>3.3120176095387615E-5</v>
      </c>
      <c r="K21" s="104">
        <f t="shared" si="11"/>
        <v>0.99983821388124894</v>
      </c>
      <c r="L21" s="93"/>
      <c r="M21" s="93">
        <f t="shared" si="12"/>
        <v>0.18909827981918612</v>
      </c>
      <c r="N21" s="104">
        <f t="shared" si="13"/>
        <v>3.8248033944010136E-5</v>
      </c>
      <c r="O21" s="80">
        <f>'MTTF OREDA'!K21</f>
        <v>26123.981692078734</v>
      </c>
      <c r="P21" s="93">
        <f t="shared" si="14"/>
        <v>0.82770515598416305</v>
      </c>
      <c r="Q21" s="104">
        <f t="shared" si="15"/>
        <v>3.1658094901714472E-5</v>
      </c>
      <c r="R21" s="104">
        <f t="shared" si="1"/>
        <v>0.99984690742487725</v>
      </c>
      <c r="S21" s="93"/>
      <c r="T21" s="143">
        <f t="shared" si="16"/>
        <v>0.2</v>
      </c>
      <c r="U21" s="144">
        <v>93.75</v>
      </c>
      <c r="V21" s="145">
        <f>T21*U21</f>
        <v>18.75</v>
      </c>
      <c r="W21" s="145">
        <f t="shared" si="18"/>
        <v>2.8125</v>
      </c>
      <c r="X21" s="145">
        <f t="shared" si="2"/>
        <v>544.80000000000007</v>
      </c>
      <c r="Y21" s="145">
        <f t="shared" si="3"/>
        <v>597.50340909090914</v>
      </c>
      <c r="Z21" s="241">
        <f t="shared" si="19"/>
        <v>566.36250000000007</v>
      </c>
      <c r="AA21" s="310">
        <f t="shared" si="20"/>
        <v>23.119545454545456</v>
      </c>
      <c r="AB21" s="143">
        <f t="shared" si="4"/>
        <v>0.18909827981918612</v>
      </c>
      <c r="AC21" s="144">
        <v>93.75</v>
      </c>
      <c r="AD21" s="145">
        <f t="shared" si="21"/>
        <v>17.7279637330487</v>
      </c>
      <c r="AE21" s="145">
        <f t="shared" si="22"/>
        <v>2.6591945599573048</v>
      </c>
      <c r="AF21" s="145">
        <f t="shared" si="5"/>
        <v>515.103714227463</v>
      </c>
      <c r="AG21" s="145">
        <f t="shared" si="6"/>
        <v>536.88279951057621</v>
      </c>
      <c r="AH21" s="241">
        <f t="shared" si="23"/>
        <v>535.490872520469</v>
      </c>
      <c r="AI21" s="310">
        <f t="shared" si="24"/>
        <v>21.779085283113222</v>
      </c>
    </row>
    <row r="22" spans="2:48" ht="15" customHeight="1">
      <c r="B22" s="79">
        <v>20</v>
      </c>
      <c r="C22" s="96" t="s">
        <v>621</v>
      </c>
      <c r="D22" s="80">
        <f t="shared" si="7"/>
        <v>4944</v>
      </c>
      <c r="E22" s="80">
        <f>3</f>
        <v>3</v>
      </c>
      <c r="F22" s="103">
        <f>1/5</f>
        <v>0.2</v>
      </c>
      <c r="G22" s="104">
        <f t="shared" si="0"/>
        <v>4.0453074433656958E-5</v>
      </c>
      <c r="H22" s="80">
        <f t="shared" si="8"/>
        <v>24720</v>
      </c>
      <c r="I22" s="93">
        <f t="shared" si="9"/>
        <v>0.81873075307798182</v>
      </c>
      <c r="J22" s="104">
        <f t="shared" si="10"/>
        <v>3.3120176095387615E-5</v>
      </c>
      <c r="K22" s="104">
        <f t="shared" si="11"/>
        <v>0.99987865550297295</v>
      </c>
      <c r="L22" s="93"/>
      <c r="M22" s="93">
        <f t="shared" si="12"/>
        <v>0.1891365588231981</v>
      </c>
      <c r="N22" s="104">
        <f t="shared" si="13"/>
        <v>3.8255776461002853E-5</v>
      </c>
      <c r="O22" s="80">
        <f>'MTTF OREDA'!K22</f>
        <v>26123.981692078734</v>
      </c>
      <c r="P22" s="93">
        <f t="shared" si="14"/>
        <v>0.82767347286157944</v>
      </c>
      <c r="Q22" s="104">
        <f t="shared" si="15"/>
        <v>3.1663291360494492E-5</v>
      </c>
      <c r="R22" s="104">
        <f t="shared" si="1"/>
        <v>0.9998851761739892</v>
      </c>
      <c r="S22" s="93"/>
      <c r="T22" s="143">
        <f t="shared" si="16"/>
        <v>0.2</v>
      </c>
      <c r="U22" s="144">
        <v>125</v>
      </c>
      <c r="V22" s="145">
        <f t="shared" si="17"/>
        <v>25</v>
      </c>
      <c r="W22" s="145">
        <f t="shared" si="18"/>
        <v>3.75</v>
      </c>
      <c r="X22" s="145">
        <f t="shared" si="2"/>
        <v>408.6</v>
      </c>
      <c r="Y22" s="145">
        <f t="shared" si="3"/>
        <v>460.70568181818186</v>
      </c>
      <c r="Z22" s="241">
        <f t="shared" si="19"/>
        <v>437.35</v>
      </c>
      <c r="AA22" s="310">
        <f t="shared" si="20"/>
        <v>30.307045454545456</v>
      </c>
      <c r="AB22" s="143">
        <f t="shared" si="4"/>
        <v>0.1891365588231981</v>
      </c>
      <c r="AC22" s="144">
        <v>125</v>
      </c>
      <c r="AD22" s="145">
        <f t="shared" si="21"/>
        <v>23.642069852899763</v>
      </c>
      <c r="AE22" s="145">
        <f t="shared" si="22"/>
        <v>3.5463104779349641</v>
      </c>
      <c r="AF22" s="145">
        <f t="shared" si="5"/>
        <v>386.40598967579371</v>
      </c>
      <c r="AG22" s="145">
        <f t="shared" si="6"/>
        <v>414.98686058696779</v>
      </c>
      <c r="AH22" s="241">
        <f t="shared" si="23"/>
        <v>413.59437000662842</v>
      </c>
      <c r="AI22" s="310">
        <f t="shared" si="24"/>
        <v>28.580870911174095</v>
      </c>
    </row>
    <row r="23" spans="2:48" ht="15" customHeight="1">
      <c r="B23" s="79">
        <v>21</v>
      </c>
      <c r="C23" s="96" t="s">
        <v>622</v>
      </c>
      <c r="D23" s="80">
        <f t="shared" si="7"/>
        <v>4944</v>
      </c>
      <c r="E23" s="80">
        <f>4</f>
        <v>4</v>
      </c>
      <c r="F23" s="103">
        <f>1/10</f>
        <v>0.1</v>
      </c>
      <c r="G23" s="104">
        <f t="shared" si="0"/>
        <v>2.0226537216828479E-5</v>
      </c>
      <c r="H23" s="80">
        <f t="shared" si="8"/>
        <v>49440</v>
      </c>
      <c r="I23" s="93">
        <f t="shared" si="9"/>
        <v>0.90483741803595952</v>
      </c>
      <c r="J23" s="104">
        <f t="shared" si="10"/>
        <v>1.8301727711083324E-5</v>
      </c>
      <c r="K23" s="104">
        <f t="shared" si="11"/>
        <v>0.99991910039640808</v>
      </c>
      <c r="L23" s="93"/>
      <c r="M23" s="93">
        <f t="shared" si="12"/>
        <v>9.5511459600083864E-2</v>
      </c>
      <c r="N23" s="104">
        <f t="shared" si="13"/>
        <v>1.931866092234706E-5</v>
      </c>
      <c r="O23" s="80">
        <f>'MTTF OREDA'!K23</f>
        <v>51721.542322610076</v>
      </c>
      <c r="P23" s="93">
        <f t="shared" si="14"/>
        <v>0.90890794587241819</v>
      </c>
      <c r="Q23" s="104">
        <f t="shared" si="15"/>
        <v>1.7558884415936222E-5</v>
      </c>
      <c r="R23" s="104">
        <f t="shared" si="1"/>
        <v>0.99992266876633107</v>
      </c>
      <c r="S23" s="93"/>
      <c r="T23" s="143">
        <f t="shared" si="16"/>
        <v>0.1</v>
      </c>
      <c r="U23" s="144">
        <v>781.25</v>
      </c>
      <c r="V23" s="145">
        <f t="shared" si="17"/>
        <v>78.125</v>
      </c>
      <c r="W23" s="145">
        <f t="shared" si="18"/>
        <v>11.71875</v>
      </c>
      <c r="X23" s="145">
        <f t="shared" si="2"/>
        <v>272.40000000000003</v>
      </c>
      <c r="Y23" s="145">
        <f t="shared" si="3"/>
        <v>377.81420454545457</v>
      </c>
      <c r="Z23" s="241">
        <f t="shared" si="19"/>
        <v>362.24375000000003</v>
      </c>
      <c r="AA23" s="310">
        <f t="shared" si="20"/>
        <v>90.233011363636365</v>
      </c>
      <c r="AB23" s="143">
        <f t="shared" si="4"/>
        <v>9.5511459600083864E-2</v>
      </c>
      <c r="AC23" s="144">
        <v>781.25</v>
      </c>
      <c r="AD23" s="145">
        <f t="shared" si="21"/>
        <v>74.618327812565525</v>
      </c>
      <c r="AE23" s="145">
        <f t="shared" si="22"/>
        <v>11.192749171884829</v>
      </c>
      <c r="AF23" s="145">
        <f t="shared" si="5"/>
        <v>260.17321595062845</v>
      </c>
      <c r="AG23" s="145">
        <f t="shared" si="6"/>
        <v>346.3393942362506</v>
      </c>
      <c r="AH23" s="241">
        <f t="shared" si="23"/>
        <v>345.98429293507877</v>
      </c>
      <c r="AI23" s="310">
        <f t="shared" si="24"/>
        <v>86.166178285622195</v>
      </c>
    </row>
    <row r="24" spans="2:48" ht="15" customHeight="1">
      <c r="B24" s="79">
        <v>22</v>
      </c>
      <c r="C24" s="96" t="s">
        <v>623</v>
      </c>
      <c r="D24" s="80">
        <f t="shared" si="7"/>
        <v>4944</v>
      </c>
      <c r="E24" s="80">
        <f>4</f>
        <v>4</v>
      </c>
      <c r="F24" s="103">
        <f>1/2</f>
        <v>0.5</v>
      </c>
      <c r="G24" s="104">
        <f t="shared" si="0"/>
        <v>1.011326860841424E-4</v>
      </c>
      <c r="H24" s="80">
        <f t="shared" si="8"/>
        <v>9888</v>
      </c>
      <c r="I24" s="93">
        <f t="shared" si="9"/>
        <v>0.60653065971263342</v>
      </c>
      <c r="J24" s="104">
        <f t="shared" si="10"/>
        <v>6.1340074809125548E-5</v>
      </c>
      <c r="K24" s="104">
        <f t="shared" si="11"/>
        <v>0.99959563283461383</v>
      </c>
      <c r="L24" s="93"/>
      <c r="M24" s="93">
        <f t="shared" si="12"/>
        <v>0.40593145321676194</v>
      </c>
      <c r="N24" s="104">
        <f t="shared" si="13"/>
        <v>8.2105876459701041E-5</v>
      </c>
      <c r="O24" s="80">
        <f>'MTTF OREDA'!K24</f>
        <v>12169.542322610085</v>
      </c>
      <c r="P24" s="93">
        <f t="shared" si="14"/>
        <v>0.66635584240892087</v>
      </c>
      <c r="Q24" s="104">
        <f t="shared" si="15"/>
        <v>5.4711730475026873E-5</v>
      </c>
      <c r="R24" s="104">
        <f t="shared" si="1"/>
        <v>0.99967141856544328</v>
      </c>
      <c r="S24" s="93"/>
      <c r="T24" s="143">
        <f t="shared" si="16"/>
        <v>0.5</v>
      </c>
      <c r="U24" s="144">
        <v>37.5</v>
      </c>
      <c r="V24" s="145">
        <f t="shared" si="17"/>
        <v>18.75</v>
      </c>
      <c r="W24" s="145">
        <f t="shared" si="18"/>
        <v>2.8125</v>
      </c>
      <c r="X24" s="145">
        <f t="shared" si="2"/>
        <v>1362</v>
      </c>
      <c r="Y24" s="145">
        <f t="shared" si="3"/>
        <v>1461.4147727272727</v>
      </c>
      <c r="Z24" s="241">
        <f t="shared" si="19"/>
        <v>1383.5625</v>
      </c>
      <c r="AA24" s="310">
        <f t="shared" si="20"/>
        <v>31.294034090909093</v>
      </c>
      <c r="AB24" s="143">
        <f t="shared" si="4"/>
        <v>0.40593145321676194</v>
      </c>
      <c r="AC24" s="144">
        <v>37.5</v>
      </c>
      <c r="AD24" s="145">
        <f t="shared" si="21"/>
        <v>15.222429495628573</v>
      </c>
      <c r="AE24" s="145">
        <f t="shared" si="22"/>
        <v>2.2833644243442857</v>
      </c>
      <c r="AF24" s="145">
        <f t="shared" si="5"/>
        <v>1105.7572785624595</v>
      </c>
      <c r="AG24" s="145">
        <f t="shared" si="6"/>
        <v>1129.677334650687</v>
      </c>
      <c r="AH24" s="241">
        <f t="shared" si="23"/>
        <v>1123.2630724824323</v>
      </c>
      <c r="AI24" s="310">
        <f t="shared" si="24"/>
        <v>23.92005608822749</v>
      </c>
    </row>
    <row r="25" spans="2:48" ht="15" customHeight="1">
      <c r="B25" s="79">
        <v>23</v>
      </c>
      <c r="C25" s="96" t="s">
        <v>624</v>
      </c>
      <c r="D25" s="80">
        <f t="shared" si="7"/>
        <v>4944</v>
      </c>
      <c r="E25" s="80">
        <f>4</f>
        <v>4</v>
      </c>
      <c r="F25" s="103">
        <f>1/2</f>
        <v>0.5</v>
      </c>
      <c r="G25" s="104">
        <f t="shared" si="0"/>
        <v>1.011326860841424E-4</v>
      </c>
      <c r="H25" s="80">
        <f t="shared" si="8"/>
        <v>9888</v>
      </c>
      <c r="I25" s="93">
        <f t="shared" si="9"/>
        <v>0.60653065971263342</v>
      </c>
      <c r="J25" s="104">
        <f t="shared" si="10"/>
        <v>6.1340074809125548E-5</v>
      </c>
      <c r="K25" s="104">
        <f t="shared" si="11"/>
        <v>0.99959563283461383</v>
      </c>
      <c r="L25" s="93"/>
      <c r="M25" s="93">
        <f t="shared" si="12"/>
        <v>0.40593145321676194</v>
      </c>
      <c r="N25" s="104">
        <f t="shared" si="13"/>
        <v>8.2105876459701041E-5</v>
      </c>
      <c r="O25" s="80">
        <f>'MTTF OREDA'!K25</f>
        <v>12169.542322610085</v>
      </c>
      <c r="P25" s="93">
        <f t="shared" si="14"/>
        <v>0.66635584240892087</v>
      </c>
      <c r="Q25" s="104">
        <f t="shared" si="15"/>
        <v>5.4711730475026873E-5</v>
      </c>
      <c r="R25" s="104">
        <f t="shared" si="1"/>
        <v>0.99967141856544328</v>
      </c>
      <c r="S25" s="93"/>
      <c r="T25" s="143">
        <f t="shared" si="16"/>
        <v>0.5</v>
      </c>
      <c r="U25" s="144">
        <v>43.75</v>
      </c>
      <c r="V25" s="145">
        <f t="shared" si="17"/>
        <v>21.875</v>
      </c>
      <c r="W25" s="145">
        <f t="shared" si="18"/>
        <v>3.28125</v>
      </c>
      <c r="X25" s="145">
        <f t="shared" si="2"/>
        <v>1362</v>
      </c>
      <c r="Y25" s="145">
        <f t="shared" si="3"/>
        <v>1465.0085227272727</v>
      </c>
      <c r="Z25" s="241">
        <f t="shared" si="19"/>
        <v>1387.15625</v>
      </c>
      <c r="AA25" s="310">
        <f t="shared" si="20"/>
        <v>34.887784090909093</v>
      </c>
      <c r="AB25" s="143">
        <f t="shared" si="4"/>
        <v>0.40593145321676194</v>
      </c>
      <c r="AC25" s="144">
        <v>43.75</v>
      </c>
      <c r="AD25" s="145">
        <f t="shared" si="21"/>
        <v>17.759501078233335</v>
      </c>
      <c r="AE25" s="145">
        <f t="shared" si="22"/>
        <v>2.6639251617349999</v>
      </c>
      <c r="AF25" s="145">
        <f t="shared" si="5"/>
        <v>1105.7572785624595</v>
      </c>
      <c r="AG25" s="145">
        <f t="shared" si="6"/>
        <v>1132.5949669706827</v>
      </c>
      <c r="AH25" s="241">
        <f t="shared" si="23"/>
        <v>1126.180704802428</v>
      </c>
      <c r="AI25" s="310">
        <f t="shared" si="24"/>
        <v>26.837688408222967</v>
      </c>
    </row>
    <row r="26" spans="2:48" ht="15" customHeight="1">
      <c r="B26" s="79">
        <v>24</v>
      </c>
      <c r="C26" s="96" t="s">
        <v>625</v>
      </c>
      <c r="D26" s="80">
        <f t="shared" si="7"/>
        <v>4944</v>
      </c>
      <c r="E26" s="80">
        <f>24*3</f>
        <v>72</v>
      </c>
      <c r="F26" s="103">
        <f>1/5</f>
        <v>0.2</v>
      </c>
      <c r="G26" s="104">
        <f t="shared" si="0"/>
        <v>4.0453074433656958E-5</v>
      </c>
      <c r="H26" s="80">
        <f t="shared" si="8"/>
        <v>24720</v>
      </c>
      <c r="I26" s="93">
        <f t="shared" si="9"/>
        <v>0.81873075307798182</v>
      </c>
      <c r="J26" s="104">
        <f t="shared" si="10"/>
        <v>3.3120176095387615E-5</v>
      </c>
      <c r="K26" s="104">
        <f t="shared" si="11"/>
        <v>0.99709583736689256</v>
      </c>
      <c r="L26" s="93"/>
      <c r="M26" s="93">
        <f t="shared" si="12"/>
        <v>0.18649530754637142</v>
      </c>
      <c r="N26" s="104">
        <f t="shared" si="13"/>
        <v>3.7721542788505548E-5</v>
      </c>
      <c r="O26" s="80">
        <f>'MTTF OREDA'!K26</f>
        <v>26123.981692078734</v>
      </c>
      <c r="P26" s="93">
        <f t="shared" si="14"/>
        <v>0.82986245603330255</v>
      </c>
      <c r="Q26" s="104">
        <f t="shared" si="15"/>
        <v>3.1303692143834524E-5</v>
      </c>
      <c r="R26" s="104">
        <f t="shared" si="1"/>
        <v>0.99725148685602527</v>
      </c>
      <c r="S26" s="93"/>
      <c r="T26" s="143">
        <f t="shared" si="16"/>
        <v>0.2</v>
      </c>
      <c r="U26" s="144">
        <v>375</v>
      </c>
      <c r="V26" s="145">
        <f t="shared" si="17"/>
        <v>75</v>
      </c>
      <c r="W26" s="145">
        <f t="shared" si="18"/>
        <v>11.25</v>
      </c>
      <c r="X26" s="145">
        <f t="shared" si="2"/>
        <v>9806.4</v>
      </c>
      <c r="Y26" s="145">
        <f t="shared" si="3"/>
        <v>10453.186363636363</v>
      </c>
      <c r="Z26" s="241">
        <f t="shared" si="19"/>
        <v>9892.65</v>
      </c>
      <c r="AA26" s="310">
        <f t="shared" si="20"/>
        <v>87.80704545454546</v>
      </c>
      <c r="AB26" s="143">
        <f t="shared" si="4"/>
        <v>0.18649530754637142</v>
      </c>
      <c r="AC26" s="144">
        <v>375</v>
      </c>
      <c r="AD26" s="145">
        <f t="shared" si="21"/>
        <v>69.935740329889285</v>
      </c>
      <c r="AE26" s="145">
        <f t="shared" si="22"/>
        <v>10.490361049483392</v>
      </c>
      <c r="AF26" s="145">
        <f t="shared" si="5"/>
        <v>9144.2379196136826</v>
      </c>
      <c r="AG26" s="145">
        <f t="shared" si="6"/>
        <v>9226.0178914686057</v>
      </c>
      <c r="AH26" s="241">
        <f t="shared" si="23"/>
        <v>9224.6640209930556</v>
      </c>
      <c r="AI26" s="310">
        <f t="shared" si="24"/>
        <v>81.779971854923389</v>
      </c>
    </row>
    <row r="27" spans="2:48" ht="15" customHeight="1">
      <c r="B27" s="79">
        <v>25</v>
      </c>
      <c r="C27" s="96" t="s">
        <v>626</v>
      </c>
      <c r="D27" s="80">
        <f t="shared" si="7"/>
        <v>4944</v>
      </c>
      <c r="E27" s="80">
        <f>2</f>
        <v>2</v>
      </c>
      <c r="F27" s="103">
        <f>1/5</f>
        <v>0.2</v>
      </c>
      <c r="G27" s="104">
        <f t="shared" si="0"/>
        <v>4.0453074433656958E-5</v>
      </c>
      <c r="H27" s="80">
        <f t="shared" si="8"/>
        <v>24720</v>
      </c>
      <c r="I27" s="93">
        <f t="shared" si="9"/>
        <v>0.81873075307798182</v>
      </c>
      <c r="J27" s="104">
        <f t="shared" si="10"/>
        <v>3.3120176095387615E-5</v>
      </c>
      <c r="K27" s="104">
        <f t="shared" si="11"/>
        <v>0.99991910039640808</v>
      </c>
      <c r="L27" s="93"/>
      <c r="M27" s="93">
        <f t="shared" si="12"/>
        <v>0.18917483782721009</v>
      </c>
      <c r="N27" s="104">
        <f t="shared" si="13"/>
        <v>3.8263518977995571E-5</v>
      </c>
      <c r="O27" s="80">
        <f>'MTTF OREDA'!K27</f>
        <v>26123.981692078734</v>
      </c>
      <c r="P27" s="93">
        <f t="shared" si="14"/>
        <v>0.82764179095177093</v>
      </c>
      <c r="Q27" s="104">
        <f t="shared" si="15"/>
        <v>3.166848737506533E-5</v>
      </c>
      <c r="R27" s="104">
        <f t="shared" si="1"/>
        <v>0.99992344785265597</v>
      </c>
      <c r="S27" s="93"/>
      <c r="T27" s="143">
        <f t="shared" si="16"/>
        <v>0.2</v>
      </c>
      <c r="U27" s="144">
        <v>187.5</v>
      </c>
      <c r="V27" s="145">
        <f t="shared" si="17"/>
        <v>37.5</v>
      </c>
      <c r="W27" s="145">
        <f t="shared" si="18"/>
        <v>5.625</v>
      </c>
      <c r="X27" s="145">
        <f t="shared" si="2"/>
        <v>272.40000000000003</v>
      </c>
      <c r="Y27" s="145">
        <f t="shared" si="3"/>
        <v>331.09545454545457</v>
      </c>
      <c r="Z27" s="241">
        <f t="shared" si="19"/>
        <v>315.52500000000003</v>
      </c>
      <c r="AA27" s="310">
        <f t="shared" si="20"/>
        <v>44.682045454545452</v>
      </c>
      <c r="AB27" s="143">
        <f t="shared" si="4"/>
        <v>0.18917483782721009</v>
      </c>
      <c r="AC27" s="144">
        <v>187.5</v>
      </c>
      <c r="AD27" s="145">
        <f t="shared" si="21"/>
        <v>35.470282092601892</v>
      </c>
      <c r="AE27" s="145">
        <f t="shared" si="22"/>
        <v>5.3205423138902832</v>
      </c>
      <c r="AF27" s="145">
        <f t="shared" si="5"/>
        <v>257.65612912066013</v>
      </c>
      <c r="AG27" s="145">
        <f t="shared" si="6"/>
        <v>299.84000781179935</v>
      </c>
      <c r="AH27" s="241">
        <f t="shared" si="23"/>
        <v>298.44695352715229</v>
      </c>
      <c r="AI27" s="310">
        <f t="shared" si="24"/>
        <v>42.183878691139242</v>
      </c>
    </row>
    <row r="28" spans="2:48" ht="15" customHeight="1">
      <c r="B28" s="79">
        <v>26</v>
      </c>
      <c r="C28" s="97" t="s">
        <v>42</v>
      </c>
      <c r="D28" s="80">
        <f t="shared" si="7"/>
        <v>4944</v>
      </c>
      <c r="E28" s="80">
        <f>36</f>
        <v>36</v>
      </c>
      <c r="F28" s="103">
        <f>1/30</f>
        <v>3.3333333333333333E-2</v>
      </c>
      <c r="G28" s="104">
        <f t="shared" si="0"/>
        <v>6.7421790722761597E-6</v>
      </c>
      <c r="H28" s="80">
        <f t="shared" si="8"/>
        <v>148320</v>
      </c>
      <c r="I28" s="93">
        <f t="shared" si="9"/>
        <v>0.9672161004820059</v>
      </c>
      <c r="J28" s="104">
        <f t="shared" si="10"/>
        <v>6.5211441510383357E-6</v>
      </c>
      <c r="K28" s="104">
        <f t="shared" si="11"/>
        <v>0.99975734045134679</v>
      </c>
      <c r="L28" s="93"/>
      <c r="M28" s="93">
        <f t="shared" si="12"/>
        <v>3.2589307681101701E-2</v>
      </c>
      <c r="N28" s="104">
        <f t="shared" si="13"/>
        <v>6.5916884468247777E-6</v>
      </c>
      <c r="O28" s="80">
        <f>'MTTF OREDA'!K28</f>
        <v>150601.5423226101</v>
      </c>
      <c r="P28" s="93">
        <f t="shared" si="14"/>
        <v>0.96793600185134898</v>
      </c>
      <c r="Q28" s="104">
        <f t="shared" si="15"/>
        <v>6.3803325606693035E-6</v>
      </c>
      <c r="R28" s="104">
        <f t="shared" si="1"/>
        <v>0.99976101575049003</v>
      </c>
      <c r="S28" s="93"/>
      <c r="T28" s="143">
        <f t="shared" si="16"/>
        <v>3.3333333333333333E-2</v>
      </c>
      <c r="U28" s="144">
        <v>3125</v>
      </c>
      <c r="V28" s="145">
        <f t="shared" si="17"/>
        <v>104.16666666666667</v>
      </c>
      <c r="W28" s="145">
        <f t="shared" si="18"/>
        <v>15.625</v>
      </c>
      <c r="X28" s="145">
        <f t="shared" si="2"/>
        <v>817.2</v>
      </c>
      <c r="Y28" s="145">
        <f t="shared" si="3"/>
        <v>983.70303030303035</v>
      </c>
      <c r="Z28" s="241">
        <f t="shared" si="19"/>
        <v>936.99166666666667</v>
      </c>
      <c r="AA28" s="310">
        <f t="shared" si="20"/>
        <v>119.83491792929293</v>
      </c>
      <c r="AB28" s="143">
        <f t="shared" si="4"/>
        <v>3.2589307681101701E-2</v>
      </c>
      <c r="AC28" s="144">
        <v>3125</v>
      </c>
      <c r="AD28" s="145">
        <f t="shared" si="21"/>
        <v>101.84158650344281</v>
      </c>
      <c r="AE28" s="145">
        <f t="shared" si="22"/>
        <v>15.276237975516421</v>
      </c>
      <c r="AF28" s="145">
        <f t="shared" si="5"/>
        <v>798.95946710988926</v>
      </c>
      <c r="AG28" s="145">
        <f t="shared" si="6"/>
        <v>916.11863359704535</v>
      </c>
      <c r="AH28" s="241">
        <f t="shared" si="23"/>
        <v>916.07729158884854</v>
      </c>
      <c r="AI28" s="310">
        <f t="shared" si="24"/>
        <v>117.15916648715606</v>
      </c>
    </row>
    <row r="29" spans="2:48" ht="15" customHeight="1">
      <c r="B29" s="79">
        <v>27</v>
      </c>
      <c r="C29" s="96" t="s">
        <v>627</v>
      </c>
      <c r="D29" s="80">
        <f t="shared" si="7"/>
        <v>4944</v>
      </c>
      <c r="E29" s="80">
        <v>8</v>
      </c>
      <c r="F29" s="103">
        <f t="shared" ref="F29" si="28">1/5</f>
        <v>0.2</v>
      </c>
      <c r="G29" s="104">
        <f t="shared" si="0"/>
        <v>4.0453074433656958E-5</v>
      </c>
      <c r="H29" s="80">
        <f t="shared" si="8"/>
        <v>24720</v>
      </c>
      <c r="I29" s="93">
        <f t="shared" si="9"/>
        <v>0.81873075307798182</v>
      </c>
      <c r="J29" s="104">
        <f t="shared" si="10"/>
        <v>3.3120176095387615E-5</v>
      </c>
      <c r="K29" s="104">
        <f t="shared" si="11"/>
        <v>0.99967648010352639</v>
      </c>
      <c r="L29" s="93"/>
      <c r="M29" s="93">
        <f t="shared" si="12"/>
        <v>0.18894516380313819</v>
      </c>
      <c r="N29" s="104">
        <f t="shared" si="13"/>
        <v>3.8217063876039281E-5</v>
      </c>
      <c r="O29" s="80">
        <f>'MTTF OREDA'!K29</f>
        <v>26123.981692078734</v>
      </c>
      <c r="P29" s="93">
        <f t="shared" si="14"/>
        <v>0.82783190060317757</v>
      </c>
      <c r="Q29" s="104">
        <f t="shared" si="15"/>
        <v>3.1637304623974641E-5</v>
      </c>
      <c r="R29" s="104">
        <f t="shared" si="1"/>
        <v>0.99969386171725261</v>
      </c>
      <c r="S29" s="93"/>
      <c r="T29" s="143">
        <f t="shared" si="16"/>
        <v>0.2</v>
      </c>
      <c r="U29" s="144">
        <v>250</v>
      </c>
      <c r="V29" s="145">
        <f t="shared" si="17"/>
        <v>50</v>
      </c>
      <c r="W29" s="145">
        <f t="shared" si="18"/>
        <v>7.5</v>
      </c>
      <c r="X29" s="145">
        <f t="shared" si="2"/>
        <v>1089.6000000000001</v>
      </c>
      <c r="Y29" s="145">
        <f t="shared" si="3"/>
        <v>1209.3818181818183</v>
      </c>
      <c r="Z29" s="241">
        <f t="shared" si="19"/>
        <v>1147.1000000000001</v>
      </c>
      <c r="AA29" s="310">
        <f t="shared" si="20"/>
        <v>59.057045454545452</v>
      </c>
      <c r="AB29" s="143">
        <f t="shared" si="4"/>
        <v>0.18894516380313819</v>
      </c>
      <c r="AC29" s="144">
        <v>250</v>
      </c>
      <c r="AD29" s="145">
        <f t="shared" si="21"/>
        <v>47.23629095078455</v>
      </c>
      <c r="AE29" s="145">
        <f t="shared" si="22"/>
        <v>7.0854436426176823</v>
      </c>
      <c r="AF29" s="145">
        <f t="shared" si="5"/>
        <v>1029.3732523994968</v>
      </c>
      <c r="AG29" s="145">
        <f t="shared" si="6"/>
        <v>1085.084660762833</v>
      </c>
      <c r="AH29" s="241">
        <f t="shared" si="23"/>
        <v>1083.694986992899</v>
      </c>
      <c r="AI29" s="310">
        <f t="shared" si="24"/>
        <v>55.711408363336318</v>
      </c>
    </row>
    <row r="30" spans="2:48" ht="15" customHeight="1">
      <c r="B30" s="79">
        <v>28</v>
      </c>
      <c r="C30" s="96" t="s">
        <v>628</v>
      </c>
      <c r="D30" s="80">
        <f t="shared" si="7"/>
        <v>4944</v>
      </c>
      <c r="E30" s="80">
        <v>10</v>
      </c>
      <c r="F30" s="103">
        <v>1</v>
      </c>
      <c r="G30" s="104">
        <f t="shared" si="0"/>
        <v>2.022653721682848E-4</v>
      </c>
      <c r="H30" s="80">
        <f t="shared" si="8"/>
        <v>4944</v>
      </c>
      <c r="I30" s="93">
        <f t="shared" si="9"/>
        <v>0.36787944117144233</v>
      </c>
      <c r="J30" s="104">
        <f t="shared" si="10"/>
        <v>7.4409272081602418E-5</v>
      </c>
      <c r="K30" s="104">
        <f t="shared" si="11"/>
        <v>0.99798142914816312</v>
      </c>
      <c r="L30" s="93"/>
      <c r="M30" s="93">
        <f t="shared" si="12"/>
        <v>0.35068135481633395</v>
      </c>
      <c r="N30" s="104">
        <f t="shared" si="13"/>
        <v>7.093069474440411E-5</v>
      </c>
      <c r="O30" s="80">
        <f>'MTTF OREDA'!K30</f>
        <v>14069.752874612155</v>
      </c>
      <c r="P30" s="93">
        <f t="shared" si="14"/>
        <v>0.70420811063137079</v>
      </c>
      <c r="Q30" s="104">
        <f t="shared" si="15"/>
        <v>4.9949970531727317E-5</v>
      </c>
      <c r="R30" s="104">
        <f t="shared" si="1"/>
        <v>0.99928976026148641</v>
      </c>
      <c r="S30" s="93"/>
      <c r="T30" s="143">
        <f t="shared" si="16"/>
        <v>1</v>
      </c>
      <c r="U30" s="144">
        <v>450</v>
      </c>
      <c r="V30" s="145">
        <f t="shared" si="17"/>
        <v>450</v>
      </c>
      <c r="W30" s="145">
        <f t="shared" si="18"/>
        <v>67.5</v>
      </c>
      <c r="X30" s="145">
        <f t="shared" si="2"/>
        <v>6810</v>
      </c>
      <c r="Y30" s="145">
        <f t="shared" si="3"/>
        <v>7716.761363636364</v>
      </c>
      <c r="Z30" s="241">
        <f t="shared" si="19"/>
        <v>7327.5</v>
      </c>
      <c r="AA30" s="310">
        <f t="shared" si="20"/>
        <v>556.42613636363637</v>
      </c>
      <c r="AB30" s="143">
        <f t="shared" si="4"/>
        <v>0.35068135481633395</v>
      </c>
      <c r="AC30" s="144">
        <v>450</v>
      </c>
      <c r="AD30" s="145">
        <f t="shared" si="21"/>
        <v>157.80660966735027</v>
      </c>
      <c r="AE30" s="145">
        <f t="shared" si="22"/>
        <v>23.670991450102541</v>
      </c>
      <c r="AF30" s="145">
        <f t="shared" si="5"/>
        <v>2388.1400262992343</v>
      </c>
      <c r="AG30" s="145">
        <f t="shared" si="6"/>
        <v>2574.4046629498175</v>
      </c>
      <c r="AH30" s="241">
        <f t="shared" si="23"/>
        <v>2569.6176274166869</v>
      </c>
      <c r="AI30" s="310">
        <f t="shared" si="24"/>
        <v>186.26463665058338</v>
      </c>
    </row>
    <row r="31" spans="2:48" ht="15" customHeight="1">
      <c r="B31" s="79">
        <v>29</v>
      </c>
      <c r="C31" s="96" t="s">
        <v>629</v>
      </c>
      <c r="D31" s="80">
        <f t="shared" si="7"/>
        <v>4944</v>
      </c>
      <c r="E31" s="80">
        <v>5</v>
      </c>
      <c r="F31" s="103">
        <f>1/2</f>
        <v>0.5</v>
      </c>
      <c r="G31" s="104">
        <f t="shared" si="0"/>
        <v>1.011326860841424E-4</v>
      </c>
      <c r="H31" s="80">
        <f t="shared" si="8"/>
        <v>9888</v>
      </c>
      <c r="I31" s="93">
        <f t="shared" si="9"/>
        <v>0.60653065971263342</v>
      </c>
      <c r="J31" s="104">
        <f t="shared" si="10"/>
        <v>6.1340074809125548E-5</v>
      </c>
      <c r="K31" s="104">
        <f t="shared" si="11"/>
        <v>0.99949459213585368</v>
      </c>
      <c r="L31" s="93"/>
      <c r="M31" s="93">
        <f t="shared" si="12"/>
        <v>0.40584928085781119</v>
      </c>
      <c r="N31" s="104">
        <f t="shared" si="13"/>
        <v>8.2089255836935925E-5</v>
      </c>
      <c r="O31" s="80">
        <f>'MTTF OREDA'!K31</f>
        <v>12169.542322610085</v>
      </c>
      <c r="P31" s="93">
        <f t="shared" si="14"/>
        <v>0.66641060069017</v>
      </c>
      <c r="Q31" s="104">
        <f t="shared" si="15"/>
        <v>5.4705150292501513E-5</v>
      </c>
      <c r="R31" s="104">
        <f t="shared" si="1"/>
        <v>0.99958930694333259</v>
      </c>
      <c r="S31" s="93"/>
      <c r="T31" s="143">
        <f t="shared" si="16"/>
        <v>0.5</v>
      </c>
      <c r="U31" s="144">
        <v>37.5</v>
      </c>
      <c r="V31" s="145">
        <f t="shared" si="17"/>
        <v>18.75</v>
      </c>
      <c r="W31" s="145">
        <f t="shared" si="18"/>
        <v>2.8125</v>
      </c>
      <c r="X31" s="145">
        <f t="shared" si="2"/>
        <v>1702.5</v>
      </c>
      <c r="Y31" s="145">
        <f t="shared" si="3"/>
        <v>1821.377840909091</v>
      </c>
      <c r="Z31" s="241">
        <f t="shared" si="19"/>
        <v>1724.0625</v>
      </c>
      <c r="AA31" s="310">
        <f t="shared" si="20"/>
        <v>31.294034090909093</v>
      </c>
      <c r="AB31" s="143">
        <f t="shared" si="4"/>
        <v>0.40584928085781119</v>
      </c>
      <c r="AC31" s="144">
        <v>37.5</v>
      </c>
      <c r="AD31" s="145">
        <f t="shared" si="21"/>
        <v>15.21934803216792</v>
      </c>
      <c r="AE31" s="145">
        <f t="shared" si="22"/>
        <v>2.2829022048251879</v>
      </c>
      <c r="AF31" s="145">
        <f t="shared" si="5"/>
        <v>1381.9168013208471</v>
      </c>
      <c r="AG31" s="145">
        <f t="shared" si="6"/>
        <v>1405.8307171216611</v>
      </c>
      <c r="AH31" s="241">
        <f t="shared" si="23"/>
        <v>1399.4190515578402</v>
      </c>
      <c r="AI31" s="310">
        <f t="shared" si="24"/>
        <v>23.91391580081396</v>
      </c>
    </row>
    <row r="32" spans="2:48" ht="15" customHeight="1">
      <c r="B32" s="79">
        <v>30</v>
      </c>
      <c r="C32" s="96" t="s">
        <v>630</v>
      </c>
      <c r="D32" s="80">
        <f t="shared" si="7"/>
        <v>4944</v>
      </c>
      <c r="E32" s="80">
        <v>48</v>
      </c>
      <c r="F32" s="103">
        <f>1/5</f>
        <v>0.2</v>
      </c>
      <c r="G32" s="104">
        <f t="shared" si="0"/>
        <v>4.0453074433656958E-5</v>
      </c>
      <c r="H32" s="80">
        <f t="shared" si="8"/>
        <v>24720</v>
      </c>
      <c r="I32" s="93">
        <f t="shared" si="9"/>
        <v>0.81873075307798182</v>
      </c>
      <c r="J32" s="104">
        <f t="shared" si="10"/>
        <v>3.3120176095387615E-5</v>
      </c>
      <c r="K32" s="104">
        <f t="shared" si="11"/>
        <v>0.99806201550387597</v>
      </c>
      <c r="L32" s="93"/>
      <c r="M32" s="93">
        <f t="shared" si="12"/>
        <v>0.14465625918082356</v>
      </c>
      <c r="N32" s="104">
        <f t="shared" si="13"/>
        <v>2.9258952099681142E-5</v>
      </c>
      <c r="O32" s="80">
        <f>'MTTF OREDA'!K32</f>
        <v>33845.752874612153</v>
      </c>
      <c r="P32" s="93">
        <f t="shared" si="14"/>
        <v>0.86531968769278145</v>
      </c>
      <c r="Q32" s="104">
        <f t="shared" si="15"/>
        <v>2.5318347293114138E-5</v>
      </c>
      <c r="R32" s="104">
        <f t="shared" si="1"/>
        <v>0.99858380981953898</v>
      </c>
      <c r="S32" s="93"/>
      <c r="T32" s="143">
        <f t="shared" si="16"/>
        <v>0.2</v>
      </c>
      <c r="U32" s="144">
        <v>75</v>
      </c>
      <c r="V32" s="145">
        <f t="shared" si="17"/>
        <v>15</v>
      </c>
      <c r="W32" s="145">
        <f t="shared" si="18"/>
        <v>2.25</v>
      </c>
      <c r="X32" s="145">
        <f t="shared" si="2"/>
        <v>6537.6</v>
      </c>
      <c r="Y32" s="145">
        <f t="shared" si="3"/>
        <v>6928.5409090909097</v>
      </c>
      <c r="Z32" s="241">
        <f t="shared" si="19"/>
        <v>6554.85</v>
      </c>
      <c r="AA32" s="310">
        <f t="shared" si="20"/>
        <v>18.807045454545456</v>
      </c>
      <c r="AB32" s="143">
        <f t="shared" si="4"/>
        <v>0.14465625918082356</v>
      </c>
      <c r="AC32" s="144">
        <v>75</v>
      </c>
      <c r="AD32" s="145">
        <f t="shared" si="21"/>
        <v>10.849219438561766</v>
      </c>
      <c r="AE32" s="145">
        <f t="shared" si="22"/>
        <v>1.627382915784265</v>
      </c>
      <c r="AF32" s="145">
        <f t="shared" si="5"/>
        <v>4728.5238001027601</v>
      </c>
      <c r="AG32" s="145">
        <f t="shared" si="6"/>
        <v>4741.8149487279961</v>
      </c>
      <c r="AH32" s="241">
        <f t="shared" si="23"/>
        <v>4741.0004024571062</v>
      </c>
      <c r="AI32" s="310">
        <f t="shared" si="24"/>
        <v>13.291148625235913</v>
      </c>
    </row>
    <row r="33" spans="2:50" ht="15" customHeight="1">
      <c r="B33" s="79">
        <v>31</v>
      </c>
      <c r="C33" s="96" t="s">
        <v>631</v>
      </c>
      <c r="D33" s="80">
        <f t="shared" si="7"/>
        <v>4944</v>
      </c>
      <c r="E33" s="80">
        <v>2</v>
      </c>
      <c r="F33" s="103">
        <v>1</v>
      </c>
      <c r="G33" s="104">
        <f t="shared" si="0"/>
        <v>2.022653721682848E-4</v>
      </c>
      <c r="H33" s="80">
        <f t="shared" si="8"/>
        <v>4944</v>
      </c>
      <c r="I33" s="93">
        <f t="shared" si="9"/>
        <v>0.36787944117144233</v>
      </c>
      <c r="J33" s="104">
        <f t="shared" si="10"/>
        <v>7.4409272081602418E-5</v>
      </c>
      <c r="K33" s="104">
        <f t="shared" si="11"/>
        <v>0.99959563283461383</v>
      </c>
      <c r="L33" s="93"/>
      <c r="M33" s="93">
        <f t="shared" si="12"/>
        <v>0.68396250126935787</v>
      </c>
      <c r="N33" s="104">
        <f t="shared" si="13"/>
        <v>1.3834192986839764E-4</v>
      </c>
      <c r="O33" s="80">
        <f>'MTTF OREDA'!K33</f>
        <v>7225.5423226100856</v>
      </c>
      <c r="P33" s="93">
        <f t="shared" si="14"/>
        <v>0.50461349394426103</v>
      </c>
      <c r="Q33" s="104">
        <f t="shared" si="15"/>
        <v>6.9809204589884051E-5</v>
      </c>
      <c r="R33" s="104">
        <f t="shared" si="1"/>
        <v>0.99972328076257078</v>
      </c>
      <c r="S33" s="93"/>
      <c r="T33" s="143">
        <f t="shared" si="16"/>
        <v>1</v>
      </c>
      <c r="U33" s="144">
        <v>25</v>
      </c>
      <c r="V33" s="145">
        <f t="shared" si="17"/>
        <v>25</v>
      </c>
      <c r="W33" s="145">
        <f t="shared" si="18"/>
        <v>3.75</v>
      </c>
      <c r="X33" s="145">
        <f t="shared" si="2"/>
        <v>1362</v>
      </c>
      <c r="Y33" s="145">
        <f t="shared" si="3"/>
        <v>1468.6022727272727</v>
      </c>
      <c r="Z33" s="241">
        <f t="shared" si="19"/>
        <v>1390.75</v>
      </c>
      <c r="AA33" s="310">
        <f t="shared" si="20"/>
        <v>67.676136363636374</v>
      </c>
      <c r="AB33" s="143">
        <f t="shared" si="4"/>
        <v>0.68396250126935787</v>
      </c>
      <c r="AC33" s="144">
        <v>25</v>
      </c>
      <c r="AD33" s="145">
        <f t="shared" si="21"/>
        <v>17.099062531733946</v>
      </c>
      <c r="AE33" s="145">
        <f t="shared" si="22"/>
        <v>2.5648593797600916</v>
      </c>
      <c r="AF33" s="145">
        <f t="shared" si="5"/>
        <v>931.55692672886539</v>
      </c>
      <c r="AG33" s="145">
        <f t="shared" si="6"/>
        <v>969.4306783064402</v>
      </c>
      <c r="AH33" s="241">
        <f t="shared" si="23"/>
        <v>951.22084864035946</v>
      </c>
      <c r="AI33" s="310">
        <f t="shared" si="24"/>
        <v>37.87375157757473</v>
      </c>
    </row>
    <row r="34" spans="2:50" ht="15" customHeight="1">
      <c r="B34" s="99"/>
      <c r="C34" s="99"/>
      <c r="D34" s="99"/>
      <c r="E34" s="100">
        <f>SUM(E3:E33)</f>
        <v>1062</v>
      </c>
      <c r="F34" s="100"/>
      <c r="G34" s="100"/>
      <c r="H34" s="100"/>
      <c r="I34" s="99"/>
      <c r="J34" s="99"/>
      <c r="K34" s="253"/>
      <c r="L34" s="99"/>
      <c r="M34" s="99"/>
      <c r="N34" s="99"/>
      <c r="O34" s="100"/>
      <c r="P34" s="99"/>
      <c r="Q34" s="99"/>
      <c r="R34" s="253"/>
      <c r="S34" s="99"/>
      <c r="T34" s="146"/>
      <c r="U34" s="147" t="s">
        <v>351</v>
      </c>
      <c r="V34" s="147"/>
      <c r="W34" s="147"/>
      <c r="X34" s="147">
        <f>SUM(X3:X33)</f>
        <v>83182.5285714286</v>
      </c>
      <c r="Y34" s="147">
        <f>SUM(Y3:Y33)</f>
        <v>94503.592316017326</v>
      </c>
      <c r="Z34" s="242">
        <f>SUM(Z3:Z33)</f>
        <v>89748.857440476218</v>
      </c>
      <c r="AA34" s="147">
        <f>SUM(AA3:AA33)</f>
        <v>7007.8320205241134</v>
      </c>
      <c r="AB34" s="146"/>
      <c r="AC34" s="147" t="s">
        <v>351</v>
      </c>
      <c r="AD34" s="147"/>
      <c r="AE34" s="147"/>
      <c r="AF34" s="147">
        <f>SUM(AF3:AF33)</f>
        <v>62185.025500890588</v>
      </c>
      <c r="AG34" s="147">
        <f>SUM(AG3:AG33)</f>
        <v>67630.150630824239</v>
      </c>
      <c r="AH34" s="242">
        <f>SUM(AH3:AH33)</f>
        <v>67431.713027718564</v>
      </c>
      <c r="AI34" s="147">
        <f>SUM(AI3:AI33)</f>
        <v>5445.1251299336518</v>
      </c>
    </row>
    <row r="35" spans="2:50">
      <c r="H35" s="66"/>
      <c r="X35" s="244"/>
      <c r="AF35" s="244"/>
    </row>
    <row r="36" spans="2:50">
      <c r="O36">
        <v>1.337</v>
      </c>
      <c r="X36" s="244"/>
      <c r="AF36" s="244"/>
    </row>
    <row r="37" spans="2:50">
      <c r="K37" s="212"/>
      <c r="X37" s="244"/>
      <c r="AF37" s="244"/>
      <c r="AH37" t="s">
        <v>602</v>
      </c>
      <c r="AI37" s="66">
        <f>Y34-AG34</f>
        <v>26873.441685193087</v>
      </c>
    </row>
    <row r="38" spans="2:50">
      <c r="X38" s="244"/>
      <c r="AF38" s="244"/>
      <c r="AS38" s="311"/>
      <c r="AT38" s="311"/>
    </row>
    <row r="39" spans="2:50">
      <c r="X39" s="244"/>
      <c r="AF39" s="244"/>
    </row>
    <row r="40" spans="2:50">
      <c r="X40" s="244"/>
      <c r="AF40" s="244"/>
    </row>
    <row r="41" spans="2:50">
      <c r="X41" s="244"/>
      <c r="AF41" s="244"/>
    </row>
    <row r="42" spans="2:50">
      <c r="X42" s="244"/>
      <c r="AF42" s="244"/>
    </row>
    <row r="43" spans="2:50">
      <c r="X43" s="244"/>
      <c r="AF43" s="244"/>
    </row>
    <row r="44" spans="2:50">
      <c r="X44" s="244"/>
      <c r="AF44" s="244"/>
    </row>
    <row r="45" spans="2:50">
      <c r="X45" s="244"/>
      <c r="AF45" s="244"/>
    </row>
    <row r="46" spans="2:50">
      <c r="X46" s="244"/>
      <c r="AF46" s="244"/>
      <c r="AS46" s="300"/>
      <c r="AT46" s="300"/>
      <c r="AU46" s="300"/>
      <c r="AV46" s="300"/>
      <c r="AW46" s="300"/>
      <c r="AX46" s="300"/>
    </row>
    <row r="47" spans="2:50">
      <c r="X47" s="244"/>
      <c r="AF47" s="244"/>
    </row>
    <row r="48" spans="2:50">
      <c r="X48" s="244"/>
      <c r="AF48" s="244"/>
    </row>
    <row r="49" spans="4:53">
      <c r="X49" s="244"/>
      <c r="AF49" s="244"/>
    </row>
    <row r="50" spans="4:53">
      <c r="X50" s="244"/>
      <c r="AF50" s="244"/>
    </row>
    <row r="51" spans="4:53">
      <c r="X51" s="66"/>
      <c r="AF51" s="66"/>
      <c r="AS51" s="300"/>
      <c r="AT51" s="300"/>
      <c r="AU51" s="300"/>
      <c r="AV51" s="300"/>
      <c r="AW51" s="300"/>
      <c r="AX51" s="300"/>
      <c r="AY51" s="300"/>
      <c r="AZ51" s="300"/>
      <c r="BA51" s="300"/>
    </row>
    <row r="53" spans="4:53">
      <c r="T53" s="232"/>
      <c r="U53" s="233"/>
      <c r="V53" s="234"/>
      <c r="W53" s="234"/>
      <c r="X53" s="234"/>
      <c r="Y53" s="234"/>
      <c r="Z53" s="234"/>
      <c r="AB53" s="232"/>
      <c r="AC53" s="233"/>
      <c r="AD53" s="234"/>
      <c r="AE53" s="234"/>
      <c r="AF53" s="234"/>
      <c r="AG53" s="234"/>
    </row>
    <row r="54" spans="4:53">
      <c r="D54" s="80">
        <v>7200</v>
      </c>
      <c r="E54" s="249">
        <v>34.005000000000003</v>
      </c>
      <c r="F54" s="104">
        <f>(D54-E54)/H54</f>
        <v>7.4868827966650647E-2</v>
      </c>
      <c r="G54" s="104">
        <f t="shared" ref="G54:G55" si="29">F54/(206*24)</f>
        <v>1.5143371352477882E-5</v>
      </c>
      <c r="H54" s="80">
        <v>95714</v>
      </c>
      <c r="I54" s="93">
        <f>EXP(-(D54*3*G54))</f>
        <v>0.72101393020329174</v>
      </c>
      <c r="J54" s="93"/>
      <c r="K54" s="104">
        <f t="shared" ref="K54:K55" si="30">H54/(H54+E54)</f>
        <v>0.99964484899711481</v>
      </c>
      <c r="L54" s="93"/>
      <c r="M54" s="93"/>
      <c r="N54" s="104"/>
      <c r="O54" s="80"/>
      <c r="P54" s="93"/>
      <c r="Q54" s="93"/>
      <c r="R54" s="104"/>
      <c r="S54" s="93"/>
      <c r="T54" s="248">
        <f t="shared" ref="T54:T55" si="31">F54</f>
        <v>7.4868827966650647E-2</v>
      </c>
      <c r="U54" s="144">
        <v>200000</v>
      </c>
      <c r="V54" s="145">
        <f t="shared" ref="V54:V55" si="32">T54*U54</f>
        <v>14973.76559333013</v>
      </c>
      <c r="W54" s="145">
        <f t="shared" ref="W54:W55" si="33">V54*0.15</f>
        <v>2246.0648389995195</v>
      </c>
      <c r="X54" s="145">
        <f>25000*E54*T54</f>
        <v>63647.862375148892</v>
      </c>
      <c r="Y54" s="145">
        <f>(T54*E54*500*4)+(V54+W54+X54)</f>
        <v>85959.521797490452</v>
      </c>
      <c r="Z54" s="241">
        <f t="shared" ref="Z54:Z55" si="34">V54+W54+X54</f>
        <v>80867.692807478539</v>
      </c>
    </row>
    <row r="55" spans="4:53">
      <c r="D55" s="80">
        <v>7200</v>
      </c>
      <c r="E55" s="249">
        <v>34.01</v>
      </c>
      <c r="F55" s="104">
        <f>(D55-E55)/H55</f>
        <v>5.5984296874999999E-2</v>
      </c>
      <c r="G55" s="104">
        <f t="shared" si="29"/>
        <v>1.1323684643001619E-5</v>
      </c>
      <c r="H55" s="80">
        <v>128000</v>
      </c>
      <c r="I55" s="93">
        <f>EXP(-(D55*3*G55))</f>
        <v>0.78302426922816348</v>
      </c>
      <c r="J55" s="93"/>
      <c r="K55" s="104">
        <f t="shared" si="30"/>
        <v>0.99973436745439748</v>
      </c>
      <c r="L55" s="93"/>
      <c r="M55" s="93"/>
      <c r="N55" s="104"/>
      <c r="O55" s="80"/>
      <c r="P55" s="93"/>
      <c r="Q55" s="93"/>
      <c r="R55" s="104"/>
      <c r="S55" s="93"/>
      <c r="T55" s="143">
        <f t="shared" si="31"/>
        <v>5.5984296874999999E-2</v>
      </c>
      <c r="U55" s="144">
        <v>200000</v>
      </c>
      <c r="V55" s="145">
        <f t="shared" si="32"/>
        <v>11196.859375</v>
      </c>
      <c r="W55" s="145">
        <f t="shared" si="33"/>
        <v>1679.5289062499999</v>
      </c>
      <c r="X55" s="145">
        <f>25000*E55*T55</f>
        <v>47600.648417968747</v>
      </c>
      <c r="Y55" s="145">
        <f>(T55*E55*500*4)+(V55+W55+X55)</f>
        <v>64285.088572656248</v>
      </c>
      <c r="Z55" s="241">
        <f t="shared" si="34"/>
        <v>60477.036699218748</v>
      </c>
    </row>
    <row r="57" spans="4:53">
      <c r="H57" s="250"/>
      <c r="K57" s="251"/>
    </row>
    <row r="58" spans="4:53">
      <c r="H58" s="66"/>
    </row>
    <row r="59" spans="4:53">
      <c r="AS59" s="300"/>
      <c r="AT59" s="300"/>
      <c r="AU59" s="300"/>
    </row>
    <row r="90" spans="45:47" ht="15" thickBot="1">
      <c r="AS90" s="293"/>
      <c r="AT90" s="293"/>
      <c r="AU90" s="293"/>
    </row>
  </sheetData>
  <autoFilter ref="B2:H33" xr:uid="{63B4CEDD-6386-475C-B5C2-131E2349FA09}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3B150-37E6-42AE-AFB6-221686C1A61F}">
  <dimension ref="A2:K35"/>
  <sheetViews>
    <sheetView zoomScale="80" zoomScaleNormal="80" workbookViewId="0">
      <selection activeCell="J3" sqref="J3"/>
    </sheetView>
  </sheetViews>
  <sheetFormatPr baseColWidth="10" defaultRowHeight="14.4"/>
  <cols>
    <col min="1" max="1" width="5" bestFit="1" customWidth="1"/>
    <col min="2" max="2" width="28.77734375" style="106" customWidth="1"/>
    <col min="3" max="3" width="26.77734375" bestFit="1" customWidth="1"/>
    <col min="4" max="4" width="15.44140625" bestFit="1" customWidth="1"/>
    <col min="5" max="5" width="11" bestFit="1" customWidth="1"/>
    <col min="6" max="6" width="15.6640625" customWidth="1"/>
    <col min="7" max="7" width="12.21875" customWidth="1"/>
    <col min="8" max="8" width="12.21875" bestFit="1" customWidth="1"/>
    <col min="9" max="9" width="3.44140625" customWidth="1"/>
    <col min="10" max="10" width="13.88671875" bestFit="1" customWidth="1"/>
    <col min="11" max="11" width="14.44140625" bestFit="1" customWidth="1"/>
  </cols>
  <sheetData>
    <row r="2" spans="1:11">
      <c r="A2" s="108" t="s">
        <v>56</v>
      </c>
      <c r="B2" s="324" t="s">
        <v>55</v>
      </c>
      <c r="C2" s="108" t="s">
        <v>588</v>
      </c>
      <c r="D2" s="108" t="s">
        <v>589</v>
      </c>
      <c r="E2" s="331" t="s">
        <v>590</v>
      </c>
      <c r="F2" s="108" t="s">
        <v>579</v>
      </c>
      <c r="G2" s="108" t="s">
        <v>578</v>
      </c>
      <c r="H2" s="108" t="s">
        <v>580</v>
      </c>
      <c r="I2" s="108" t="s">
        <v>581</v>
      </c>
      <c r="J2" s="108" t="s">
        <v>591</v>
      </c>
      <c r="K2" s="329" t="s">
        <v>582</v>
      </c>
    </row>
    <row r="3" spans="1:11">
      <c r="A3" s="290">
        <v>1</v>
      </c>
      <c r="B3" s="325" t="str">
        <f>CM!C3</f>
        <v>CUERPO</v>
      </c>
      <c r="C3" s="156" t="s">
        <v>587</v>
      </c>
      <c r="D3" s="156">
        <f>54.79/10^6</f>
        <v>5.4790000000000002E-5</v>
      </c>
      <c r="E3" s="156">
        <f>SQRT(D3^2)</f>
        <v>5.4790000000000002E-5</v>
      </c>
      <c r="F3" s="322">
        <f>CM!H3</f>
        <v>148320</v>
      </c>
      <c r="G3" s="322">
        <f>CM!D3*30</f>
        <v>148320</v>
      </c>
      <c r="H3" s="322">
        <f t="shared" ref="H3:H33" si="0">G3+F3</f>
        <v>296640</v>
      </c>
      <c r="I3" s="156">
        <v>1</v>
      </c>
      <c r="J3" s="323">
        <f t="shared" ref="J3:J33" si="1">(I3+((D3^2)/(E3^2)))/(H3+(D3/(E3^2)))</f>
        <v>6.3513939356394552E-6</v>
      </c>
      <c r="K3" s="330">
        <f>1/J3</f>
        <v>157445.75287461217</v>
      </c>
    </row>
    <row r="4" spans="1:11">
      <c r="A4" s="290">
        <v>2</v>
      </c>
      <c r="B4" s="325" t="str">
        <f>CM!C4</f>
        <v>EMPAQUETADURA</v>
      </c>
      <c r="C4" s="156" t="s">
        <v>587</v>
      </c>
      <c r="D4" s="156">
        <f>54.79/10^6</f>
        <v>5.4790000000000002E-5</v>
      </c>
      <c r="E4" s="156">
        <f t="shared" ref="E4:E33" si="2">SQRT(D4^2)</f>
        <v>5.4790000000000002E-5</v>
      </c>
      <c r="F4" s="322">
        <f>CM!H4</f>
        <v>24720</v>
      </c>
      <c r="G4" s="322">
        <f>F4</f>
        <v>24720</v>
      </c>
      <c r="H4" s="322">
        <f t="shared" si="0"/>
        <v>49440</v>
      </c>
      <c r="I4" s="156">
        <v>1</v>
      </c>
      <c r="J4" s="323">
        <f t="shared" si="1"/>
        <v>2.9545804571246645E-5</v>
      </c>
      <c r="K4" s="330">
        <f t="shared" ref="K4:K33" si="3">1/J4</f>
        <v>33845.752874612153</v>
      </c>
    </row>
    <row r="5" spans="1:11">
      <c r="A5" s="290">
        <v>3</v>
      </c>
      <c r="B5" s="325" t="str">
        <f>CM!C5</f>
        <v>VÁLVULA DE PASO DE VAPOR</v>
      </c>
      <c r="C5" s="156" t="s">
        <v>584</v>
      </c>
      <c r="D5" s="156">
        <f>164.37/10^6</f>
        <v>1.6437E-4</v>
      </c>
      <c r="E5" s="156">
        <f t="shared" si="2"/>
        <v>1.6437E-4</v>
      </c>
      <c r="F5" s="322">
        <f>CM!H5</f>
        <v>34608</v>
      </c>
      <c r="G5" s="322">
        <f>F5</f>
        <v>34608</v>
      </c>
      <c r="H5" s="322">
        <f t="shared" si="0"/>
        <v>69216</v>
      </c>
      <c r="I5" s="156">
        <v>1</v>
      </c>
      <c r="J5" s="323">
        <f t="shared" si="1"/>
        <v>2.6560483078970187E-5</v>
      </c>
      <c r="K5" s="330">
        <f t="shared" si="3"/>
        <v>37649.917624870715</v>
      </c>
    </row>
    <row r="6" spans="1:11">
      <c r="A6" s="290">
        <v>4</v>
      </c>
      <c r="B6" s="325" t="str">
        <f>CM!C6</f>
        <v>CUERPO EXTERNO</v>
      </c>
      <c r="C6" s="156" t="s">
        <v>583</v>
      </c>
      <c r="D6" s="156">
        <f>2301.12/10^6</f>
        <v>2.3011199999999998E-3</v>
      </c>
      <c r="E6" s="156">
        <f t="shared" si="2"/>
        <v>2.3011199999999998E-3</v>
      </c>
      <c r="F6" s="322">
        <f>CM!H6</f>
        <v>148320</v>
      </c>
      <c r="G6" s="322">
        <f>CM!D6*30</f>
        <v>148320</v>
      </c>
      <c r="H6" s="322">
        <f t="shared" si="0"/>
        <v>296640</v>
      </c>
      <c r="I6" s="156">
        <v>1</v>
      </c>
      <c r="J6" s="323">
        <f t="shared" si="1"/>
        <v>6.7323163787623854E-6</v>
      </c>
      <c r="K6" s="330">
        <f t="shared" si="3"/>
        <v>148537.28549575858</v>
      </c>
    </row>
    <row r="7" spans="1:11">
      <c r="A7" s="290">
        <v>5</v>
      </c>
      <c r="B7" s="325" t="str">
        <f>CM!C7</f>
        <v>TUBERÍAS DE ALIMENTACIÓN DE AGUA CONDENSADA</v>
      </c>
      <c r="C7" s="156" t="s">
        <v>587</v>
      </c>
      <c r="D7" s="156">
        <f t="shared" ref="D7" si="4">54.79/10^6</f>
        <v>5.4790000000000002E-5</v>
      </c>
      <c r="E7" s="156">
        <f t="shared" si="2"/>
        <v>5.4790000000000002E-5</v>
      </c>
      <c r="F7" s="322">
        <f>CM!H7</f>
        <v>19776</v>
      </c>
      <c r="G7" s="322">
        <f t="shared" ref="G7:G8" si="5">F7</f>
        <v>19776</v>
      </c>
      <c r="H7" s="322">
        <f t="shared" si="0"/>
        <v>39552</v>
      </c>
      <c r="I7" s="156">
        <v>1</v>
      </c>
      <c r="J7" s="323">
        <f t="shared" si="1"/>
        <v>3.4599977528643906E-5</v>
      </c>
      <c r="K7" s="330">
        <f t="shared" si="3"/>
        <v>28901.752874612157</v>
      </c>
    </row>
    <row r="8" spans="1:11">
      <c r="A8" s="290">
        <v>6</v>
      </c>
      <c r="B8" s="325" t="str">
        <f>CM!C8</f>
        <v>TUBERÍA DE PURGA</v>
      </c>
      <c r="C8" s="156" t="s">
        <v>587</v>
      </c>
      <c r="D8" s="156">
        <f>54.79/10^6</f>
        <v>5.4790000000000002E-5</v>
      </c>
      <c r="E8" s="156">
        <f t="shared" si="2"/>
        <v>5.4790000000000002E-5</v>
      </c>
      <c r="F8" s="322">
        <f>CM!H8</f>
        <v>2472</v>
      </c>
      <c r="G8" s="322">
        <f t="shared" si="5"/>
        <v>2472</v>
      </c>
      <c r="H8" s="322">
        <f t="shared" si="0"/>
        <v>4944</v>
      </c>
      <c r="I8" s="156">
        <v>1</v>
      </c>
      <c r="J8" s="323">
        <f t="shared" si="1"/>
        <v>8.6223599589626651E-5</v>
      </c>
      <c r="K8" s="330">
        <f t="shared" si="3"/>
        <v>11597.752874612155</v>
      </c>
    </row>
    <row r="9" spans="1:11">
      <c r="A9" s="290">
        <v>7</v>
      </c>
      <c r="B9" s="325" t="str">
        <f>CM!C9</f>
        <v>SOPORTE</v>
      </c>
      <c r="C9" s="156" t="s">
        <v>586</v>
      </c>
      <c r="D9" s="156">
        <f t="shared" ref="D9:D11" si="6">356.13/10^6</f>
        <v>3.5613000000000002E-4</v>
      </c>
      <c r="E9" s="156">
        <f t="shared" si="2"/>
        <v>3.5613000000000002E-4</v>
      </c>
      <c r="F9" s="322">
        <f>CM!H9</f>
        <v>148320</v>
      </c>
      <c r="G9" s="322">
        <f>CM!D9*30</f>
        <v>148320</v>
      </c>
      <c r="H9" s="322">
        <f t="shared" si="0"/>
        <v>296640</v>
      </c>
      <c r="I9" s="156">
        <v>1</v>
      </c>
      <c r="J9" s="323">
        <f t="shared" si="1"/>
        <v>6.6789567622947196E-6</v>
      </c>
      <c r="K9" s="330">
        <f t="shared" si="3"/>
        <v>149723.98169207873</v>
      </c>
    </row>
    <row r="10" spans="1:11">
      <c r="A10" s="290">
        <v>8</v>
      </c>
      <c r="B10" s="325" t="str">
        <f>CM!C10</f>
        <v>VALVULAS DE SEGURIDAD</v>
      </c>
      <c r="C10" s="156" t="s">
        <v>586</v>
      </c>
      <c r="D10" s="156">
        <f t="shared" si="6"/>
        <v>3.5613000000000002E-4</v>
      </c>
      <c r="E10" s="156">
        <f t="shared" si="2"/>
        <v>3.5613000000000002E-4</v>
      </c>
      <c r="F10" s="322">
        <f>CM!H10</f>
        <v>49440</v>
      </c>
      <c r="G10" s="322">
        <f>F10</f>
        <v>49440</v>
      </c>
      <c r="H10" s="322">
        <f t="shared" si="0"/>
        <v>98880</v>
      </c>
      <c r="I10" s="156">
        <v>1</v>
      </c>
      <c r="J10" s="323">
        <f t="shared" si="1"/>
        <v>1.966801117300763E-5</v>
      </c>
      <c r="K10" s="330">
        <f t="shared" si="3"/>
        <v>50843.981692078734</v>
      </c>
    </row>
    <row r="11" spans="1:11">
      <c r="A11" s="290">
        <v>9</v>
      </c>
      <c r="B11" s="325" t="str">
        <f>CM!C11</f>
        <v>CUERPO INTERNO</v>
      </c>
      <c r="C11" s="156" t="s">
        <v>586</v>
      </c>
      <c r="D11" s="156">
        <f t="shared" si="6"/>
        <v>3.5613000000000002E-4</v>
      </c>
      <c r="E11" s="156">
        <f t="shared" si="2"/>
        <v>3.5613000000000002E-4</v>
      </c>
      <c r="F11" s="322">
        <f>CM!H11</f>
        <v>148320</v>
      </c>
      <c r="G11" s="322">
        <f>CM!D11*30</f>
        <v>148320</v>
      </c>
      <c r="H11" s="322">
        <f t="shared" si="0"/>
        <v>296640</v>
      </c>
      <c r="I11" s="156">
        <v>1</v>
      </c>
      <c r="J11" s="323">
        <f t="shared" si="1"/>
        <v>6.6789567622947196E-6</v>
      </c>
      <c r="K11" s="330">
        <f t="shared" si="3"/>
        <v>149723.98169207873</v>
      </c>
    </row>
    <row r="12" spans="1:11">
      <c r="A12" s="290">
        <v>10</v>
      </c>
      <c r="B12" s="325" t="str">
        <f>CM!C12</f>
        <v>QUEMADOR</v>
      </c>
      <c r="C12" s="156" t="s">
        <v>583</v>
      </c>
      <c r="D12" s="156">
        <f>82.18/10^6</f>
        <v>8.2180000000000003E-5</v>
      </c>
      <c r="E12" s="156">
        <f t="shared" si="2"/>
        <v>8.2180000000000003E-5</v>
      </c>
      <c r="F12" s="322">
        <f>CM!H12</f>
        <v>24720</v>
      </c>
      <c r="G12" s="322">
        <f t="shared" ref="G12:G27" si="7">F12</f>
        <v>24720</v>
      </c>
      <c r="H12" s="322">
        <f t="shared" si="0"/>
        <v>49440</v>
      </c>
      <c r="I12" s="156">
        <v>1</v>
      </c>
      <c r="J12" s="323">
        <f t="shared" si="1"/>
        <v>3.2463099986663979E-5</v>
      </c>
      <c r="K12" s="330">
        <f t="shared" si="3"/>
        <v>30804.205402774398</v>
      </c>
    </row>
    <row r="13" spans="1:11">
      <c r="A13" s="290">
        <v>11</v>
      </c>
      <c r="B13" s="325" t="str">
        <f>CM!C13</f>
        <v>TUBOS DE HUMO</v>
      </c>
      <c r="C13" s="156" t="s">
        <v>583</v>
      </c>
      <c r="D13" s="156">
        <f>82.18/10^6</f>
        <v>8.2180000000000003E-5</v>
      </c>
      <c r="E13" s="156">
        <f t="shared" si="2"/>
        <v>8.2180000000000003E-5</v>
      </c>
      <c r="F13" s="322">
        <f>CM!H13</f>
        <v>98880</v>
      </c>
      <c r="G13" s="322">
        <f t="shared" si="7"/>
        <v>98880</v>
      </c>
      <c r="H13" s="322">
        <f t="shared" si="0"/>
        <v>197760</v>
      </c>
      <c r="I13" s="156">
        <v>1</v>
      </c>
      <c r="J13" s="323">
        <f t="shared" si="1"/>
        <v>9.5270573064669537E-6</v>
      </c>
      <c r="K13" s="330">
        <f t="shared" si="3"/>
        <v>104964.2054027744</v>
      </c>
    </row>
    <row r="14" spans="1:11">
      <c r="A14" s="290">
        <v>12</v>
      </c>
      <c r="B14" s="325" t="str">
        <f>CM!C14</f>
        <v>CÁMARA DE COMBUSTIÓN</v>
      </c>
      <c r="C14" s="156" t="s">
        <v>583</v>
      </c>
      <c r="D14" s="156">
        <f>2301.12/10^6</f>
        <v>2.3011199999999998E-3</v>
      </c>
      <c r="E14" s="156">
        <f t="shared" si="2"/>
        <v>2.3011199999999998E-3</v>
      </c>
      <c r="F14" s="322">
        <f>CM!H14</f>
        <v>49440</v>
      </c>
      <c r="G14" s="322">
        <f t="shared" si="7"/>
        <v>49440</v>
      </c>
      <c r="H14" s="322">
        <f t="shared" si="0"/>
        <v>98880</v>
      </c>
      <c r="I14" s="156">
        <v>1</v>
      </c>
      <c r="J14" s="323">
        <f t="shared" si="1"/>
        <v>2.0138031912465569E-5</v>
      </c>
      <c r="K14" s="330">
        <f t="shared" si="3"/>
        <v>49657.285495758581</v>
      </c>
    </row>
    <row r="15" spans="1:11">
      <c r="A15" s="290">
        <v>13</v>
      </c>
      <c r="B15" s="325" t="str">
        <f>CM!C15</f>
        <v>ELECTRODOS</v>
      </c>
      <c r="C15" s="156" t="s">
        <v>583</v>
      </c>
      <c r="D15" s="156">
        <f>2301.12/10^6</f>
        <v>2.3011199999999998E-3</v>
      </c>
      <c r="E15" s="156">
        <f t="shared" si="2"/>
        <v>2.3011199999999998E-3</v>
      </c>
      <c r="F15" s="322">
        <f>CM!H15</f>
        <v>2472</v>
      </c>
      <c r="G15" s="322">
        <f t="shared" si="7"/>
        <v>2472</v>
      </c>
      <c r="H15" s="322">
        <f t="shared" si="0"/>
        <v>4944</v>
      </c>
      <c r="I15" s="156">
        <v>1</v>
      </c>
      <c r="J15" s="323">
        <f t="shared" si="1"/>
        <v>3.7184597975081199E-4</v>
      </c>
      <c r="K15" s="330">
        <f t="shared" si="3"/>
        <v>2689.2854957585873</v>
      </c>
    </row>
    <row r="16" spans="1:11">
      <c r="A16" s="290">
        <v>14</v>
      </c>
      <c r="B16" s="325" t="str">
        <f>CM!C16</f>
        <v>TRANSFORMADOR DE IGNICIÓN</v>
      </c>
      <c r="C16" s="156" t="s">
        <v>586</v>
      </c>
      <c r="D16" s="156">
        <f t="shared" ref="D16:D22" si="8">356.13/10^6</f>
        <v>3.5613000000000002E-4</v>
      </c>
      <c r="E16" s="156">
        <f t="shared" si="2"/>
        <v>3.5613000000000002E-4</v>
      </c>
      <c r="F16" s="322">
        <f>CM!H16</f>
        <v>14832.000000000002</v>
      </c>
      <c r="G16" s="322">
        <f t="shared" si="7"/>
        <v>14832.000000000002</v>
      </c>
      <c r="H16" s="322">
        <f t="shared" si="0"/>
        <v>29664.000000000004</v>
      </c>
      <c r="I16" s="156">
        <v>1</v>
      </c>
      <c r="J16" s="323">
        <f t="shared" si="1"/>
        <v>6.1591594457628834E-5</v>
      </c>
      <c r="K16" s="330">
        <f t="shared" si="3"/>
        <v>16235.981692078738</v>
      </c>
    </row>
    <row r="17" spans="1:11">
      <c r="A17" s="290">
        <v>15</v>
      </c>
      <c r="B17" s="325" t="str">
        <f>CM!C17</f>
        <v>CONTACTOR</v>
      </c>
      <c r="C17" s="156" t="s">
        <v>586</v>
      </c>
      <c r="D17" s="156">
        <f t="shared" si="8"/>
        <v>3.5613000000000002E-4</v>
      </c>
      <c r="E17" s="156">
        <f t="shared" si="2"/>
        <v>3.5613000000000002E-4</v>
      </c>
      <c r="F17" s="322">
        <f>CM!H17</f>
        <v>49440</v>
      </c>
      <c r="G17" s="322">
        <f t="shared" si="7"/>
        <v>49440</v>
      </c>
      <c r="H17" s="322">
        <f t="shared" si="0"/>
        <v>98880</v>
      </c>
      <c r="I17" s="156">
        <v>1</v>
      </c>
      <c r="J17" s="323">
        <f t="shared" si="1"/>
        <v>1.966801117300763E-5</v>
      </c>
      <c r="K17" s="330">
        <f t="shared" si="3"/>
        <v>50843.981692078734</v>
      </c>
    </row>
    <row r="18" spans="1:11">
      <c r="A18" s="290">
        <v>16</v>
      </c>
      <c r="B18" s="325" t="str">
        <f>CM!C18</f>
        <v>BOTONERA</v>
      </c>
      <c r="C18" s="156" t="s">
        <v>586</v>
      </c>
      <c r="D18" s="156">
        <f t="shared" si="8"/>
        <v>3.5613000000000002E-4</v>
      </c>
      <c r="E18" s="156">
        <f t="shared" si="2"/>
        <v>3.5613000000000002E-4</v>
      </c>
      <c r="F18" s="322">
        <f>CM!H18</f>
        <v>49440</v>
      </c>
      <c r="G18" s="322">
        <f t="shared" si="7"/>
        <v>49440</v>
      </c>
      <c r="H18" s="322">
        <f t="shared" si="0"/>
        <v>98880</v>
      </c>
      <c r="I18" s="156">
        <v>1</v>
      </c>
      <c r="J18" s="323">
        <f t="shared" si="1"/>
        <v>1.966801117300763E-5</v>
      </c>
      <c r="K18" s="330">
        <f t="shared" si="3"/>
        <v>50843.981692078734</v>
      </c>
    </row>
    <row r="19" spans="1:11">
      <c r="A19" s="290">
        <v>17</v>
      </c>
      <c r="B19" s="325" t="str">
        <f>CM!C19</f>
        <v>BREAKERS</v>
      </c>
      <c r="C19" s="156" t="s">
        <v>586</v>
      </c>
      <c r="D19" s="156">
        <f t="shared" si="8"/>
        <v>3.5613000000000002E-4</v>
      </c>
      <c r="E19" s="156">
        <f t="shared" si="2"/>
        <v>3.5613000000000002E-4</v>
      </c>
      <c r="F19" s="322">
        <f>CM!H19</f>
        <v>49440</v>
      </c>
      <c r="G19" s="322">
        <f t="shared" si="7"/>
        <v>49440</v>
      </c>
      <c r="H19" s="322">
        <f t="shared" si="0"/>
        <v>98880</v>
      </c>
      <c r="I19" s="156">
        <v>1</v>
      </c>
      <c r="J19" s="323">
        <f t="shared" si="1"/>
        <v>1.966801117300763E-5</v>
      </c>
      <c r="K19" s="330">
        <f t="shared" si="3"/>
        <v>50843.981692078734</v>
      </c>
    </row>
    <row r="20" spans="1:11">
      <c r="A20" s="290">
        <v>18</v>
      </c>
      <c r="B20" s="325" t="str">
        <f>CM!C20</f>
        <v>CONTROLADOR DE QUEMADOR</v>
      </c>
      <c r="C20" s="156" t="s">
        <v>586</v>
      </c>
      <c r="D20" s="156">
        <f t="shared" si="8"/>
        <v>3.5613000000000002E-4</v>
      </c>
      <c r="E20" s="156">
        <f t="shared" si="2"/>
        <v>3.5613000000000002E-4</v>
      </c>
      <c r="F20" s="322">
        <f>CM!H20</f>
        <v>49440</v>
      </c>
      <c r="G20" s="322">
        <f t="shared" si="7"/>
        <v>49440</v>
      </c>
      <c r="H20" s="322">
        <f t="shared" si="0"/>
        <v>98880</v>
      </c>
      <c r="I20" s="156">
        <v>1</v>
      </c>
      <c r="J20" s="323">
        <f t="shared" si="1"/>
        <v>1.966801117300763E-5</v>
      </c>
      <c r="K20" s="330">
        <f t="shared" si="3"/>
        <v>50843.981692078734</v>
      </c>
    </row>
    <row r="21" spans="1:11">
      <c r="A21" s="290">
        <v>19</v>
      </c>
      <c r="B21" s="325" t="str">
        <f>CM!C21</f>
        <v>CONTROLADOR DE LLAMA</v>
      </c>
      <c r="C21" s="156" t="s">
        <v>586</v>
      </c>
      <c r="D21" s="156">
        <f t="shared" si="8"/>
        <v>3.5613000000000002E-4</v>
      </c>
      <c r="E21" s="156">
        <f t="shared" si="2"/>
        <v>3.5613000000000002E-4</v>
      </c>
      <c r="F21" s="322">
        <f>CM!H21</f>
        <v>24720</v>
      </c>
      <c r="G21" s="322">
        <f t="shared" si="7"/>
        <v>24720</v>
      </c>
      <c r="H21" s="322">
        <f t="shared" si="0"/>
        <v>49440</v>
      </c>
      <c r="I21" s="156">
        <v>1</v>
      </c>
      <c r="J21" s="323">
        <f t="shared" si="1"/>
        <v>3.8279004011980998E-5</v>
      </c>
      <c r="K21" s="330">
        <f t="shared" si="3"/>
        <v>26123.981692078734</v>
      </c>
    </row>
    <row r="22" spans="1:11">
      <c r="A22" s="290">
        <v>20</v>
      </c>
      <c r="B22" s="325" t="str">
        <f>CM!C22</f>
        <v>SUMINISTRO DE ENERGÍA ELÉCTRICA INTERNA</v>
      </c>
      <c r="C22" s="156" t="s">
        <v>586</v>
      </c>
      <c r="D22" s="156">
        <f t="shared" si="8"/>
        <v>3.5613000000000002E-4</v>
      </c>
      <c r="E22" s="156">
        <f t="shared" si="2"/>
        <v>3.5613000000000002E-4</v>
      </c>
      <c r="F22" s="322">
        <f>CM!H22</f>
        <v>24720</v>
      </c>
      <c r="G22" s="322">
        <f t="shared" si="7"/>
        <v>24720</v>
      </c>
      <c r="H22" s="322">
        <f t="shared" si="0"/>
        <v>49440</v>
      </c>
      <c r="I22" s="156">
        <v>1</v>
      </c>
      <c r="J22" s="323">
        <f t="shared" si="1"/>
        <v>3.8279004011980998E-5</v>
      </c>
      <c r="K22" s="330">
        <f t="shared" si="3"/>
        <v>26123.981692078734</v>
      </c>
    </row>
    <row r="23" spans="1:11">
      <c r="A23" s="290">
        <v>21</v>
      </c>
      <c r="B23" s="325" t="str">
        <f>CM!C23</f>
        <v>PRESSURETROL DE OPERACIÓN</v>
      </c>
      <c r="C23" s="156" t="s">
        <v>585</v>
      </c>
      <c r="D23" s="156">
        <f>219.15/10^6</f>
        <v>2.1915000000000001E-4</v>
      </c>
      <c r="E23" s="156">
        <f t="shared" si="2"/>
        <v>2.1915000000000001E-4</v>
      </c>
      <c r="F23" s="322">
        <f>CM!H23</f>
        <v>49440</v>
      </c>
      <c r="G23" s="322">
        <f t="shared" si="7"/>
        <v>49440</v>
      </c>
      <c r="H23" s="322">
        <f t="shared" si="0"/>
        <v>98880</v>
      </c>
      <c r="I23" s="156">
        <v>1</v>
      </c>
      <c r="J23" s="323">
        <f t="shared" si="1"/>
        <v>1.9334303562770012E-5</v>
      </c>
      <c r="K23" s="330">
        <f t="shared" si="3"/>
        <v>51721.542322610076</v>
      </c>
    </row>
    <row r="24" spans="1:11">
      <c r="A24" s="290">
        <v>22</v>
      </c>
      <c r="B24" s="325" t="str">
        <f>CM!C24</f>
        <v>MANÓMETRO DE PRESIÓN</v>
      </c>
      <c r="C24" s="156" t="s">
        <v>585</v>
      </c>
      <c r="D24" s="156">
        <f>219.15/10^6</f>
        <v>2.1915000000000001E-4</v>
      </c>
      <c r="E24" s="156">
        <f t="shared" si="2"/>
        <v>2.1915000000000001E-4</v>
      </c>
      <c r="F24" s="322">
        <f>CM!H24</f>
        <v>9888</v>
      </c>
      <c r="G24" s="322">
        <f t="shared" si="7"/>
        <v>9888</v>
      </c>
      <c r="H24" s="322">
        <f t="shared" si="0"/>
        <v>19776</v>
      </c>
      <c r="I24" s="156">
        <v>1</v>
      </c>
      <c r="J24" s="323">
        <f t="shared" si="1"/>
        <v>8.2172358950761528E-5</v>
      </c>
      <c r="K24" s="330">
        <f t="shared" si="3"/>
        <v>12169.542322610085</v>
      </c>
    </row>
    <row r="25" spans="1:11">
      <c r="A25" s="290">
        <v>23</v>
      </c>
      <c r="B25" s="325" t="str">
        <f>CM!C25</f>
        <v>MANÓMETRO DE TEMPERATURA</v>
      </c>
      <c r="C25" s="156" t="s">
        <v>585</v>
      </c>
      <c r="D25" s="156">
        <f>219.15/10^6</f>
        <v>2.1915000000000001E-4</v>
      </c>
      <c r="E25" s="156">
        <f t="shared" si="2"/>
        <v>2.1915000000000001E-4</v>
      </c>
      <c r="F25" s="322">
        <f>CM!H25</f>
        <v>9888</v>
      </c>
      <c r="G25" s="322">
        <f t="shared" si="7"/>
        <v>9888</v>
      </c>
      <c r="H25" s="322">
        <f t="shared" si="0"/>
        <v>19776</v>
      </c>
      <c r="I25" s="156">
        <v>1</v>
      </c>
      <c r="J25" s="323">
        <f t="shared" si="1"/>
        <v>8.2172358950761528E-5</v>
      </c>
      <c r="K25" s="330">
        <f t="shared" si="3"/>
        <v>12169.542322610085</v>
      </c>
    </row>
    <row r="26" spans="1:11">
      <c r="A26" s="290">
        <v>24</v>
      </c>
      <c r="B26" s="325" t="str">
        <f>CM!C26</f>
        <v>VÁLVULA DE CONTROL DE GAS</v>
      </c>
      <c r="C26" s="156" t="s">
        <v>586</v>
      </c>
      <c r="D26" s="156">
        <f t="shared" ref="D26:D27" si="9">356.13/10^6</f>
        <v>3.5613000000000002E-4</v>
      </c>
      <c r="E26" s="156">
        <f t="shared" si="2"/>
        <v>3.5613000000000002E-4</v>
      </c>
      <c r="F26" s="322">
        <f>CM!H26</f>
        <v>24720</v>
      </c>
      <c r="G26" s="322">
        <f t="shared" si="7"/>
        <v>24720</v>
      </c>
      <c r="H26" s="322">
        <f t="shared" si="0"/>
        <v>49440</v>
      </c>
      <c r="I26" s="156">
        <v>1</v>
      </c>
      <c r="J26" s="323">
        <f t="shared" si="1"/>
        <v>3.8279004011980998E-5</v>
      </c>
      <c r="K26" s="330">
        <f t="shared" si="3"/>
        <v>26123.981692078734</v>
      </c>
    </row>
    <row r="27" spans="1:11">
      <c r="A27" s="290">
        <v>25</v>
      </c>
      <c r="B27" s="325" t="str">
        <f>CM!C27</f>
        <v>VÁLVULA REGULADORA DE AIRE</v>
      </c>
      <c r="C27" s="156" t="s">
        <v>586</v>
      </c>
      <c r="D27" s="156">
        <f t="shared" si="9"/>
        <v>3.5613000000000002E-4</v>
      </c>
      <c r="E27" s="156">
        <f t="shared" si="2"/>
        <v>3.5613000000000002E-4</v>
      </c>
      <c r="F27" s="322">
        <f>CM!H27</f>
        <v>24720</v>
      </c>
      <c r="G27" s="322">
        <f t="shared" si="7"/>
        <v>24720</v>
      </c>
      <c r="H27" s="322">
        <f t="shared" si="0"/>
        <v>49440</v>
      </c>
      <c r="I27" s="156">
        <v>1</v>
      </c>
      <c r="J27" s="323">
        <f t="shared" si="1"/>
        <v>3.8279004011980998E-5</v>
      </c>
      <c r="K27" s="330">
        <f t="shared" si="3"/>
        <v>26123.981692078734</v>
      </c>
    </row>
    <row r="28" spans="1:11">
      <c r="A28" s="290">
        <v>26</v>
      </c>
      <c r="B28" s="325" t="str">
        <f>CM!C28</f>
        <v>MCDONELL</v>
      </c>
      <c r="C28" s="156" t="s">
        <v>585</v>
      </c>
      <c r="D28" s="156">
        <f>219.15/10^6</f>
        <v>2.1915000000000001E-4</v>
      </c>
      <c r="E28" s="156">
        <f t="shared" si="2"/>
        <v>2.1915000000000001E-4</v>
      </c>
      <c r="F28" s="322">
        <f>CM!H28</f>
        <v>148320</v>
      </c>
      <c r="G28" s="322">
        <f>CM!D28*30</f>
        <v>148320</v>
      </c>
      <c r="H28" s="322">
        <f t="shared" si="0"/>
        <v>296640</v>
      </c>
      <c r="I28" s="156">
        <v>1</v>
      </c>
      <c r="J28" s="323">
        <f t="shared" si="1"/>
        <v>6.6400382398332723E-6</v>
      </c>
      <c r="K28" s="330">
        <f t="shared" si="3"/>
        <v>150601.5423226101</v>
      </c>
    </row>
    <row r="29" spans="1:11">
      <c r="A29" s="290">
        <v>27</v>
      </c>
      <c r="B29" s="325" t="str">
        <f>CM!C29</f>
        <v>VENTILADOR DE MOTOR</v>
      </c>
      <c r="C29" s="156" t="s">
        <v>586</v>
      </c>
      <c r="D29" s="156">
        <f>356.13/10^6</f>
        <v>3.5613000000000002E-4</v>
      </c>
      <c r="E29" s="156">
        <f t="shared" si="2"/>
        <v>3.5613000000000002E-4</v>
      </c>
      <c r="F29" s="322">
        <f>CM!H29</f>
        <v>24720</v>
      </c>
      <c r="G29" s="322">
        <f t="shared" ref="G29:G33" si="10">F29</f>
        <v>24720</v>
      </c>
      <c r="H29" s="322">
        <f t="shared" si="0"/>
        <v>49440</v>
      </c>
      <c r="I29" s="156">
        <v>1</v>
      </c>
      <c r="J29" s="323">
        <f t="shared" si="1"/>
        <v>3.8279004011980998E-5</v>
      </c>
      <c r="K29" s="330">
        <f t="shared" si="3"/>
        <v>26123.981692078734</v>
      </c>
    </row>
    <row r="30" spans="1:11">
      <c r="A30" s="290">
        <v>28</v>
      </c>
      <c r="B30" s="325" t="str">
        <f>CM!C30</f>
        <v>EMPAQUES DE COMPUERTAS</v>
      </c>
      <c r="C30" s="156" t="s">
        <v>587</v>
      </c>
      <c r="D30" s="156">
        <f>54.79/10^6</f>
        <v>5.4790000000000002E-5</v>
      </c>
      <c r="E30" s="156">
        <f t="shared" si="2"/>
        <v>5.4790000000000002E-5</v>
      </c>
      <c r="F30" s="322">
        <f>CM!H30</f>
        <v>4944</v>
      </c>
      <c r="G30" s="322">
        <f t="shared" si="10"/>
        <v>4944</v>
      </c>
      <c r="H30" s="322">
        <f t="shared" si="0"/>
        <v>9888</v>
      </c>
      <c r="I30" s="156">
        <v>1</v>
      </c>
      <c r="J30" s="323">
        <f t="shared" si="1"/>
        <v>7.1074453752803808E-5</v>
      </c>
      <c r="K30" s="330">
        <f t="shared" si="3"/>
        <v>14069.752874612155</v>
      </c>
    </row>
    <row r="31" spans="1:11">
      <c r="A31" s="290">
        <v>29</v>
      </c>
      <c r="B31" s="325" t="str">
        <f>CM!C31</f>
        <v>VISOR DE LLAMA</v>
      </c>
      <c r="C31" s="156" t="s">
        <v>585</v>
      </c>
      <c r="D31" s="156">
        <f>219.15/10^6</f>
        <v>2.1915000000000001E-4</v>
      </c>
      <c r="E31" s="156">
        <f t="shared" si="2"/>
        <v>2.1915000000000001E-4</v>
      </c>
      <c r="F31" s="322">
        <f>CM!H31</f>
        <v>9888</v>
      </c>
      <c r="G31" s="322">
        <f t="shared" si="10"/>
        <v>9888</v>
      </c>
      <c r="H31" s="322">
        <f t="shared" si="0"/>
        <v>19776</v>
      </c>
      <c r="I31" s="156">
        <v>1</v>
      </c>
      <c r="J31" s="323">
        <f t="shared" si="1"/>
        <v>8.2172358950761528E-5</v>
      </c>
      <c r="K31" s="330">
        <f t="shared" si="3"/>
        <v>12169.542322610085</v>
      </c>
    </row>
    <row r="32" spans="1:11">
      <c r="A32" s="290">
        <v>30</v>
      </c>
      <c r="B32" s="325" t="str">
        <f>CM!C32</f>
        <v>EMPAQUES DE QUEMADOR</v>
      </c>
      <c r="C32" s="156" t="s">
        <v>587</v>
      </c>
      <c r="D32" s="156">
        <f>54.79/10^6</f>
        <v>5.4790000000000002E-5</v>
      </c>
      <c r="E32" s="156">
        <f t="shared" si="2"/>
        <v>5.4790000000000002E-5</v>
      </c>
      <c r="F32" s="322">
        <f>CM!H32</f>
        <v>24720</v>
      </c>
      <c r="G32" s="322">
        <f t="shared" si="10"/>
        <v>24720</v>
      </c>
      <c r="H32" s="322">
        <f t="shared" si="0"/>
        <v>49440</v>
      </c>
      <c r="I32" s="156">
        <v>1</v>
      </c>
      <c r="J32" s="323">
        <f t="shared" si="1"/>
        <v>2.9545804571246645E-5</v>
      </c>
      <c r="K32" s="330">
        <f t="shared" si="3"/>
        <v>33845.752874612153</v>
      </c>
    </row>
    <row r="33" spans="1:11">
      <c r="A33" s="290">
        <v>31</v>
      </c>
      <c r="B33" s="325" t="str">
        <f>CM!C33</f>
        <v>VISOR DE NIVEL DE AGUA</v>
      </c>
      <c r="C33" s="156" t="s">
        <v>585</v>
      </c>
      <c r="D33" s="156">
        <f>219.15/10^6</f>
        <v>2.1915000000000001E-4</v>
      </c>
      <c r="E33" s="156">
        <f t="shared" si="2"/>
        <v>2.1915000000000001E-4</v>
      </c>
      <c r="F33" s="322">
        <f>CM!H33</f>
        <v>4944</v>
      </c>
      <c r="G33" s="322">
        <f t="shared" si="10"/>
        <v>4944</v>
      </c>
      <c r="H33" s="322">
        <f t="shared" si="0"/>
        <v>9888</v>
      </c>
      <c r="I33" s="156">
        <v>1</v>
      </c>
      <c r="J33" s="323">
        <f t="shared" si="1"/>
        <v>1.3839791608040428E-4</v>
      </c>
      <c r="K33" s="330">
        <f t="shared" si="3"/>
        <v>7225.5423226100856</v>
      </c>
    </row>
    <row r="35" spans="1:11">
      <c r="F35" s="66"/>
    </row>
  </sheetData>
  <pageMargins left="0.7" right="0.7" top="0.75" bottom="0.75" header="0.3" footer="0.3"/>
  <ignoredErrors>
    <ignoredError sqref="D6 D28 D31:D32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F66C5-A0E9-42E7-A9E2-F779C2FA427E}">
  <dimension ref="B1:AT79"/>
  <sheetViews>
    <sheetView zoomScale="80" zoomScaleNormal="80" workbookViewId="0">
      <pane xSplit="4" ySplit="1" topLeftCell="AK2" activePane="bottomRight" state="frozenSplit"/>
      <selection pane="topRight" activeCell="C1" sqref="C1"/>
      <selection pane="bottomLeft" activeCell="A37" sqref="A37"/>
      <selection pane="bottomRight" activeCell="AC2" sqref="AC2"/>
    </sheetView>
  </sheetViews>
  <sheetFormatPr baseColWidth="10" defaultRowHeight="14.4"/>
  <cols>
    <col min="1" max="1" width="2.109375" customWidth="1"/>
    <col min="2" max="2" width="9" bestFit="1" customWidth="1"/>
    <col min="3" max="3" width="45.33203125" bestFit="1" customWidth="1"/>
    <col min="4" max="4" width="8.109375" customWidth="1"/>
    <col min="5" max="5" width="14.21875" customWidth="1"/>
    <col min="6" max="6" width="6.6640625" customWidth="1"/>
    <col min="14" max="14" width="13.109375" customWidth="1"/>
    <col min="15" max="15" width="11.44140625" customWidth="1"/>
    <col min="17" max="17" width="13.21875" customWidth="1"/>
    <col min="19" max="19" width="14.109375" customWidth="1"/>
    <col min="21" max="21" width="15.5546875" customWidth="1"/>
    <col min="22" max="22" width="12.5546875" customWidth="1"/>
    <col min="23" max="23" width="13.33203125" customWidth="1"/>
    <col min="24" max="24" width="15" customWidth="1"/>
    <col min="25" max="25" width="13.88671875" customWidth="1"/>
    <col min="26" max="26" width="13" customWidth="1"/>
    <col min="27" max="27" width="17.33203125" customWidth="1"/>
    <col min="28" max="28" width="11.44140625" bestFit="1" customWidth="1"/>
    <col min="29" max="29" width="14.109375" customWidth="1"/>
    <col min="30" max="30" width="13.33203125" customWidth="1"/>
    <col min="31" max="31" width="15.5546875" customWidth="1"/>
    <col min="32" max="32" width="17.5546875" customWidth="1"/>
    <col min="34" max="34" width="15.33203125" customWidth="1"/>
    <col min="35" max="35" width="13" customWidth="1"/>
    <col min="36" max="36" width="14.44140625" customWidth="1"/>
    <col min="37" max="37" width="16.77734375" customWidth="1"/>
    <col min="39" max="39" width="13.44140625" customWidth="1"/>
    <col min="44" max="44" width="12" bestFit="1" customWidth="1"/>
    <col min="45" max="45" width="12.5546875" bestFit="1" customWidth="1"/>
  </cols>
  <sheetData>
    <row r="1" spans="2:46" ht="49.8" customHeight="1" thickBot="1">
      <c r="B1" s="76" t="s">
        <v>56</v>
      </c>
      <c r="C1" s="95" t="s">
        <v>55</v>
      </c>
      <c r="D1" s="37" t="s">
        <v>239</v>
      </c>
      <c r="E1" s="252" t="s">
        <v>515</v>
      </c>
      <c r="F1" s="223"/>
      <c r="G1" s="76" t="s">
        <v>444</v>
      </c>
      <c r="H1" s="76" t="s">
        <v>443</v>
      </c>
      <c r="I1" s="76" t="s">
        <v>371</v>
      </c>
      <c r="J1" s="204" t="s">
        <v>28</v>
      </c>
      <c r="K1" s="76" t="s">
        <v>20</v>
      </c>
      <c r="L1" s="76" t="s">
        <v>64</v>
      </c>
      <c r="M1" s="76" t="s">
        <v>51</v>
      </c>
      <c r="N1" s="76" t="s">
        <v>70</v>
      </c>
      <c r="O1" s="101" t="s">
        <v>73</v>
      </c>
      <c r="P1" s="189" t="s">
        <v>25</v>
      </c>
      <c r="Q1" s="76" t="s">
        <v>31</v>
      </c>
      <c r="R1" s="76" t="s">
        <v>32</v>
      </c>
      <c r="S1" s="255" t="s">
        <v>26</v>
      </c>
      <c r="T1" s="161" t="s">
        <v>27</v>
      </c>
      <c r="U1" s="76" t="s">
        <v>88</v>
      </c>
      <c r="V1" s="101" t="s">
        <v>46</v>
      </c>
      <c r="W1" s="76" t="s">
        <v>47</v>
      </c>
      <c r="X1" s="224" t="s">
        <v>33</v>
      </c>
      <c r="Y1" s="224" t="s">
        <v>34</v>
      </c>
      <c r="Z1" s="224" t="s">
        <v>53</v>
      </c>
      <c r="AA1" s="224" t="s">
        <v>35</v>
      </c>
      <c r="AB1" s="224" t="s">
        <v>36</v>
      </c>
      <c r="AC1" s="224" t="s">
        <v>101</v>
      </c>
      <c r="AD1" s="224" t="s">
        <v>37</v>
      </c>
      <c r="AE1" s="224" t="s">
        <v>106</v>
      </c>
      <c r="AF1" s="224" t="s">
        <v>110</v>
      </c>
      <c r="AG1" s="224" t="s">
        <v>113</v>
      </c>
      <c r="AH1" s="224" t="s">
        <v>115</v>
      </c>
      <c r="AI1" s="225" t="s">
        <v>42</v>
      </c>
      <c r="AJ1" s="224" t="s">
        <v>43</v>
      </c>
      <c r="AK1" s="224" t="s">
        <v>49</v>
      </c>
      <c r="AL1" s="224" t="s">
        <v>44</v>
      </c>
      <c r="AM1" s="224" t="s">
        <v>45</v>
      </c>
      <c r="AN1" s="224" t="s">
        <v>48</v>
      </c>
      <c r="AO1" s="252" t="s">
        <v>131</v>
      </c>
      <c r="AP1" s="252" t="s">
        <v>135</v>
      </c>
      <c r="AQ1" s="252" t="s">
        <v>141</v>
      </c>
      <c r="AR1" s="252" t="s">
        <v>142</v>
      </c>
      <c r="AS1" s="252" t="s">
        <v>516</v>
      </c>
      <c r="AT1" s="344" t="s">
        <v>603</v>
      </c>
    </row>
    <row r="2" spans="2:46" ht="12" customHeight="1">
      <c r="B2" s="79">
        <v>1</v>
      </c>
      <c r="C2" s="96" t="s">
        <v>28</v>
      </c>
      <c r="D2" s="49" t="s">
        <v>211</v>
      </c>
      <c r="E2" s="216">
        <f>CM!G3</f>
        <v>6.7421790722761597E-6</v>
      </c>
      <c r="F2" s="216"/>
      <c r="G2" s="218">
        <f>H2/206</f>
        <v>0</v>
      </c>
      <c r="H2" s="215">
        <f>I2/24</f>
        <v>0</v>
      </c>
      <c r="I2" s="92">
        <v>0</v>
      </c>
      <c r="J2" s="93">
        <f t="shared" ref="J2:J33" si="0">EXP(-($E$2*$I2))</f>
        <v>1</v>
      </c>
      <c r="K2" s="93">
        <f t="shared" ref="K2:K33" si="1">EXP(-($E$3*$I2))</f>
        <v>1</v>
      </c>
      <c r="L2" s="93">
        <f t="shared" ref="L2:L33" si="2">EXP(-($E$4*$I2))</f>
        <v>1</v>
      </c>
      <c r="M2" s="93">
        <f t="shared" ref="M2:M33" si="3">EXP(-($E$5*$I2))</f>
        <v>1</v>
      </c>
      <c r="N2" s="93">
        <f t="shared" ref="N2:N33" si="4">EXP(-($E$6*$I2))</f>
        <v>1</v>
      </c>
      <c r="O2" s="93">
        <f t="shared" ref="O2:O33" si="5">EXP(-($E$7*$I2))</f>
        <v>1</v>
      </c>
      <c r="P2" s="93">
        <f t="shared" ref="P2:P33" si="6">EXP(-($E$8*$I2))</f>
        <v>1</v>
      </c>
      <c r="Q2" s="93">
        <f t="shared" ref="Q2:Q33" si="7">EXP(-($E$9*$I2))</f>
        <v>1</v>
      </c>
      <c r="R2" s="93">
        <f t="shared" ref="R2:R33" si="8">EXP(-($E$10*$I2))</f>
        <v>1</v>
      </c>
      <c r="S2" s="93">
        <f t="shared" ref="S2:S33" si="9">EXP(-($E$11*$I2))</f>
        <v>1</v>
      </c>
      <c r="T2" s="93">
        <f t="shared" ref="T2:T33" si="10">EXP(-($E$12*$I2))</f>
        <v>1</v>
      </c>
      <c r="U2" s="93">
        <f t="shared" ref="U2:U33" si="11">EXP(-($E$13*$I2))</f>
        <v>1</v>
      </c>
      <c r="V2" s="93">
        <f t="shared" ref="V2:V33" si="12">EXP(-($E$14*$I2))</f>
        <v>1</v>
      </c>
      <c r="W2" s="93">
        <f t="shared" ref="W2:W33" si="13">EXP(-($E$15*$I2))</f>
        <v>1</v>
      </c>
      <c r="X2" s="93">
        <f t="shared" ref="X2:X33" si="14">EXP(-($E$16*$I2))</f>
        <v>1</v>
      </c>
      <c r="Y2" s="93">
        <f t="shared" ref="Y2:Y33" si="15">EXP(-($E$17*$I2))</f>
        <v>1</v>
      </c>
      <c r="Z2" s="93">
        <f t="shared" ref="Z2:Z33" si="16">EXP(-($E$18*$I2))</f>
        <v>1</v>
      </c>
      <c r="AA2" s="93">
        <f t="shared" ref="AA2:AA33" si="17">EXP(-($E$19*$I2))</f>
        <v>1</v>
      </c>
      <c r="AB2" s="93">
        <f t="shared" ref="AB2:AB33" si="18">EXP(-($E$20*$I2))</f>
        <v>1</v>
      </c>
      <c r="AC2" s="93">
        <f t="shared" ref="AC2:AC33" si="19">EXP(-($E$21*$I2))</f>
        <v>1</v>
      </c>
      <c r="AD2" s="93">
        <f t="shared" ref="AD2:AD33" si="20">EXP(-($E$22*$I2))</f>
        <v>1</v>
      </c>
      <c r="AE2" s="93">
        <f t="shared" ref="AE2:AE33" si="21">EXP(-($E$23*$I2))</f>
        <v>1</v>
      </c>
      <c r="AF2" s="93">
        <f t="shared" ref="AF2:AF33" si="22">EXP(-($E$24*$I2))</f>
        <v>1</v>
      </c>
      <c r="AG2" s="93">
        <f t="shared" ref="AG2:AG33" si="23">EXP(-($E$25*$I2))</f>
        <v>1</v>
      </c>
      <c r="AH2" s="93">
        <f t="shared" ref="AH2:AH33" si="24">EXP(-($E$26*$I2))</f>
        <v>1</v>
      </c>
      <c r="AI2" s="93">
        <f t="shared" ref="AI2:AI33" si="25">EXP(-($E$27*$I2))</f>
        <v>1</v>
      </c>
      <c r="AJ2" s="93">
        <f t="shared" ref="AJ2:AJ33" si="26">EXP(-($E$28*$I2))</f>
        <v>1</v>
      </c>
      <c r="AK2" s="93">
        <f t="shared" ref="AK2:AK33" si="27">EXP(-($E$29*$I2))</f>
        <v>1</v>
      </c>
      <c r="AL2" s="93">
        <f t="shared" ref="AL2:AL33" si="28">EXP(-($E$30*$I2))</f>
        <v>1</v>
      </c>
      <c r="AM2" s="93">
        <f t="shared" ref="AM2:AM33" si="29">EXP(-($E$31*$I2))</f>
        <v>1</v>
      </c>
      <c r="AN2" s="93">
        <f t="shared" ref="AN2:AN33" si="30">EXP(-($E$32*$I2))</f>
        <v>1</v>
      </c>
      <c r="AO2" s="260">
        <f t="shared" ref="AO2:AO6" si="31">J2*(1-(1-K2)*(1-AK2))*L2</f>
        <v>1</v>
      </c>
      <c r="AP2" s="261">
        <f t="shared" ref="AP2:AP6" si="32">M2*(1-(1-N2)*(1-O2)*(1-P2))*(Q2)</f>
        <v>1</v>
      </c>
      <c r="AQ2" s="262">
        <f t="shared" ref="AQ2:AQ6" si="33">1-((1-(1-(1-S2)*(1-AL2)*(1-AM2))*T2*U2*V2*W2)*(1-R2)*(1-AJ2))</f>
        <v>1</v>
      </c>
      <c r="AR2" s="263">
        <f t="shared" ref="AR2:AR6" si="34">X2*Y2*Z2*(1-(1-(AA2*AB2*AC2*AD2*AG2*AH2))*(1-AE2)*(1-AF2))*(1-(1-AI2)*(1-AN2))</f>
        <v>1</v>
      </c>
      <c r="AS2" s="260">
        <f t="shared" ref="AS2:AS6" si="35">AO2*AP2*AQ2*AR2</f>
        <v>1</v>
      </c>
      <c r="AT2" s="260">
        <f>1-AS2</f>
        <v>0</v>
      </c>
    </row>
    <row r="3" spans="2:46" ht="12" customHeight="1">
      <c r="B3" s="79">
        <v>2</v>
      </c>
      <c r="C3" s="96" t="s">
        <v>20</v>
      </c>
      <c r="D3" s="50" t="s">
        <v>212</v>
      </c>
      <c r="E3" s="216">
        <f>CM!G4</f>
        <v>4.0453074433656958E-5</v>
      </c>
      <c r="F3" s="216"/>
      <c r="G3" s="218">
        <f t="shared" ref="G3:G66" si="36">H3/206</f>
        <v>0.20226537216828477</v>
      </c>
      <c r="H3" s="215">
        <f t="shared" ref="H3:H66" si="37">I3/24</f>
        <v>41.666666666666664</v>
      </c>
      <c r="I3" s="92">
        <v>1000</v>
      </c>
      <c r="J3" s="93">
        <f t="shared" si="0"/>
        <v>0.99328049842317823</v>
      </c>
      <c r="K3" s="93">
        <f t="shared" si="1"/>
        <v>0.9603542286201433</v>
      </c>
      <c r="L3" s="93">
        <f t="shared" si="2"/>
        <v>0.97151841689787277</v>
      </c>
      <c r="M3" s="93">
        <f t="shared" si="3"/>
        <v>0.99328049842317823</v>
      </c>
      <c r="N3" s="93">
        <f t="shared" si="4"/>
        <v>0.95069085485671523</v>
      </c>
      <c r="O3" s="93">
        <f t="shared" si="5"/>
        <v>0.66728986695027392</v>
      </c>
      <c r="P3" s="93">
        <f t="shared" si="6"/>
        <v>0.99328049842317823</v>
      </c>
      <c r="Q3" s="93">
        <f t="shared" si="7"/>
        <v>0.97997664697692832</v>
      </c>
      <c r="R3" s="93">
        <f t="shared" si="8"/>
        <v>0.99328049842317823</v>
      </c>
      <c r="S3" s="93">
        <f t="shared" si="9"/>
        <v>0.9603542286201433</v>
      </c>
      <c r="T3" s="93">
        <f t="shared" si="10"/>
        <v>0.98993769853305835</v>
      </c>
      <c r="U3" s="93">
        <f t="shared" si="11"/>
        <v>0.97997664697692832</v>
      </c>
      <c r="V3" s="93">
        <f t="shared" si="12"/>
        <v>0.66728986695027392</v>
      </c>
      <c r="W3" s="93">
        <f t="shared" si="13"/>
        <v>0.93480082785426644</v>
      </c>
      <c r="X3" s="93">
        <f t="shared" si="14"/>
        <v>0.97997664697692832</v>
      </c>
      <c r="Y3" s="93">
        <f t="shared" si="15"/>
        <v>0.97997664697692832</v>
      </c>
      <c r="Z3" s="93">
        <f t="shared" si="16"/>
        <v>0.97997664697692832</v>
      </c>
      <c r="AA3" s="93">
        <f t="shared" si="17"/>
        <v>0.97997664697692832</v>
      </c>
      <c r="AB3" s="93">
        <f t="shared" si="18"/>
        <v>0.9603542286201433</v>
      </c>
      <c r="AC3" s="93">
        <f t="shared" si="19"/>
        <v>0.9603542286201433</v>
      </c>
      <c r="AD3" s="93">
        <f t="shared" si="20"/>
        <v>0.97997664697692832</v>
      </c>
      <c r="AE3" s="93">
        <f t="shared" si="21"/>
        <v>0.90381310150819194</v>
      </c>
      <c r="AF3" s="93">
        <f t="shared" si="22"/>
        <v>0.90381310150819194</v>
      </c>
      <c r="AG3" s="93">
        <f t="shared" si="23"/>
        <v>0.9603542286201433</v>
      </c>
      <c r="AH3" s="93">
        <f t="shared" si="24"/>
        <v>0.9603542286201433</v>
      </c>
      <c r="AI3" s="93">
        <f t="shared" si="25"/>
        <v>0.99328049842317823</v>
      </c>
      <c r="AJ3" s="93">
        <f t="shared" si="26"/>
        <v>0.9603542286201433</v>
      </c>
      <c r="AK3" s="93">
        <f t="shared" si="27"/>
        <v>0.81687812245785718</v>
      </c>
      <c r="AL3" s="93">
        <f t="shared" si="28"/>
        <v>0.90381310150819194</v>
      </c>
      <c r="AM3" s="93">
        <f t="shared" si="29"/>
        <v>0.9603542286201433</v>
      </c>
      <c r="AN3" s="93">
        <f t="shared" si="30"/>
        <v>0.81687812245785718</v>
      </c>
      <c r="AO3" s="260">
        <f t="shared" si="31"/>
        <v>0.95798445999635784</v>
      </c>
      <c r="AP3" s="261">
        <f t="shared" si="32"/>
        <v>0.97328438778767412</v>
      </c>
      <c r="AQ3" s="262">
        <f t="shared" si="33"/>
        <v>0.99989478549328248</v>
      </c>
      <c r="AR3" s="263">
        <f t="shared" si="34"/>
        <v>0.93837415577642103</v>
      </c>
      <c r="AS3" s="260">
        <f t="shared" si="35"/>
        <v>0.87483986096864053</v>
      </c>
      <c r="AT3" s="260">
        <f t="shared" ref="AT3:AT66" si="38">1-AS3</f>
        <v>0.12516013903135947</v>
      </c>
    </row>
    <row r="4" spans="2:46" ht="12" customHeight="1">
      <c r="B4" s="79">
        <v>3</v>
      </c>
      <c r="C4" s="96" t="s">
        <v>64</v>
      </c>
      <c r="D4" s="49" t="s">
        <v>422</v>
      </c>
      <c r="E4" s="216">
        <f>CM!G5</f>
        <v>2.8895053166897826E-5</v>
      </c>
      <c r="F4" s="216"/>
      <c r="G4" s="218">
        <f t="shared" si="36"/>
        <v>0.40453074433656955</v>
      </c>
      <c r="H4" s="215">
        <f t="shared" si="37"/>
        <v>83.333333333333329</v>
      </c>
      <c r="I4" s="92">
        <v>2000</v>
      </c>
      <c r="J4" s="93">
        <f t="shared" si="0"/>
        <v>0.98660614854779738</v>
      </c>
      <c r="K4" s="93">
        <f t="shared" si="1"/>
        <v>0.92228024442859036</v>
      </c>
      <c r="L4" s="93">
        <f t="shared" si="2"/>
        <v>0.9438480343717488</v>
      </c>
      <c r="M4" s="93">
        <f t="shared" si="3"/>
        <v>0.98660614854779738</v>
      </c>
      <c r="N4" s="93">
        <f t="shared" si="4"/>
        <v>0.90381310150819194</v>
      </c>
      <c r="O4" s="93">
        <f t="shared" si="5"/>
        <v>0.44527576653451423</v>
      </c>
      <c r="P4" s="93">
        <f t="shared" si="6"/>
        <v>0.98660614854779738</v>
      </c>
      <c r="Q4" s="93">
        <f t="shared" si="7"/>
        <v>0.9603542286201433</v>
      </c>
      <c r="R4" s="93">
        <f t="shared" si="8"/>
        <v>0.98660614854779738</v>
      </c>
      <c r="S4" s="93">
        <f t="shared" si="9"/>
        <v>0.92228024442859036</v>
      </c>
      <c r="T4" s="93">
        <f t="shared" si="10"/>
        <v>0.97997664697692832</v>
      </c>
      <c r="U4" s="93">
        <f t="shared" si="11"/>
        <v>0.9603542286201433</v>
      </c>
      <c r="V4" s="93">
        <f t="shared" si="12"/>
        <v>0.44527576653451423</v>
      </c>
      <c r="W4" s="93">
        <f t="shared" si="13"/>
        <v>0.87385258775702201</v>
      </c>
      <c r="X4" s="93">
        <f t="shared" si="14"/>
        <v>0.9603542286201433</v>
      </c>
      <c r="Y4" s="93">
        <f t="shared" si="15"/>
        <v>0.9603542286201433</v>
      </c>
      <c r="Z4" s="93">
        <f t="shared" si="16"/>
        <v>0.9603542286201433</v>
      </c>
      <c r="AA4" s="93">
        <f t="shared" si="17"/>
        <v>0.9603542286201433</v>
      </c>
      <c r="AB4" s="93">
        <f t="shared" si="18"/>
        <v>0.92228024442859036</v>
      </c>
      <c r="AC4" s="93">
        <f t="shared" si="19"/>
        <v>0.92228024442859036</v>
      </c>
      <c r="AD4" s="93">
        <f t="shared" si="20"/>
        <v>0.9603542286201433</v>
      </c>
      <c r="AE4" s="93">
        <f t="shared" si="21"/>
        <v>0.81687812245785718</v>
      </c>
      <c r="AF4" s="93">
        <f t="shared" si="22"/>
        <v>0.81687812245785718</v>
      </c>
      <c r="AG4" s="93">
        <f t="shared" si="23"/>
        <v>0.92228024442859036</v>
      </c>
      <c r="AH4" s="93">
        <f t="shared" si="24"/>
        <v>0.92228024442859036</v>
      </c>
      <c r="AI4" s="93">
        <f t="shared" si="25"/>
        <v>0.98660614854779738</v>
      </c>
      <c r="AJ4" s="93">
        <f t="shared" si="26"/>
        <v>0.92228024442859036</v>
      </c>
      <c r="AK4" s="93">
        <f t="shared" si="27"/>
        <v>0.66728986695027392</v>
      </c>
      <c r="AL4" s="93">
        <f t="shared" si="28"/>
        <v>0.81687812245785718</v>
      </c>
      <c r="AM4" s="93">
        <f t="shared" si="29"/>
        <v>0.92228024442859036</v>
      </c>
      <c r="AN4" s="93">
        <f t="shared" si="30"/>
        <v>0.66728986695027392</v>
      </c>
      <c r="AO4" s="260">
        <f t="shared" si="31"/>
        <v>0.90712700228988952</v>
      </c>
      <c r="AP4" s="261">
        <f t="shared" si="32"/>
        <v>0.94681425400704056</v>
      </c>
      <c r="AQ4" s="262">
        <f t="shared" si="33"/>
        <v>0.99933981010709372</v>
      </c>
      <c r="AR4" s="263">
        <f t="shared" si="34"/>
        <v>0.87193087159124327</v>
      </c>
      <c r="AS4" s="260">
        <f t="shared" si="35"/>
        <v>0.74839025749231247</v>
      </c>
      <c r="AT4" s="260">
        <f t="shared" si="38"/>
        <v>0.25160974250768753</v>
      </c>
    </row>
    <row r="5" spans="2:46" ht="12" customHeight="1">
      <c r="B5" s="79">
        <v>4</v>
      </c>
      <c r="C5" s="96" t="s">
        <v>51</v>
      </c>
      <c r="D5" s="51" t="s">
        <v>240</v>
      </c>
      <c r="E5" s="216">
        <f>CM!G6</f>
        <v>6.7421790722761597E-6</v>
      </c>
      <c r="F5" s="216"/>
      <c r="G5" s="218">
        <f t="shared" si="36"/>
        <v>0.60679611650485432</v>
      </c>
      <c r="H5" s="215">
        <f t="shared" si="37"/>
        <v>125</v>
      </c>
      <c r="I5" s="92">
        <v>3000</v>
      </c>
      <c r="J5" s="93">
        <f t="shared" si="0"/>
        <v>0.97997664697692832</v>
      </c>
      <c r="K5" s="93">
        <f t="shared" si="1"/>
        <v>0.88571573270981607</v>
      </c>
      <c r="L5" s="93">
        <f t="shared" si="2"/>
        <v>0.91696574814501042</v>
      </c>
      <c r="M5" s="93">
        <f t="shared" si="3"/>
        <v>0.97997664697692832</v>
      </c>
      <c r="N5" s="93">
        <f t="shared" si="4"/>
        <v>0.85924685010352209</v>
      </c>
      <c r="O5" s="93">
        <f t="shared" si="5"/>
        <v>0.29712800700699721</v>
      </c>
      <c r="P5" s="93">
        <f t="shared" si="6"/>
        <v>0.97997664697692832</v>
      </c>
      <c r="Q5" s="93">
        <f t="shared" si="7"/>
        <v>0.94112471687328247</v>
      </c>
      <c r="R5" s="93">
        <f t="shared" si="8"/>
        <v>0.97997664697692832</v>
      </c>
      <c r="S5" s="93">
        <f t="shared" si="9"/>
        <v>0.88571573270981607</v>
      </c>
      <c r="T5" s="93">
        <f t="shared" si="10"/>
        <v>0.97011582652448392</v>
      </c>
      <c r="U5" s="93">
        <f t="shared" si="11"/>
        <v>0.94112471687328247</v>
      </c>
      <c r="V5" s="93">
        <f t="shared" si="12"/>
        <v>0.29712800700699721</v>
      </c>
      <c r="W5" s="93">
        <f t="shared" si="13"/>
        <v>0.81687812245785718</v>
      </c>
      <c r="X5" s="93">
        <f t="shared" si="14"/>
        <v>0.94112471687328247</v>
      </c>
      <c r="Y5" s="93">
        <f t="shared" si="15"/>
        <v>0.94112471687328247</v>
      </c>
      <c r="Z5" s="93">
        <f t="shared" si="16"/>
        <v>0.94112471687328247</v>
      </c>
      <c r="AA5" s="93">
        <f t="shared" si="17"/>
        <v>0.94112471687328247</v>
      </c>
      <c r="AB5" s="93">
        <f t="shared" si="18"/>
        <v>0.88571573270981607</v>
      </c>
      <c r="AC5" s="93">
        <f t="shared" si="19"/>
        <v>0.88571573270981607</v>
      </c>
      <c r="AD5" s="93">
        <f t="shared" si="20"/>
        <v>0.94112471687328247</v>
      </c>
      <c r="AE5" s="93">
        <f t="shared" si="21"/>
        <v>0.73830514941282444</v>
      </c>
      <c r="AF5" s="93">
        <f t="shared" si="22"/>
        <v>0.73830514941282444</v>
      </c>
      <c r="AG5" s="93">
        <f t="shared" si="23"/>
        <v>0.88571573270981607</v>
      </c>
      <c r="AH5" s="93">
        <f t="shared" si="24"/>
        <v>0.88571573270981607</v>
      </c>
      <c r="AI5" s="93">
        <f t="shared" si="25"/>
        <v>0.97997664697692832</v>
      </c>
      <c r="AJ5" s="93">
        <f t="shared" si="26"/>
        <v>0.88571573270981607</v>
      </c>
      <c r="AK5" s="93">
        <f t="shared" si="27"/>
        <v>0.54509449364949303</v>
      </c>
      <c r="AL5" s="93">
        <f t="shared" si="28"/>
        <v>0.73830514941282444</v>
      </c>
      <c r="AM5" s="93">
        <f t="shared" si="29"/>
        <v>0.88571573270981607</v>
      </c>
      <c r="AN5" s="93">
        <f t="shared" si="30"/>
        <v>0.54509449364949303</v>
      </c>
      <c r="AO5" s="260">
        <f t="shared" si="31"/>
        <v>0.85188785404372191</v>
      </c>
      <c r="AP5" s="261">
        <f t="shared" si="32"/>
        <v>0.92045326325774524</v>
      </c>
      <c r="AQ5" s="262">
        <f t="shared" si="33"/>
        <v>0.99821701399251739</v>
      </c>
      <c r="AR5" s="263">
        <f t="shared" si="34"/>
        <v>0.80024388205703101</v>
      </c>
      <c r="AS5" s="260">
        <f t="shared" si="35"/>
        <v>0.6263707924941404</v>
      </c>
      <c r="AT5" s="260">
        <f t="shared" si="38"/>
        <v>0.3736292075058596</v>
      </c>
    </row>
    <row r="6" spans="2:46" ht="12" customHeight="1">
      <c r="B6" s="79">
        <v>5</v>
      </c>
      <c r="C6" s="96" t="s">
        <v>70</v>
      </c>
      <c r="D6" s="51" t="s">
        <v>214</v>
      </c>
      <c r="E6" s="216">
        <f>CM!G7</f>
        <v>5.05663430420712E-5</v>
      </c>
      <c r="F6" s="216"/>
      <c r="G6" s="218">
        <f t="shared" si="36"/>
        <v>0.8090614886731391</v>
      </c>
      <c r="H6" s="215">
        <f t="shared" si="37"/>
        <v>166.66666666666666</v>
      </c>
      <c r="I6" s="92">
        <v>4000</v>
      </c>
      <c r="J6" s="93">
        <f t="shared" si="0"/>
        <v>0.97339169235231837</v>
      </c>
      <c r="K6" s="93">
        <f t="shared" si="1"/>
        <v>0.85060084926326041</v>
      </c>
      <c r="L6" s="93">
        <f t="shared" si="2"/>
        <v>0.89084911198741401</v>
      </c>
      <c r="M6" s="93">
        <f t="shared" si="3"/>
        <v>0.97339169235231837</v>
      </c>
      <c r="N6" s="93">
        <f t="shared" si="4"/>
        <v>0.81687812245785718</v>
      </c>
      <c r="O6" s="93">
        <f t="shared" si="5"/>
        <v>0.19827050826289924</v>
      </c>
      <c r="P6" s="93">
        <f t="shared" si="6"/>
        <v>0.97339169235231837</v>
      </c>
      <c r="Q6" s="93">
        <f t="shared" si="7"/>
        <v>0.92228024442859036</v>
      </c>
      <c r="R6" s="93">
        <f t="shared" si="8"/>
        <v>0.97339169235231837</v>
      </c>
      <c r="S6" s="93">
        <f t="shared" si="9"/>
        <v>0.85060084926326041</v>
      </c>
      <c r="T6" s="93">
        <f t="shared" si="10"/>
        <v>0.9603542286201433</v>
      </c>
      <c r="U6" s="93">
        <f t="shared" si="11"/>
        <v>0.92228024442859036</v>
      </c>
      <c r="V6" s="93">
        <f t="shared" si="12"/>
        <v>0.19827050826289924</v>
      </c>
      <c r="W6" s="93">
        <f t="shared" si="13"/>
        <v>0.76361834512964377</v>
      </c>
      <c r="X6" s="93">
        <f t="shared" si="14"/>
        <v>0.92228024442859036</v>
      </c>
      <c r="Y6" s="93">
        <f t="shared" si="15"/>
        <v>0.92228024442859036</v>
      </c>
      <c r="Z6" s="93">
        <f t="shared" si="16"/>
        <v>0.92228024442859036</v>
      </c>
      <c r="AA6" s="93">
        <f t="shared" si="17"/>
        <v>0.92228024442859036</v>
      </c>
      <c r="AB6" s="93">
        <f t="shared" si="18"/>
        <v>0.85060084926326041</v>
      </c>
      <c r="AC6" s="93">
        <f t="shared" si="19"/>
        <v>0.85060084926326041</v>
      </c>
      <c r="AD6" s="93">
        <f t="shared" si="20"/>
        <v>0.92228024442859036</v>
      </c>
      <c r="AE6" s="93">
        <f t="shared" si="21"/>
        <v>0.66728986695027392</v>
      </c>
      <c r="AF6" s="93">
        <f t="shared" si="22"/>
        <v>0.66728986695027392</v>
      </c>
      <c r="AG6" s="93">
        <f t="shared" si="23"/>
        <v>0.85060084926326041</v>
      </c>
      <c r="AH6" s="93">
        <f t="shared" si="24"/>
        <v>0.85060084926326041</v>
      </c>
      <c r="AI6" s="93">
        <f t="shared" si="25"/>
        <v>0.97339169235231837</v>
      </c>
      <c r="AJ6" s="93">
        <f t="shared" si="26"/>
        <v>0.85060084926326041</v>
      </c>
      <c r="AK6" s="93">
        <f t="shared" si="27"/>
        <v>0.44527576653451423</v>
      </c>
      <c r="AL6" s="93">
        <f t="shared" si="28"/>
        <v>0.66728986695027392</v>
      </c>
      <c r="AM6" s="93">
        <f t="shared" si="29"/>
        <v>0.85060084926326041</v>
      </c>
      <c r="AN6" s="93">
        <f t="shared" si="30"/>
        <v>0.44527576653451423</v>
      </c>
      <c r="AO6" s="260">
        <f t="shared" si="31"/>
        <v>0.79528018692045344</v>
      </c>
      <c r="AP6" s="261">
        <f t="shared" si="32"/>
        <v>0.89423292697298673</v>
      </c>
      <c r="AQ6" s="262">
        <f t="shared" si="33"/>
        <v>0.99655386493956633</v>
      </c>
      <c r="AR6" s="263">
        <f t="shared" si="34"/>
        <v>0.72545171607669268</v>
      </c>
      <c r="AS6" s="260">
        <f t="shared" si="35"/>
        <v>0.51413848115544281</v>
      </c>
      <c r="AT6" s="260">
        <f t="shared" si="38"/>
        <v>0.48586151884455719</v>
      </c>
    </row>
    <row r="7" spans="2:46" ht="12" customHeight="1">
      <c r="B7" s="79">
        <v>6</v>
      </c>
      <c r="C7" s="97" t="s">
        <v>73</v>
      </c>
      <c r="D7" s="51" t="s">
        <v>215</v>
      </c>
      <c r="E7" s="216">
        <f>CM!G8</f>
        <v>4.045307443365696E-4</v>
      </c>
      <c r="F7" s="216"/>
      <c r="G7" s="219">
        <f t="shared" si="36"/>
        <v>1.0113268608414241</v>
      </c>
      <c r="H7" s="220">
        <f t="shared" si="37"/>
        <v>208.33333333333334</v>
      </c>
      <c r="I7" s="221">
        <v>5000</v>
      </c>
      <c r="J7" s="222">
        <f t="shared" si="0"/>
        <v>0.96685098534069169</v>
      </c>
      <c r="K7" s="222">
        <f t="shared" si="1"/>
        <v>0.81687812245785718</v>
      </c>
      <c r="L7" s="222">
        <f t="shared" si="2"/>
        <v>0.86547631897288813</v>
      </c>
      <c r="M7" s="222">
        <f t="shared" si="3"/>
        <v>0.96685098534069169</v>
      </c>
      <c r="N7" s="222">
        <f t="shared" si="4"/>
        <v>0.77659856055320864</v>
      </c>
      <c r="O7" s="222">
        <f t="shared" si="5"/>
        <v>0.13230390107891318</v>
      </c>
      <c r="P7" s="222">
        <f t="shared" si="6"/>
        <v>0.96685098534069169</v>
      </c>
      <c r="Q7" s="222">
        <f t="shared" si="7"/>
        <v>0.90381310150819194</v>
      </c>
      <c r="R7" s="222">
        <f t="shared" si="8"/>
        <v>0.96685098534069169</v>
      </c>
      <c r="S7" s="222">
        <f t="shared" si="9"/>
        <v>0.81687812245785718</v>
      </c>
      <c r="T7" s="222">
        <f t="shared" si="10"/>
        <v>0.95069085485671523</v>
      </c>
      <c r="U7" s="222">
        <f t="shared" si="11"/>
        <v>0.90381310150819194</v>
      </c>
      <c r="V7" s="222">
        <f t="shared" si="12"/>
        <v>0.13230390107891318</v>
      </c>
      <c r="W7" s="222">
        <f t="shared" si="13"/>
        <v>0.71383106119189599</v>
      </c>
      <c r="X7" s="222">
        <f t="shared" si="14"/>
        <v>0.90381310150819194</v>
      </c>
      <c r="Y7" s="222">
        <f t="shared" si="15"/>
        <v>0.90381310150819194</v>
      </c>
      <c r="Z7" s="222">
        <f t="shared" si="16"/>
        <v>0.90381310150819194</v>
      </c>
      <c r="AA7" s="222">
        <f t="shared" si="17"/>
        <v>0.90381310150819194</v>
      </c>
      <c r="AB7" s="222">
        <f t="shared" si="18"/>
        <v>0.81687812245785718</v>
      </c>
      <c r="AC7" s="222">
        <f t="shared" si="19"/>
        <v>0.81687812245785718</v>
      </c>
      <c r="AD7" s="222">
        <f t="shared" si="20"/>
        <v>0.90381310150819194</v>
      </c>
      <c r="AE7" s="222">
        <f t="shared" si="21"/>
        <v>0.60310532425331576</v>
      </c>
      <c r="AF7" s="222">
        <f t="shared" si="22"/>
        <v>0.60310532425331576</v>
      </c>
      <c r="AG7" s="222">
        <f t="shared" si="23"/>
        <v>0.81687812245785718</v>
      </c>
      <c r="AH7" s="222">
        <f t="shared" si="24"/>
        <v>0.81687812245785718</v>
      </c>
      <c r="AI7" s="222">
        <f t="shared" si="25"/>
        <v>0.96685098534069169</v>
      </c>
      <c r="AJ7" s="222">
        <f t="shared" si="26"/>
        <v>0.81687812245785718</v>
      </c>
      <c r="AK7" s="222">
        <f t="shared" si="27"/>
        <v>0.36373603214269712</v>
      </c>
      <c r="AL7" s="222">
        <f t="shared" si="28"/>
        <v>0.60310532425331576</v>
      </c>
      <c r="AM7" s="222">
        <f t="shared" si="29"/>
        <v>0.81687812245785718</v>
      </c>
      <c r="AN7" s="222">
        <f t="shared" si="30"/>
        <v>0.36373603214269712</v>
      </c>
      <c r="AO7" s="264">
        <f>J7*(1-(1-K7)*(1-AK7))*L7</f>
        <v>0.73928939767614354</v>
      </c>
      <c r="AP7" s="265">
        <f>M7*(1-(1-N7)*(1-O7)*(1-P7))*(Q7)</f>
        <v>0.86823742417975747</v>
      </c>
      <c r="AQ7" s="266">
        <f>1-((1-(1-(1-S7)*(1-AL7)*(1-AM7))*T7*U7*V7*W7)*(1-R7)*(1-AJ7))</f>
        <v>0.99441573681337736</v>
      </c>
      <c r="AR7" s="267">
        <f>X7*Y7*Z7*(1-(1-(AA7*AB7*AC7*AD7*AG7*AH7))*(1-AE7)*(1-AF7))*(1-(1-AI7)*(1-AN7))</f>
        <v>0.65029526717192054</v>
      </c>
      <c r="AS7" s="264">
        <f>AO7*AP7*AQ7*AR7</f>
        <v>0.41507976407100999</v>
      </c>
      <c r="AT7" s="260">
        <f t="shared" si="38"/>
        <v>0.58492023592899001</v>
      </c>
    </row>
    <row r="8" spans="2:46" ht="12" customHeight="1">
      <c r="B8" s="79">
        <v>7</v>
      </c>
      <c r="C8" s="96" t="s">
        <v>25</v>
      </c>
      <c r="D8" s="51" t="s">
        <v>216</v>
      </c>
      <c r="E8" s="216">
        <f>CM!G9</f>
        <v>6.7421790722761597E-6</v>
      </c>
      <c r="F8" s="216"/>
      <c r="G8" s="218">
        <f t="shared" si="36"/>
        <v>1.2135922330097086</v>
      </c>
      <c r="H8" s="215">
        <f t="shared" si="37"/>
        <v>250</v>
      </c>
      <c r="I8" s="92">
        <v>6000</v>
      </c>
      <c r="J8" s="93">
        <f t="shared" si="0"/>
        <v>0.9603542286201433</v>
      </c>
      <c r="K8" s="93">
        <f t="shared" si="1"/>
        <v>0.7844923591696864</v>
      </c>
      <c r="L8" s="93">
        <f t="shared" si="2"/>
        <v>0.84082618327113867</v>
      </c>
      <c r="M8" s="93">
        <f t="shared" si="3"/>
        <v>0.9603542286201433</v>
      </c>
      <c r="N8" s="93">
        <f t="shared" si="4"/>
        <v>0.73830514941282444</v>
      </c>
      <c r="O8" s="93">
        <f t="shared" si="5"/>
        <v>8.8285052547950188E-2</v>
      </c>
      <c r="P8" s="93">
        <f t="shared" si="6"/>
        <v>0.9603542286201433</v>
      </c>
      <c r="Q8" s="93">
        <f t="shared" si="7"/>
        <v>0.88571573270981607</v>
      </c>
      <c r="R8" s="93">
        <f t="shared" si="8"/>
        <v>0.9603542286201433</v>
      </c>
      <c r="S8" s="93">
        <f t="shared" si="9"/>
        <v>0.7844923591696864</v>
      </c>
      <c r="T8" s="93">
        <f t="shared" si="10"/>
        <v>0.94112471687328247</v>
      </c>
      <c r="U8" s="93">
        <f t="shared" si="11"/>
        <v>0.88571573270981607</v>
      </c>
      <c r="V8" s="93">
        <f t="shared" si="12"/>
        <v>8.8285052547950188E-2</v>
      </c>
      <c r="W8" s="93">
        <f t="shared" si="13"/>
        <v>0.66728986695027392</v>
      </c>
      <c r="X8" s="93">
        <f t="shared" si="14"/>
        <v>0.88571573270981607</v>
      </c>
      <c r="Y8" s="93">
        <f t="shared" si="15"/>
        <v>0.88571573270981607</v>
      </c>
      <c r="Z8" s="93">
        <f t="shared" si="16"/>
        <v>0.88571573270981607</v>
      </c>
      <c r="AA8" s="93">
        <f t="shared" si="17"/>
        <v>0.88571573270981607</v>
      </c>
      <c r="AB8" s="93">
        <f t="shared" si="18"/>
        <v>0.7844923591696864</v>
      </c>
      <c r="AC8" s="93">
        <f t="shared" si="19"/>
        <v>0.7844923591696864</v>
      </c>
      <c r="AD8" s="93">
        <f t="shared" si="20"/>
        <v>0.88571573270981607</v>
      </c>
      <c r="AE8" s="93">
        <f t="shared" si="21"/>
        <v>0.54509449364949303</v>
      </c>
      <c r="AF8" s="93">
        <f t="shared" si="22"/>
        <v>0.54509449364949303</v>
      </c>
      <c r="AG8" s="93">
        <f t="shared" si="23"/>
        <v>0.7844923591696864</v>
      </c>
      <c r="AH8" s="93">
        <f t="shared" si="24"/>
        <v>0.7844923591696864</v>
      </c>
      <c r="AI8" s="93">
        <f t="shared" si="25"/>
        <v>0.9603542286201433</v>
      </c>
      <c r="AJ8" s="93">
        <f t="shared" si="26"/>
        <v>0.7844923591696864</v>
      </c>
      <c r="AK8" s="93">
        <f t="shared" si="27"/>
        <v>0.29712800700699721</v>
      </c>
      <c r="AL8" s="93">
        <f t="shared" si="28"/>
        <v>0.54509449364949303</v>
      </c>
      <c r="AM8" s="93">
        <f t="shared" si="29"/>
        <v>0.7844923591696864</v>
      </c>
      <c r="AN8" s="93">
        <f t="shared" si="30"/>
        <v>0.29712800700699721</v>
      </c>
      <c r="AO8" s="260">
        <f t="shared" ref="AO8:AO71" si="39">J8*(1-(1-K8)*(1-AK8))*L8</f>
        <v>0.68517686169012104</v>
      </c>
      <c r="AP8" s="261">
        <f t="shared" ref="AP8:AP71" si="40">M8*(1-(1-N8)*(1-O8)*(1-P8))*(Q8)</f>
        <v>0.84255490654533427</v>
      </c>
      <c r="AQ8" s="262">
        <f t="shared" ref="AQ8:AQ71" si="41">1-((1-(1-(1-S8)*(1-AL8)*(1-AM8))*T8*U8*V8*W8)*(1-R8)*(1-AJ8))</f>
        <v>0.99186673736215913</v>
      </c>
      <c r="AR8" s="263">
        <f t="shared" ref="AR8:AR71" si="42">X8*Y8*Z8*(1-(1-(AA8*AB8*AC8*AD8*AG8*AH8))*(1-AE8)*(1-AF8))*(1-(1-AI8)*(1-AN8))</f>
        <v>0.5772260171546757</v>
      </c>
      <c r="AS8" s="260">
        <f t="shared" ref="AS8:AS71" si="43">AO8*AP8*AQ8*AR8</f>
        <v>0.3305218116034857</v>
      </c>
      <c r="AT8" s="260">
        <f t="shared" si="38"/>
        <v>0.6694781883965143</v>
      </c>
    </row>
    <row r="9" spans="2:46" ht="12" customHeight="1">
      <c r="B9" s="79">
        <v>8</v>
      </c>
      <c r="C9" s="96" t="s">
        <v>31</v>
      </c>
      <c r="D9" s="51" t="s">
        <v>217</v>
      </c>
      <c r="E9" s="216">
        <f>CM!G10</f>
        <v>2.0226537216828479E-5</v>
      </c>
      <c r="F9" s="216"/>
      <c r="G9" s="218">
        <f t="shared" si="36"/>
        <v>1.4158576051779936</v>
      </c>
      <c r="H9" s="215">
        <f t="shared" si="37"/>
        <v>291.66666666666669</v>
      </c>
      <c r="I9" s="92">
        <v>7000</v>
      </c>
      <c r="J9" s="93">
        <f t="shared" si="0"/>
        <v>0.95390112686662276</v>
      </c>
      <c r="K9" s="93">
        <f t="shared" si="1"/>
        <v>0.75339055444880043</v>
      </c>
      <c r="L9" s="93">
        <f t="shared" si="2"/>
        <v>0.81687812245785718</v>
      </c>
      <c r="M9" s="93">
        <f t="shared" si="3"/>
        <v>0.95390112686662276</v>
      </c>
      <c r="N9" s="93">
        <f t="shared" si="4"/>
        <v>0.70189995364039293</v>
      </c>
      <c r="O9" s="93">
        <f t="shared" si="5"/>
        <v>5.891172096841963E-2</v>
      </c>
      <c r="P9" s="93">
        <f t="shared" si="6"/>
        <v>0.95390112686662276</v>
      </c>
      <c r="Q9" s="93">
        <f t="shared" si="7"/>
        <v>0.86798073391567887</v>
      </c>
      <c r="R9" s="93">
        <f t="shared" si="8"/>
        <v>0.95390112686662276</v>
      </c>
      <c r="S9" s="93">
        <f t="shared" si="9"/>
        <v>0.75339055444880043</v>
      </c>
      <c r="T9" s="93">
        <f t="shared" si="10"/>
        <v>0.93165483625411338</v>
      </c>
      <c r="U9" s="93">
        <f t="shared" si="11"/>
        <v>0.86798073391567887</v>
      </c>
      <c r="V9" s="93">
        <f t="shared" si="12"/>
        <v>5.891172096841963E-2</v>
      </c>
      <c r="W9" s="93">
        <f t="shared" si="13"/>
        <v>0.62378312004387937</v>
      </c>
      <c r="X9" s="93">
        <f t="shared" si="14"/>
        <v>0.86798073391567887</v>
      </c>
      <c r="Y9" s="93">
        <f t="shared" si="15"/>
        <v>0.86798073391567887</v>
      </c>
      <c r="Z9" s="93">
        <f t="shared" si="16"/>
        <v>0.86798073391567887</v>
      </c>
      <c r="AA9" s="93">
        <f t="shared" si="17"/>
        <v>0.86798073391567887</v>
      </c>
      <c r="AB9" s="93">
        <f t="shared" si="18"/>
        <v>0.75339055444880043</v>
      </c>
      <c r="AC9" s="93">
        <f t="shared" si="19"/>
        <v>0.75339055444880043</v>
      </c>
      <c r="AD9" s="93">
        <f t="shared" si="20"/>
        <v>0.86798073391567887</v>
      </c>
      <c r="AE9" s="93">
        <f t="shared" si="21"/>
        <v>0.49266354492038572</v>
      </c>
      <c r="AF9" s="93">
        <f t="shared" si="22"/>
        <v>0.49266354492038572</v>
      </c>
      <c r="AG9" s="93">
        <f t="shared" si="23"/>
        <v>0.75339055444880043</v>
      </c>
      <c r="AH9" s="93">
        <f t="shared" si="24"/>
        <v>0.75339055444880043</v>
      </c>
      <c r="AI9" s="93">
        <f t="shared" si="25"/>
        <v>0.95390112686662276</v>
      </c>
      <c r="AJ9" s="93">
        <f t="shared" si="26"/>
        <v>0.75339055444880043</v>
      </c>
      <c r="AK9" s="93">
        <f t="shared" si="27"/>
        <v>0.24271736849352094</v>
      </c>
      <c r="AL9" s="93">
        <f t="shared" si="28"/>
        <v>0.49266354492038572</v>
      </c>
      <c r="AM9" s="93">
        <f t="shared" si="29"/>
        <v>0.75339055444880043</v>
      </c>
      <c r="AN9" s="93">
        <f t="shared" si="30"/>
        <v>0.24271736849352094</v>
      </c>
      <c r="AO9" s="260">
        <f t="shared" si="39"/>
        <v>0.63369907042891149</v>
      </c>
      <c r="AP9" s="261">
        <f t="shared" si="40"/>
        <v>0.81726010092623635</v>
      </c>
      <c r="AQ9" s="262">
        <f t="shared" si="41"/>
        <v>0.98895899065628801</v>
      </c>
      <c r="AR9" s="263">
        <f t="shared" si="42"/>
        <v>0.50808770178165141</v>
      </c>
      <c r="AS9" s="260">
        <f t="shared" si="43"/>
        <v>0.26023178039277473</v>
      </c>
      <c r="AT9" s="260">
        <f t="shared" si="38"/>
        <v>0.73976821960722527</v>
      </c>
    </row>
    <row r="10" spans="2:46" ht="12" customHeight="1">
      <c r="B10" s="79">
        <v>9</v>
      </c>
      <c r="C10" s="96" t="s">
        <v>32</v>
      </c>
      <c r="D10" s="52" t="s">
        <v>218</v>
      </c>
      <c r="E10" s="216">
        <f>CM!G11</f>
        <v>6.7421790722761597E-6</v>
      </c>
      <c r="F10" s="216"/>
      <c r="G10" s="218">
        <f t="shared" si="36"/>
        <v>1.6181229773462782</v>
      </c>
      <c r="H10" s="215">
        <f t="shared" si="37"/>
        <v>333.33333333333331</v>
      </c>
      <c r="I10" s="92">
        <v>8000</v>
      </c>
      <c r="J10" s="93">
        <f t="shared" si="0"/>
        <v>0.94749138674051037</v>
      </c>
      <c r="K10" s="93">
        <f t="shared" si="1"/>
        <v>0.72352180476737982</v>
      </c>
      <c r="L10" s="93">
        <f t="shared" si="2"/>
        <v>0.79361214032876404</v>
      </c>
      <c r="M10" s="93">
        <f t="shared" si="3"/>
        <v>0.94749138674051037</v>
      </c>
      <c r="N10" s="93">
        <f t="shared" si="4"/>
        <v>0.66728986695027392</v>
      </c>
      <c r="O10" s="93">
        <f t="shared" si="5"/>
        <v>3.9311194446828394E-2</v>
      </c>
      <c r="P10" s="93">
        <f t="shared" si="6"/>
        <v>0.94749138674051037</v>
      </c>
      <c r="Q10" s="93">
        <f t="shared" si="7"/>
        <v>0.85060084926326041</v>
      </c>
      <c r="R10" s="93">
        <f t="shared" si="8"/>
        <v>0.94749138674051037</v>
      </c>
      <c r="S10" s="93">
        <f t="shared" si="9"/>
        <v>0.72352180476737982</v>
      </c>
      <c r="T10" s="93">
        <f t="shared" si="10"/>
        <v>0.92228024442859036</v>
      </c>
      <c r="U10" s="93">
        <f t="shared" si="11"/>
        <v>0.85060084926326041</v>
      </c>
      <c r="V10" s="93">
        <f t="shared" si="12"/>
        <v>3.9311194446828394E-2</v>
      </c>
      <c r="W10" s="93">
        <f t="shared" si="13"/>
        <v>0.58311297701853571</v>
      </c>
      <c r="X10" s="93">
        <f t="shared" si="14"/>
        <v>0.85060084926326041</v>
      </c>
      <c r="Y10" s="93">
        <f t="shared" si="15"/>
        <v>0.85060084926326041</v>
      </c>
      <c r="Z10" s="93">
        <f t="shared" si="16"/>
        <v>0.85060084926326041</v>
      </c>
      <c r="AA10" s="93">
        <f t="shared" si="17"/>
        <v>0.85060084926326041</v>
      </c>
      <c r="AB10" s="93">
        <f t="shared" si="18"/>
        <v>0.72352180476737982</v>
      </c>
      <c r="AC10" s="93">
        <f t="shared" si="19"/>
        <v>0.72352180476737982</v>
      </c>
      <c r="AD10" s="93">
        <f t="shared" si="20"/>
        <v>0.85060084926326041</v>
      </c>
      <c r="AE10" s="93">
        <f t="shared" si="21"/>
        <v>0.44527576653451423</v>
      </c>
      <c r="AF10" s="93">
        <f t="shared" si="22"/>
        <v>0.44527576653451423</v>
      </c>
      <c r="AG10" s="93">
        <f t="shared" si="23"/>
        <v>0.72352180476737982</v>
      </c>
      <c r="AH10" s="93">
        <f t="shared" si="24"/>
        <v>0.72352180476737982</v>
      </c>
      <c r="AI10" s="93">
        <f t="shared" si="25"/>
        <v>0.94749138674051037</v>
      </c>
      <c r="AJ10" s="93">
        <f t="shared" si="26"/>
        <v>0.72352180476737982</v>
      </c>
      <c r="AK10" s="93">
        <f t="shared" si="27"/>
        <v>0.19827050826289924</v>
      </c>
      <c r="AL10" s="93">
        <f t="shared" si="28"/>
        <v>0.44527576653451423</v>
      </c>
      <c r="AM10" s="93">
        <f t="shared" si="29"/>
        <v>0.72352180476737982</v>
      </c>
      <c r="AN10" s="93">
        <f t="shared" si="30"/>
        <v>0.19827050826289924</v>
      </c>
      <c r="AO10" s="260">
        <f t="shared" si="39"/>
        <v>0.58526495543587276</v>
      </c>
      <c r="AP10" s="261">
        <f t="shared" si="40"/>
        <v>0.79241063543278401</v>
      </c>
      <c r="AQ10" s="262">
        <f t="shared" si="41"/>
        <v>0.98573250863100148</v>
      </c>
      <c r="AR10" s="263">
        <f t="shared" si="42"/>
        <v>0.44408117593338819</v>
      </c>
      <c r="AS10" s="260">
        <f t="shared" si="43"/>
        <v>0.20301319203687987</v>
      </c>
      <c r="AT10" s="260">
        <f t="shared" si="38"/>
        <v>0.79698680796312016</v>
      </c>
    </row>
    <row r="11" spans="2:46" ht="12" customHeight="1">
      <c r="B11" s="79">
        <v>10</v>
      </c>
      <c r="C11" s="97" t="s">
        <v>26</v>
      </c>
      <c r="D11" s="52" t="s">
        <v>219</v>
      </c>
      <c r="E11" s="216">
        <f>CM!G12</f>
        <v>4.0453074433656958E-5</v>
      </c>
      <c r="F11" s="216"/>
      <c r="G11" s="218">
        <f t="shared" si="36"/>
        <v>1.8203883495145632</v>
      </c>
      <c r="H11" s="215">
        <f t="shared" si="37"/>
        <v>375</v>
      </c>
      <c r="I11" s="92">
        <v>9000</v>
      </c>
      <c r="J11" s="93">
        <f t="shared" si="0"/>
        <v>0.94112471687328247</v>
      </c>
      <c r="K11" s="93">
        <f t="shared" si="1"/>
        <v>0.69483722470723097</v>
      </c>
      <c r="L11" s="93">
        <f t="shared" si="2"/>
        <v>0.77100881020313328</v>
      </c>
      <c r="M11" s="93">
        <f t="shared" si="3"/>
        <v>0.94112471687328247</v>
      </c>
      <c r="N11" s="93">
        <f t="shared" si="4"/>
        <v>0.63438637404817966</v>
      </c>
      <c r="O11" s="93">
        <f t="shared" si="5"/>
        <v>2.6231961712080469E-2</v>
      </c>
      <c r="P11" s="93">
        <f t="shared" si="6"/>
        <v>0.94112471687328247</v>
      </c>
      <c r="Q11" s="93">
        <f t="shared" si="7"/>
        <v>0.83356896817673753</v>
      </c>
      <c r="R11" s="93">
        <f t="shared" si="8"/>
        <v>0.94112471687328247</v>
      </c>
      <c r="S11" s="93">
        <f t="shared" si="9"/>
        <v>0.69483722470723097</v>
      </c>
      <c r="T11" s="93">
        <f t="shared" si="10"/>
        <v>0.91299998257214532</v>
      </c>
      <c r="U11" s="93">
        <f t="shared" si="11"/>
        <v>0.83356896817673753</v>
      </c>
      <c r="V11" s="93">
        <f t="shared" si="12"/>
        <v>2.6231961712080469E-2</v>
      </c>
      <c r="W11" s="93">
        <f t="shared" si="13"/>
        <v>0.54509449364949314</v>
      </c>
      <c r="X11" s="93">
        <f t="shared" si="14"/>
        <v>0.83356896817673753</v>
      </c>
      <c r="Y11" s="93">
        <f t="shared" si="15"/>
        <v>0.83356896817673753</v>
      </c>
      <c r="Z11" s="93">
        <f t="shared" si="16"/>
        <v>0.83356896817673753</v>
      </c>
      <c r="AA11" s="93">
        <f t="shared" si="17"/>
        <v>0.83356896817673753</v>
      </c>
      <c r="AB11" s="93">
        <f t="shared" si="18"/>
        <v>0.69483722470723097</v>
      </c>
      <c r="AC11" s="93">
        <f t="shared" si="19"/>
        <v>0.69483722470723097</v>
      </c>
      <c r="AD11" s="93">
        <f t="shared" si="20"/>
        <v>0.83356896817673753</v>
      </c>
      <c r="AE11" s="93">
        <f t="shared" si="21"/>
        <v>0.40244607157799689</v>
      </c>
      <c r="AF11" s="93">
        <f t="shared" si="22"/>
        <v>0.40244607157799689</v>
      </c>
      <c r="AG11" s="93">
        <f t="shared" si="23"/>
        <v>0.69483722470723097</v>
      </c>
      <c r="AH11" s="93">
        <f t="shared" si="24"/>
        <v>0.69483722470723097</v>
      </c>
      <c r="AI11" s="93">
        <f t="shared" si="25"/>
        <v>0.94112471687328247</v>
      </c>
      <c r="AJ11" s="93">
        <f t="shared" si="26"/>
        <v>0.69483722470723097</v>
      </c>
      <c r="AK11" s="93">
        <f t="shared" si="27"/>
        <v>0.16196284052856219</v>
      </c>
      <c r="AL11" s="93">
        <f t="shared" si="28"/>
        <v>0.40244607157799689</v>
      </c>
      <c r="AM11" s="93">
        <f t="shared" si="29"/>
        <v>0.69483722470723097</v>
      </c>
      <c r="AN11" s="93">
        <f t="shared" si="30"/>
        <v>0.16196284052856219</v>
      </c>
      <c r="AO11" s="260">
        <f t="shared" si="39"/>
        <v>0.54004818946929145</v>
      </c>
      <c r="AP11" s="261">
        <f t="shared" si="40"/>
        <v>0.76804865650354381</v>
      </c>
      <c r="AQ11" s="262">
        <f t="shared" si="41"/>
        <v>0.98221809014590578</v>
      </c>
      <c r="AR11" s="263">
        <f t="shared" si="42"/>
        <v>0.38585151551339902</v>
      </c>
      <c r="AS11" s="260">
        <f t="shared" si="43"/>
        <v>0.15719885816632251</v>
      </c>
      <c r="AT11" s="260">
        <f t="shared" si="38"/>
        <v>0.84280114183367749</v>
      </c>
    </row>
    <row r="12" spans="2:46" ht="12" customHeight="1">
      <c r="B12" s="79">
        <v>11</v>
      </c>
      <c r="C12" s="98" t="s">
        <v>27</v>
      </c>
      <c r="D12" s="52" t="s">
        <v>223</v>
      </c>
      <c r="E12" s="216">
        <f>CM!G13</f>
        <v>1.011326860841424E-5</v>
      </c>
      <c r="F12" s="216"/>
      <c r="G12" s="226">
        <f t="shared" si="36"/>
        <v>2.0226537216828482</v>
      </c>
      <c r="H12" s="227">
        <f t="shared" si="37"/>
        <v>416.66666666666669</v>
      </c>
      <c r="I12" s="228">
        <v>10000</v>
      </c>
      <c r="J12" s="93">
        <f t="shared" si="0"/>
        <v>0.93480082785426644</v>
      </c>
      <c r="K12" s="93">
        <f t="shared" si="1"/>
        <v>0.66728986695027392</v>
      </c>
      <c r="L12" s="93">
        <f t="shared" si="2"/>
        <v>0.74904925870286043</v>
      </c>
      <c r="M12" s="93">
        <f t="shared" si="3"/>
        <v>0.93480082785426644</v>
      </c>
      <c r="N12" s="93">
        <f t="shared" si="4"/>
        <v>0.60310532425331576</v>
      </c>
      <c r="O12" s="93">
        <f t="shared" si="5"/>
        <v>1.7504322240698849E-2</v>
      </c>
      <c r="P12" s="93">
        <f t="shared" si="6"/>
        <v>0.93480082785426644</v>
      </c>
      <c r="Q12" s="93">
        <f t="shared" si="7"/>
        <v>0.81687812245785718</v>
      </c>
      <c r="R12" s="93">
        <f t="shared" si="8"/>
        <v>0.93480082785426644</v>
      </c>
      <c r="S12" s="93">
        <f t="shared" si="9"/>
        <v>0.66728986695027392</v>
      </c>
      <c r="T12" s="93">
        <f t="shared" si="10"/>
        <v>0.90381310150819194</v>
      </c>
      <c r="U12" s="93">
        <f t="shared" si="11"/>
        <v>0.81687812245785718</v>
      </c>
      <c r="V12" s="93">
        <f t="shared" si="12"/>
        <v>1.7504322240698849E-2</v>
      </c>
      <c r="W12" s="93">
        <f t="shared" si="13"/>
        <v>0.50955478392234843</v>
      </c>
      <c r="X12" s="93">
        <f t="shared" si="14"/>
        <v>0.81687812245785718</v>
      </c>
      <c r="Y12" s="93">
        <f t="shared" si="15"/>
        <v>0.81687812245785718</v>
      </c>
      <c r="Z12" s="93">
        <f t="shared" si="16"/>
        <v>0.81687812245785718</v>
      </c>
      <c r="AA12" s="93">
        <f t="shared" si="17"/>
        <v>0.81687812245785718</v>
      </c>
      <c r="AB12" s="93">
        <f t="shared" si="18"/>
        <v>0.66728986695027392</v>
      </c>
      <c r="AC12" s="93">
        <f t="shared" si="19"/>
        <v>0.66728986695027392</v>
      </c>
      <c r="AD12" s="93">
        <f t="shared" si="20"/>
        <v>0.81687812245785718</v>
      </c>
      <c r="AE12" s="93">
        <f t="shared" si="21"/>
        <v>0.36373603214269712</v>
      </c>
      <c r="AF12" s="93">
        <f t="shared" si="22"/>
        <v>0.36373603214269712</v>
      </c>
      <c r="AG12" s="93">
        <f t="shared" si="23"/>
        <v>0.66728986695027392</v>
      </c>
      <c r="AH12" s="93">
        <f t="shared" si="24"/>
        <v>0.66728986695027392</v>
      </c>
      <c r="AI12" s="93">
        <f t="shared" si="25"/>
        <v>0.93480082785426644</v>
      </c>
      <c r="AJ12" s="93">
        <f t="shared" si="26"/>
        <v>0.66728986695027392</v>
      </c>
      <c r="AK12" s="93">
        <f t="shared" si="27"/>
        <v>0.13230390107891318</v>
      </c>
      <c r="AL12" s="93">
        <f t="shared" si="28"/>
        <v>0.36373603214269712</v>
      </c>
      <c r="AM12" s="93">
        <f t="shared" si="29"/>
        <v>0.66728986695027392</v>
      </c>
      <c r="AN12" s="93">
        <f t="shared" si="30"/>
        <v>0.13230390107891318</v>
      </c>
      <c r="AO12" s="260">
        <f t="shared" si="39"/>
        <v>0.49806680377940227</v>
      </c>
      <c r="AP12" s="261">
        <f t="shared" si="40"/>
        <v>0.74420392801217894</v>
      </c>
      <c r="AQ12" s="262">
        <f t="shared" si="41"/>
        <v>0.97844036354741792</v>
      </c>
      <c r="AR12" s="263">
        <f t="shared" si="42"/>
        <v>0.33361331374866959</v>
      </c>
      <c r="AS12" s="260">
        <f t="shared" si="43"/>
        <v>0.12099217649734804</v>
      </c>
      <c r="AT12" s="260">
        <f t="shared" si="38"/>
        <v>0.87900782350265194</v>
      </c>
    </row>
    <row r="13" spans="2:46" ht="12" customHeight="1">
      <c r="B13" s="79">
        <v>12</v>
      </c>
      <c r="C13" s="96" t="s">
        <v>88</v>
      </c>
      <c r="D13" s="52" t="s">
        <v>439</v>
      </c>
      <c r="E13" s="216">
        <f>CM!G14</f>
        <v>2.0226537216828479E-5</v>
      </c>
      <c r="F13" s="216"/>
      <c r="G13" s="218">
        <f t="shared" si="36"/>
        <v>2.2249190938511325</v>
      </c>
      <c r="H13" s="215">
        <f t="shared" si="37"/>
        <v>458.33333333333331</v>
      </c>
      <c r="I13" s="92">
        <v>11000</v>
      </c>
      <c r="J13" s="93">
        <f t="shared" si="0"/>
        <v>0.92851943221748545</v>
      </c>
      <c r="K13" s="93">
        <f t="shared" si="1"/>
        <v>0.64083464544106838</v>
      </c>
      <c r="L13" s="93">
        <f t="shared" si="2"/>
        <v>0.72771514999352804</v>
      </c>
      <c r="M13" s="93">
        <f t="shared" si="3"/>
        <v>0.92851943221748545</v>
      </c>
      <c r="N13" s="93">
        <f t="shared" si="4"/>
        <v>0.57336671628302116</v>
      </c>
      <c r="O13" s="93">
        <f t="shared" si="5"/>
        <v>1.1680456859050656E-2</v>
      </c>
      <c r="P13" s="93">
        <f t="shared" si="6"/>
        <v>0.92851943221748545</v>
      </c>
      <c r="Q13" s="93">
        <f t="shared" si="7"/>
        <v>0.80052148343505958</v>
      </c>
      <c r="R13" s="93">
        <f t="shared" si="8"/>
        <v>0.92851943221748545</v>
      </c>
      <c r="S13" s="93">
        <f t="shared" si="9"/>
        <v>0.64083464544106838</v>
      </c>
      <c r="T13" s="93">
        <f t="shared" si="10"/>
        <v>0.89471866161104496</v>
      </c>
      <c r="U13" s="93">
        <f t="shared" si="11"/>
        <v>0.80052148343505958</v>
      </c>
      <c r="V13" s="93">
        <f t="shared" si="12"/>
        <v>1.1680456859050656E-2</v>
      </c>
      <c r="W13" s="93">
        <f t="shared" si="13"/>
        <v>0.47633223384771312</v>
      </c>
      <c r="X13" s="93">
        <f t="shared" si="14"/>
        <v>0.80052148343505958</v>
      </c>
      <c r="Y13" s="93">
        <f t="shared" si="15"/>
        <v>0.80052148343505958</v>
      </c>
      <c r="Z13" s="93">
        <f t="shared" si="16"/>
        <v>0.80052148343505958</v>
      </c>
      <c r="AA13" s="93">
        <f t="shared" si="17"/>
        <v>0.80052148343505958</v>
      </c>
      <c r="AB13" s="93">
        <f t="shared" si="18"/>
        <v>0.64083464544106838</v>
      </c>
      <c r="AC13" s="93">
        <f t="shared" si="19"/>
        <v>0.64083464544106838</v>
      </c>
      <c r="AD13" s="93">
        <f t="shared" si="20"/>
        <v>0.80052148343505958</v>
      </c>
      <c r="AE13" s="93">
        <f t="shared" si="21"/>
        <v>0.32874939134117448</v>
      </c>
      <c r="AF13" s="93">
        <f t="shared" si="22"/>
        <v>0.32874939134117448</v>
      </c>
      <c r="AG13" s="93">
        <f t="shared" si="23"/>
        <v>0.64083464544106838</v>
      </c>
      <c r="AH13" s="93">
        <f t="shared" si="24"/>
        <v>0.64083464544106838</v>
      </c>
      <c r="AI13" s="93">
        <f t="shared" si="25"/>
        <v>0.92851943221748545</v>
      </c>
      <c r="AJ13" s="93">
        <f t="shared" si="26"/>
        <v>0.64083464544106838</v>
      </c>
      <c r="AK13" s="93">
        <f t="shared" si="27"/>
        <v>0.10807616230719268</v>
      </c>
      <c r="AL13" s="93">
        <f t="shared" si="28"/>
        <v>0.32874939134117448</v>
      </c>
      <c r="AM13" s="93">
        <f t="shared" si="29"/>
        <v>0.64083464544106838</v>
      </c>
      <c r="AN13" s="93">
        <f t="shared" si="30"/>
        <v>0.10807616230719268</v>
      </c>
      <c r="AO13" s="260">
        <f t="shared" si="39"/>
        <v>0.45923916903224132</v>
      </c>
      <c r="AP13" s="261">
        <f t="shared" si="40"/>
        <v>0.72089686055415658</v>
      </c>
      <c r="AQ13" s="262">
        <f t="shared" si="41"/>
        <v>0.97442010601692841</v>
      </c>
      <c r="AR13" s="263">
        <f t="shared" si="42"/>
        <v>0.28727391628646065</v>
      </c>
      <c r="AS13" s="260">
        <f t="shared" si="43"/>
        <v>9.2673270148791384E-2</v>
      </c>
      <c r="AT13" s="260">
        <f t="shared" si="38"/>
        <v>0.90732672985120866</v>
      </c>
    </row>
    <row r="14" spans="2:46" ht="12" customHeight="1">
      <c r="B14" s="79">
        <v>13</v>
      </c>
      <c r="C14" s="97" t="s">
        <v>46</v>
      </c>
      <c r="D14" s="52" t="s">
        <v>440</v>
      </c>
      <c r="E14" s="216">
        <f>CM!G15</f>
        <v>4.045307443365696E-4</v>
      </c>
      <c r="F14" s="216"/>
      <c r="G14" s="218">
        <f t="shared" si="36"/>
        <v>2.4271844660194173</v>
      </c>
      <c r="H14" s="215">
        <f t="shared" si="37"/>
        <v>500</v>
      </c>
      <c r="I14" s="92">
        <v>12000</v>
      </c>
      <c r="J14" s="93">
        <f t="shared" si="0"/>
        <v>0.92228024442859036</v>
      </c>
      <c r="K14" s="93">
        <f t="shared" si="1"/>
        <v>0.61542826159562014</v>
      </c>
      <c r="L14" s="93">
        <f t="shared" si="2"/>
        <v>0.70698867047431047</v>
      </c>
      <c r="M14" s="93">
        <f t="shared" si="3"/>
        <v>0.92228024442859036</v>
      </c>
      <c r="N14" s="93">
        <f t="shared" si="4"/>
        <v>0.54509449364949303</v>
      </c>
      <c r="O14" s="93">
        <f t="shared" si="5"/>
        <v>7.7942505033943271E-3</v>
      </c>
      <c r="P14" s="93">
        <f t="shared" si="6"/>
        <v>0.92228024442859036</v>
      </c>
      <c r="Q14" s="93">
        <f t="shared" si="7"/>
        <v>0.7844923591696864</v>
      </c>
      <c r="R14" s="93">
        <f t="shared" si="8"/>
        <v>0.92228024442859036</v>
      </c>
      <c r="S14" s="93">
        <f t="shared" si="9"/>
        <v>0.61542826159562014</v>
      </c>
      <c r="T14" s="93">
        <f t="shared" si="10"/>
        <v>0.88571573270981607</v>
      </c>
      <c r="U14" s="93">
        <f t="shared" si="11"/>
        <v>0.7844923591696864</v>
      </c>
      <c r="V14" s="93">
        <f t="shared" si="12"/>
        <v>7.7942505033943271E-3</v>
      </c>
      <c r="W14" s="93">
        <f t="shared" si="13"/>
        <v>0.44527576653451428</v>
      </c>
      <c r="X14" s="93">
        <f t="shared" si="14"/>
        <v>0.7844923591696864</v>
      </c>
      <c r="Y14" s="93">
        <f t="shared" si="15"/>
        <v>0.7844923591696864</v>
      </c>
      <c r="Z14" s="93">
        <f t="shared" si="16"/>
        <v>0.7844923591696864</v>
      </c>
      <c r="AA14" s="93">
        <f t="shared" si="17"/>
        <v>0.7844923591696864</v>
      </c>
      <c r="AB14" s="93">
        <f t="shared" si="18"/>
        <v>0.61542826159562014</v>
      </c>
      <c r="AC14" s="93">
        <f t="shared" si="19"/>
        <v>0.61542826159562014</v>
      </c>
      <c r="AD14" s="93">
        <f t="shared" si="20"/>
        <v>0.7844923591696864</v>
      </c>
      <c r="AE14" s="93">
        <f t="shared" si="21"/>
        <v>0.29712800700699721</v>
      </c>
      <c r="AF14" s="93">
        <f t="shared" si="22"/>
        <v>0.29712800700699721</v>
      </c>
      <c r="AG14" s="93">
        <f t="shared" si="23"/>
        <v>0.61542826159562014</v>
      </c>
      <c r="AH14" s="93">
        <f t="shared" si="24"/>
        <v>0.61542826159562014</v>
      </c>
      <c r="AI14" s="93">
        <f t="shared" si="25"/>
        <v>0.92228024442859036</v>
      </c>
      <c r="AJ14" s="93">
        <f t="shared" si="26"/>
        <v>0.61542826159562014</v>
      </c>
      <c r="AK14" s="93">
        <f t="shared" si="27"/>
        <v>8.8285052547950188E-2</v>
      </c>
      <c r="AL14" s="93">
        <f t="shared" si="28"/>
        <v>0.29712800700699721</v>
      </c>
      <c r="AM14" s="93">
        <f t="shared" si="29"/>
        <v>0.61542826159562014</v>
      </c>
      <c r="AN14" s="93">
        <f t="shared" si="30"/>
        <v>8.8285052547950188E-2</v>
      </c>
      <c r="AO14" s="260">
        <f t="shared" si="39"/>
        <v>0.42342295756229509</v>
      </c>
      <c r="AP14" s="261">
        <f t="shared" si="40"/>
        <v>0.69814096524977864</v>
      </c>
      <c r="AQ14" s="262">
        <f t="shared" si="41"/>
        <v>0.97017576276539974</v>
      </c>
      <c r="AR14" s="263">
        <f t="shared" si="42"/>
        <v>0.24653810509756444</v>
      </c>
      <c r="AS14" s="260">
        <f t="shared" si="43"/>
        <v>7.070530464625481E-2</v>
      </c>
      <c r="AT14" s="260">
        <f t="shared" si="38"/>
        <v>0.9292946953537452</v>
      </c>
    </row>
    <row r="15" spans="2:46" ht="12" customHeight="1">
      <c r="B15" s="79">
        <v>14</v>
      </c>
      <c r="C15" s="96" t="s">
        <v>47</v>
      </c>
      <c r="D15" s="52" t="s">
        <v>441</v>
      </c>
      <c r="E15" s="216">
        <f>CM!G16</f>
        <v>6.7421790722761591E-5</v>
      </c>
      <c r="F15" s="216"/>
      <c r="G15" s="218">
        <f t="shared" si="36"/>
        <v>2.6294498381877021</v>
      </c>
      <c r="H15" s="215">
        <f t="shared" si="37"/>
        <v>541.66666666666663</v>
      </c>
      <c r="I15" s="92">
        <v>13000</v>
      </c>
      <c r="J15" s="93">
        <f t="shared" si="0"/>
        <v>0.91608298087188089</v>
      </c>
      <c r="K15" s="93">
        <f t="shared" si="1"/>
        <v>0.59102913343569752</v>
      </c>
      <c r="L15" s="93">
        <f t="shared" si="2"/>
        <v>0.68685251390393387</v>
      </c>
      <c r="M15" s="93">
        <f t="shared" si="3"/>
        <v>0.91608298087188089</v>
      </c>
      <c r="N15" s="93">
        <f t="shared" si="4"/>
        <v>0.51821635014532486</v>
      </c>
      <c r="O15" s="93">
        <f t="shared" si="5"/>
        <v>5.2010243813871062E-3</v>
      </c>
      <c r="P15" s="93">
        <f t="shared" si="6"/>
        <v>0.91608298087188089</v>
      </c>
      <c r="Q15" s="93">
        <f t="shared" si="7"/>
        <v>0.76878419171812939</v>
      </c>
      <c r="R15" s="93">
        <f t="shared" si="8"/>
        <v>0.91608298087188089</v>
      </c>
      <c r="S15" s="93">
        <f t="shared" si="9"/>
        <v>0.59102913343569752</v>
      </c>
      <c r="T15" s="93">
        <f t="shared" si="10"/>
        <v>0.87680339399327678</v>
      </c>
      <c r="U15" s="93">
        <f t="shared" si="11"/>
        <v>0.76878419171812939</v>
      </c>
      <c r="V15" s="93">
        <f t="shared" si="12"/>
        <v>5.2010243813871062E-3</v>
      </c>
      <c r="W15" s="93">
        <f t="shared" si="13"/>
        <v>0.41624415517990709</v>
      </c>
      <c r="X15" s="93">
        <f t="shared" si="14"/>
        <v>0.76878419171812939</v>
      </c>
      <c r="Y15" s="93">
        <f t="shared" si="15"/>
        <v>0.76878419171812939</v>
      </c>
      <c r="Z15" s="93">
        <f t="shared" si="16"/>
        <v>0.76878419171812939</v>
      </c>
      <c r="AA15" s="93">
        <f t="shared" si="17"/>
        <v>0.76878419171812939</v>
      </c>
      <c r="AB15" s="93">
        <f t="shared" si="18"/>
        <v>0.59102913343569752</v>
      </c>
      <c r="AC15" s="93">
        <f t="shared" si="19"/>
        <v>0.59102913343569752</v>
      </c>
      <c r="AD15" s="93">
        <f t="shared" si="20"/>
        <v>0.76878419171812939</v>
      </c>
      <c r="AE15" s="93">
        <f t="shared" si="21"/>
        <v>0.26854818555794191</v>
      </c>
      <c r="AF15" s="93">
        <f t="shared" si="22"/>
        <v>0.26854818555794191</v>
      </c>
      <c r="AG15" s="93">
        <f t="shared" si="23"/>
        <v>0.59102913343569752</v>
      </c>
      <c r="AH15" s="93">
        <f t="shared" si="24"/>
        <v>0.59102913343569752</v>
      </c>
      <c r="AI15" s="93">
        <f t="shared" si="25"/>
        <v>0.91608298087188089</v>
      </c>
      <c r="AJ15" s="93">
        <f t="shared" si="26"/>
        <v>0.59102913343569752</v>
      </c>
      <c r="AK15" s="93">
        <f t="shared" si="27"/>
        <v>7.2118127966462817E-2</v>
      </c>
      <c r="AL15" s="93">
        <f t="shared" si="28"/>
        <v>0.26854818555794191</v>
      </c>
      <c r="AM15" s="93">
        <f t="shared" si="29"/>
        <v>0.59102913343569752</v>
      </c>
      <c r="AN15" s="93">
        <f t="shared" si="30"/>
        <v>7.2118127966462817E-2</v>
      </c>
      <c r="AO15" s="260">
        <f t="shared" si="39"/>
        <v>0.39044191401412115</v>
      </c>
      <c r="AP15" s="261">
        <f t="shared" si="40"/>
        <v>0.67594467204711506</v>
      </c>
      <c r="AQ15" s="262">
        <f t="shared" si="41"/>
        <v>0.96572433935925206</v>
      </c>
      <c r="AR15" s="263">
        <f t="shared" si="42"/>
        <v>0.21098987894866783</v>
      </c>
      <c r="AS15" s="260">
        <f t="shared" si="43"/>
        <v>5.3775243104736581E-2</v>
      </c>
      <c r="AT15" s="260">
        <f t="shared" si="38"/>
        <v>0.94622475689526342</v>
      </c>
    </row>
    <row r="16" spans="2:46" ht="12" customHeight="1">
      <c r="B16" s="79">
        <v>15</v>
      </c>
      <c r="C16" s="96" t="s">
        <v>33</v>
      </c>
      <c r="D16" s="53" t="s">
        <v>224</v>
      </c>
      <c r="E16" s="216">
        <f>CM!G17</f>
        <v>2.0226537216828479E-5</v>
      </c>
      <c r="F16" s="216"/>
      <c r="G16" s="218">
        <f t="shared" si="36"/>
        <v>2.8317152103559873</v>
      </c>
      <c r="H16" s="215">
        <f t="shared" si="37"/>
        <v>583.33333333333337</v>
      </c>
      <c r="I16" s="92">
        <v>14000</v>
      </c>
      <c r="J16" s="93">
        <f t="shared" si="0"/>
        <v>0.90992735983741269</v>
      </c>
      <c r="K16" s="93">
        <f t="shared" si="1"/>
        <v>0.567597327532671</v>
      </c>
      <c r="L16" s="93">
        <f t="shared" si="2"/>
        <v>0.66728986695027392</v>
      </c>
      <c r="M16" s="93">
        <f t="shared" si="3"/>
        <v>0.90992735983741269</v>
      </c>
      <c r="N16" s="93">
        <f t="shared" si="4"/>
        <v>0.49266354492038572</v>
      </c>
      <c r="O16" s="93">
        <f t="shared" si="5"/>
        <v>3.4705908674609329E-3</v>
      </c>
      <c r="P16" s="93">
        <f t="shared" si="6"/>
        <v>0.90992735983741269</v>
      </c>
      <c r="Q16" s="93">
        <f t="shared" si="7"/>
        <v>0.75339055444880043</v>
      </c>
      <c r="R16" s="93">
        <f t="shared" si="8"/>
        <v>0.90992735983741269</v>
      </c>
      <c r="S16" s="93">
        <f t="shared" si="9"/>
        <v>0.567597327532671</v>
      </c>
      <c r="T16" s="93">
        <f t="shared" si="10"/>
        <v>0.86798073391567887</v>
      </c>
      <c r="U16" s="93">
        <f t="shared" si="11"/>
        <v>0.75339055444880043</v>
      </c>
      <c r="V16" s="93">
        <f t="shared" si="12"/>
        <v>3.4705908674609329E-3</v>
      </c>
      <c r="W16" s="93">
        <f t="shared" si="13"/>
        <v>0.3891053808516769</v>
      </c>
      <c r="X16" s="93">
        <f t="shared" si="14"/>
        <v>0.75339055444880043</v>
      </c>
      <c r="Y16" s="93">
        <f t="shared" si="15"/>
        <v>0.75339055444880043</v>
      </c>
      <c r="Z16" s="93">
        <f t="shared" si="16"/>
        <v>0.75339055444880043</v>
      </c>
      <c r="AA16" s="93">
        <f t="shared" si="17"/>
        <v>0.75339055444880043</v>
      </c>
      <c r="AB16" s="93">
        <f t="shared" si="18"/>
        <v>0.567597327532671</v>
      </c>
      <c r="AC16" s="93">
        <f t="shared" si="19"/>
        <v>0.567597327532671</v>
      </c>
      <c r="AD16" s="93">
        <f t="shared" si="20"/>
        <v>0.75339055444880043</v>
      </c>
      <c r="AE16" s="93">
        <f t="shared" si="21"/>
        <v>0.24271736849352094</v>
      </c>
      <c r="AF16" s="93">
        <f t="shared" si="22"/>
        <v>0.24271736849352094</v>
      </c>
      <c r="AG16" s="93">
        <f t="shared" si="23"/>
        <v>0.567597327532671</v>
      </c>
      <c r="AH16" s="93">
        <f t="shared" si="24"/>
        <v>0.567597327532671</v>
      </c>
      <c r="AI16" s="93">
        <f t="shared" si="25"/>
        <v>0.90992735983741269</v>
      </c>
      <c r="AJ16" s="93">
        <f t="shared" si="26"/>
        <v>0.567597327532671</v>
      </c>
      <c r="AK16" s="93">
        <f t="shared" si="27"/>
        <v>5.891172096841963E-2</v>
      </c>
      <c r="AL16" s="93">
        <f t="shared" si="28"/>
        <v>0.24271736849352094</v>
      </c>
      <c r="AM16" s="93">
        <f t="shared" si="29"/>
        <v>0.567597327532671</v>
      </c>
      <c r="AN16" s="93">
        <f t="shared" si="30"/>
        <v>5.891172096841963E-2</v>
      </c>
      <c r="AO16" s="260">
        <f t="shared" si="39"/>
        <v>0.3601039443839919</v>
      </c>
      <c r="AP16" s="261">
        <f t="shared" si="40"/>
        <v>0.6543126133654168</v>
      </c>
      <c r="AQ16" s="262">
        <f t="shared" si="41"/>
        <v>0.96108187377209497</v>
      </c>
      <c r="AR16" s="263">
        <f t="shared" si="42"/>
        <v>0.18015262495892587</v>
      </c>
      <c r="AS16" s="260">
        <f t="shared" si="43"/>
        <v>4.079567767219841E-2</v>
      </c>
      <c r="AT16" s="260">
        <f t="shared" si="38"/>
        <v>0.95920432232780162</v>
      </c>
    </row>
    <row r="17" spans="2:46" ht="12" customHeight="1">
      <c r="B17" s="79">
        <v>16</v>
      </c>
      <c r="C17" s="96" t="s">
        <v>34</v>
      </c>
      <c r="D17" s="53" t="s">
        <v>225</v>
      </c>
      <c r="E17" s="216">
        <f>CM!G18</f>
        <v>2.0226537216828479E-5</v>
      </c>
      <c r="F17" s="216"/>
      <c r="G17" s="226">
        <f t="shared" si="36"/>
        <v>3.0339805825242721</v>
      </c>
      <c r="H17" s="227">
        <f t="shared" si="37"/>
        <v>625</v>
      </c>
      <c r="I17" s="228">
        <v>15000</v>
      </c>
      <c r="J17" s="93">
        <f t="shared" si="0"/>
        <v>0.90381310150819194</v>
      </c>
      <c r="K17" s="93">
        <f t="shared" si="1"/>
        <v>0.54509449364949303</v>
      </c>
      <c r="L17" s="93">
        <f t="shared" si="2"/>
        <v>0.64828439515152225</v>
      </c>
      <c r="M17" s="93">
        <f t="shared" si="3"/>
        <v>0.90381310150819194</v>
      </c>
      <c r="N17" s="93">
        <f t="shared" si="4"/>
        <v>0.46837072667710122</v>
      </c>
      <c r="O17" s="93">
        <f t="shared" si="5"/>
        <v>2.3158901181868415E-3</v>
      </c>
      <c r="P17" s="93">
        <f t="shared" si="6"/>
        <v>0.90381310150819194</v>
      </c>
      <c r="Q17" s="93">
        <f t="shared" si="7"/>
        <v>0.73830514941282444</v>
      </c>
      <c r="R17" s="93">
        <f t="shared" si="8"/>
        <v>0.90381310150819194</v>
      </c>
      <c r="S17" s="93">
        <f t="shared" si="9"/>
        <v>0.54509449364949303</v>
      </c>
      <c r="T17" s="93">
        <f t="shared" si="10"/>
        <v>0.85924685010352209</v>
      </c>
      <c r="U17" s="93">
        <f t="shared" si="11"/>
        <v>0.73830514941282444</v>
      </c>
      <c r="V17" s="93">
        <f t="shared" si="12"/>
        <v>2.3158901181868415E-3</v>
      </c>
      <c r="W17" s="93">
        <f t="shared" si="13"/>
        <v>0.36373603214269723</v>
      </c>
      <c r="X17" s="93">
        <f t="shared" si="14"/>
        <v>0.73830514941282444</v>
      </c>
      <c r="Y17" s="93">
        <f t="shared" si="15"/>
        <v>0.73830514941282444</v>
      </c>
      <c r="Z17" s="93">
        <f t="shared" si="16"/>
        <v>0.73830514941282444</v>
      </c>
      <c r="AA17" s="93">
        <f t="shared" si="17"/>
        <v>0.73830514941282444</v>
      </c>
      <c r="AB17" s="93">
        <f t="shared" si="18"/>
        <v>0.54509449364949303</v>
      </c>
      <c r="AC17" s="93">
        <f t="shared" si="19"/>
        <v>0.54509449364949303</v>
      </c>
      <c r="AD17" s="93">
        <f t="shared" si="20"/>
        <v>0.73830514941282444</v>
      </c>
      <c r="AE17" s="93">
        <f t="shared" si="21"/>
        <v>0.21937113760803587</v>
      </c>
      <c r="AF17" s="93">
        <f t="shared" si="22"/>
        <v>0.21937113760803587</v>
      </c>
      <c r="AG17" s="93">
        <f t="shared" si="23"/>
        <v>0.54509449364949303</v>
      </c>
      <c r="AH17" s="93">
        <f t="shared" si="24"/>
        <v>0.54509449364949303</v>
      </c>
      <c r="AI17" s="93">
        <f t="shared" si="25"/>
        <v>0.90381310150819194</v>
      </c>
      <c r="AJ17" s="93">
        <f t="shared" si="26"/>
        <v>0.54509449364949303</v>
      </c>
      <c r="AK17" s="93">
        <f t="shared" si="27"/>
        <v>4.81236960154438E-2</v>
      </c>
      <c r="AL17" s="93">
        <f t="shared" si="28"/>
        <v>0.21937113760803587</v>
      </c>
      <c r="AM17" s="93">
        <f t="shared" si="29"/>
        <v>0.54509449364949303</v>
      </c>
      <c r="AN17" s="93">
        <f t="shared" si="30"/>
        <v>4.81236960154438E-2</v>
      </c>
      <c r="AO17" s="260">
        <f t="shared" si="39"/>
        <v>0.33221306679292162</v>
      </c>
      <c r="AP17" s="261">
        <f t="shared" si="40"/>
        <v>0.63324650884452982</v>
      </c>
      <c r="AQ17" s="262">
        <f t="shared" si="41"/>
        <v>0.95626365566190952</v>
      </c>
      <c r="AR17" s="263">
        <f t="shared" si="42"/>
        <v>0.15353116248221832</v>
      </c>
      <c r="AS17" s="260">
        <f t="shared" si="43"/>
        <v>3.0886144774434708E-2</v>
      </c>
      <c r="AT17" s="260">
        <f t="shared" si="38"/>
        <v>0.96911385522556526</v>
      </c>
    </row>
    <row r="18" spans="2:46" ht="12" customHeight="1">
      <c r="B18" s="79">
        <v>17</v>
      </c>
      <c r="C18" s="96" t="s">
        <v>53</v>
      </c>
      <c r="D18" s="53" t="s">
        <v>226</v>
      </c>
      <c r="E18" s="216">
        <f>CM!G19</f>
        <v>2.0226537216828479E-5</v>
      </c>
      <c r="F18" s="216"/>
      <c r="G18" s="218">
        <f t="shared" si="36"/>
        <v>3.2362459546925564</v>
      </c>
      <c r="H18" s="215">
        <f t="shared" si="37"/>
        <v>666.66666666666663</v>
      </c>
      <c r="I18" s="92">
        <v>16000</v>
      </c>
      <c r="J18" s="93">
        <f t="shared" si="0"/>
        <v>0.89773992794745539</v>
      </c>
      <c r="K18" s="93">
        <f t="shared" si="1"/>
        <v>0.52348380197384647</v>
      </c>
      <c r="L18" s="93">
        <f t="shared" si="2"/>
        <v>0.62982022927720183</v>
      </c>
      <c r="M18" s="93">
        <f t="shared" si="3"/>
        <v>0.89773992794745539</v>
      </c>
      <c r="N18" s="93">
        <f t="shared" si="4"/>
        <v>0.44527576653451423</v>
      </c>
      <c r="O18" s="93">
        <f t="shared" si="5"/>
        <v>1.5453700088363517E-3</v>
      </c>
      <c r="P18" s="93">
        <f t="shared" si="6"/>
        <v>0.89773992794745539</v>
      </c>
      <c r="Q18" s="93">
        <f t="shared" si="7"/>
        <v>0.72352180476737982</v>
      </c>
      <c r="R18" s="93">
        <f t="shared" si="8"/>
        <v>0.89773992794745539</v>
      </c>
      <c r="S18" s="93">
        <f t="shared" si="9"/>
        <v>0.52348380197384647</v>
      </c>
      <c r="T18" s="93">
        <f t="shared" si="10"/>
        <v>0.85060084926326041</v>
      </c>
      <c r="U18" s="93">
        <f t="shared" si="11"/>
        <v>0.72352180476737982</v>
      </c>
      <c r="V18" s="93">
        <f t="shared" si="12"/>
        <v>1.5453700088363517E-3</v>
      </c>
      <c r="W18" s="93">
        <f t="shared" si="13"/>
        <v>0.34002074396741938</v>
      </c>
      <c r="X18" s="93">
        <f t="shared" si="14"/>
        <v>0.72352180476737982</v>
      </c>
      <c r="Y18" s="93">
        <f t="shared" si="15"/>
        <v>0.72352180476737982</v>
      </c>
      <c r="Z18" s="93">
        <f t="shared" si="16"/>
        <v>0.72352180476737982</v>
      </c>
      <c r="AA18" s="93">
        <f t="shared" si="17"/>
        <v>0.72352180476737982</v>
      </c>
      <c r="AB18" s="93">
        <f t="shared" si="18"/>
        <v>0.52348380197384647</v>
      </c>
      <c r="AC18" s="93">
        <f t="shared" si="19"/>
        <v>0.52348380197384647</v>
      </c>
      <c r="AD18" s="93">
        <f t="shared" si="20"/>
        <v>0.72352180476737982</v>
      </c>
      <c r="AE18" s="93">
        <f t="shared" si="21"/>
        <v>0.19827050826289924</v>
      </c>
      <c r="AF18" s="93">
        <f t="shared" si="22"/>
        <v>0.19827050826289924</v>
      </c>
      <c r="AG18" s="93">
        <f t="shared" si="23"/>
        <v>0.52348380197384647</v>
      </c>
      <c r="AH18" s="93">
        <f t="shared" si="24"/>
        <v>0.52348380197384647</v>
      </c>
      <c r="AI18" s="93">
        <f t="shared" si="25"/>
        <v>0.89773992794745539</v>
      </c>
      <c r="AJ18" s="93">
        <f t="shared" si="26"/>
        <v>0.52348380197384647</v>
      </c>
      <c r="AK18" s="93">
        <f t="shared" si="27"/>
        <v>3.9311194446828394E-2</v>
      </c>
      <c r="AL18" s="93">
        <f t="shared" si="28"/>
        <v>0.19827050826289924</v>
      </c>
      <c r="AM18" s="93">
        <f t="shared" si="29"/>
        <v>0.52348380197384647</v>
      </c>
      <c r="AN18" s="93">
        <f t="shared" si="30"/>
        <v>3.9311194446828394E-2</v>
      </c>
      <c r="AO18" s="260">
        <f t="shared" si="39"/>
        <v>0.30657705946601227</v>
      </c>
      <c r="AP18" s="261">
        <f t="shared" si="40"/>
        <v>0.6127457728406327</v>
      </c>
      <c r="AQ18" s="262">
        <f t="shared" si="41"/>
        <v>0.95128430850169832</v>
      </c>
      <c r="AR18" s="263">
        <f t="shared" si="42"/>
        <v>0.13063959532519576</v>
      </c>
      <c r="AS18" s="260">
        <f t="shared" si="43"/>
        <v>2.3345605248810717E-2</v>
      </c>
      <c r="AT18" s="260">
        <f t="shared" si="38"/>
        <v>0.97665439475118931</v>
      </c>
    </row>
    <row r="19" spans="2:46" ht="12" customHeight="1">
      <c r="B19" s="79">
        <v>18</v>
      </c>
      <c r="C19" s="96" t="s">
        <v>35</v>
      </c>
      <c r="D19" s="53" t="s">
        <v>227</v>
      </c>
      <c r="E19" s="216">
        <f>CM!G20</f>
        <v>2.0226537216828479E-5</v>
      </c>
      <c r="F19" s="216"/>
      <c r="G19" s="218">
        <f t="shared" si="36"/>
        <v>3.4385113268608416</v>
      </c>
      <c r="H19" s="215">
        <f t="shared" si="37"/>
        <v>708.33333333333337</v>
      </c>
      <c r="I19" s="92">
        <v>17000</v>
      </c>
      <c r="J19" s="93">
        <f t="shared" si="0"/>
        <v>0.8917075630860366</v>
      </c>
      <c r="K19" s="93">
        <f t="shared" si="1"/>
        <v>0.50272988283973319</v>
      </c>
      <c r="L19" s="93">
        <f t="shared" si="2"/>
        <v>0.6118819520776424</v>
      </c>
      <c r="M19" s="93">
        <f t="shared" si="3"/>
        <v>0.8917075630860366</v>
      </c>
      <c r="N19" s="93">
        <f t="shared" si="4"/>
        <v>0.42331959913367651</v>
      </c>
      <c r="O19" s="93">
        <f t="shared" si="5"/>
        <v>1.0312097475853527E-3</v>
      </c>
      <c r="P19" s="93">
        <f t="shared" si="6"/>
        <v>0.8917075630860366</v>
      </c>
      <c r="Q19" s="93">
        <f t="shared" si="7"/>
        <v>0.70903447225063265</v>
      </c>
      <c r="R19" s="93">
        <f t="shared" si="8"/>
        <v>0.8917075630860366</v>
      </c>
      <c r="S19" s="93">
        <f t="shared" si="9"/>
        <v>0.50272988283973319</v>
      </c>
      <c r="T19" s="93">
        <f t="shared" si="10"/>
        <v>0.8420418470899369</v>
      </c>
      <c r="U19" s="93">
        <f t="shared" si="11"/>
        <v>0.70903447225063265</v>
      </c>
      <c r="V19" s="93">
        <f t="shared" si="12"/>
        <v>1.0312097475853527E-3</v>
      </c>
      <c r="W19" s="93">
        <f t="shared" si="13"/>
        <v>0.3178516729483673</v>
      </c>
      <c r="X19" s="93">
        <f t="shared" si="14"/>
        <v>0.70903447225063265</v>
      </c>
      <c r="Y19" s="93">
        <f t="shared" si="15"/>
        <v>0.70903447225063265</v>
      </c>
      <c r="Z19" s="93">
        <f t="shared" si="16"/>
        <v>0.70903447225063265</v>
      </c>
      <c r="AA19" s="93">
        <f t="shared" si="17"/>
        <v>0.70903447225063265</v>
      </c>
      <c r="AB19" s="93">
        <f t="shared" si="18"/>
        <v>0.50272988283973319</v>
      </c>
      <c r="AC19" s="93">
        <f t="shared" si="19"/>
        <v>0.50272988283973319</v>
      </c>
      <c r="AD19" s="93">
        <f t="shared" si="20"/>
        <v>0.70903447225063265</v>
      </c>
      <c r="AE19" s="93">
        <f t="shared" si="21"/>
        <v>0.17919948301069655</v>
      </c>
      <c r="AF19" s="93">
        <f t="shared" si="22"/>
        <v>0.17919948301069655</v>
      </c>
      <c r="AG19" s="93">
        <f t="shared" si="23"/>
        <v>0.50272988283973319</v>
      </c>
      <c r="AH19" s="93">
        <f t="shared" si="24"/>
        <v>0.50272988283973319</v>
      </c>
      <c r="AI19" s="93">
        <f t="shared" si="25"/>
        <v>0.8917075630860366</v>
      </c>
      <c r="AJ19" s="93">
        <f t="shared" si="26"/>
        <v>0.50272988283973319</v>
      </c>
      <c r="AK19" s="93">
        <f t="shared" si="27"/>
        <v>3.211245471130092E-2</v>
      </c>
      <c r="AL19" s="93">
        <f t="shared" si="28"/>
        <v>0.17919948301069655</v>
      </c>
      <c r="AM19" s="93">
        <f t="shared" si="29"/>
        <v>0.50272988283973319</v>
      </c>
      <c r="AN19" s="93">
        <f t="shared" si="30"/>
        <v>3.211245471130092E-2</v>
      </c>
      <c r="AO19" s="260">
        <f t="shared" si="39"/>
        <v>0.28301212441438817</v>
      </c>
      <c r="AP19" s="261">
        <f t="shared" si="40"/>
        <v>0.59280793822879829</v>
      </c>
      <c r="AQ19" s="262">
        <f t="shared" si="41"/>
        <v>0.94615780645061665</v>
      </c>
      <c r="AR19" s="263">
        <f t="shared" si="42"/>
        <v>0.11101858051534329</v>
      </c>
      <c r="AS19" s="260">
        <f t="shared" si="43"/>
        <v>1.7622937421202665E-2</v>
      </c>
      <c r="AT19" s="260">
        <f t="shared" si="38"/>
        <v>0.98237706257879731</v>
      </c>
    </row>
    <row r="20" spans="2:46" ht="12" customHeight="1">
      <c r="B20" s="79">
        <v>19</v>
      </c>
      <c r="C20" s="96" t="s">
        <v>36</v>
      </c>
      <c r="D20" s="53" t="s">
        <v>228</v>
      </c>
      <c r="E20" s="216">
        <f>CM!G21</f>
        <v>4.0453074433656958E-5</v>
      </c>
      <c r="F20" s="216"/>
      <c r="G20" s="218">
        <f t="shared" si="36"/>
        <v>3.6407766990291264</v>
      </c>
      <c r="H20" s="215">
        <f t="shared" si="37"/>
        <v>750</v>
      </c>
      <c r="I20" s="92">
        <v>18000</v>
      </c>
      <c r="J20" s="93">
        <f t="shared" si="0"/>
        <v>0.88571573270981607</v>
      </c>
      <c r="K20" s="93">
        <f t="shared" si="1"/>
        <v>0.48279876883884698</v>
      </c>
      <c r="L20" s="93">
        <f t="shared" si="2"/>
        <v>0.59445458541085117</v>
      </c>
      <c r="M20" s="93">
        <f t="shared" si="3"/>
        <v>0.88571573270981607</v>
      </c>
      <c r="N20" s="93">
        <f t="shared" si="4"/>
        <v>0.40244607157799689</v>
      </c>
      <c r="O20" s="93">
        <f t="shared" si="5"/>
        <v>6.8811581526405569E-4</v>
      </c>
      <c r="P20" s="93">
        <f t="shared" si="6"/>
        <v>0.88571573270981607</v>
      </c>
      <c r="Q20" s="93">
        <f t="shared" si="7"/>
        <v>0.69483722470723097</v>
      </c>
      <c r="R20" s="93">
        <f t="shared" si="8"/>
        <v>0.88571573270981607</v>
      </c>
      <c r="S20" s="93">
        <f t="shared" si="9"/>
        <v>0.48279876883884698</v>
      </c>
      <c r="T20" s="93">
        <f t="shared" si="10"/>
        <v>0.83356896817673753</v>
      </c>
      <c r="U20" s="93">
        <f t="shared" si="11"/>
        <v>0.69483722470723097</v>
      </c>
      <c r="V20" s="93">
        <f t="shared" si="12"/>
        <v>6.8811581526405569E-4</v>
      </c>
      <c r="W20" s="93">
        <f t="shared" si="13"/>
        <v>0.29712800700699726</v>
      </c>
      <c r="X20" s="93">
        <f t="shared" si="14"/>
        <v>0.69483722470723097</v>
      </c>
      <c r="Y20" s="93">
        <f t="shared" si="15"/>
        <v>0.69483722470723097</v>
      </c>
      <c r="Z20" s="93">
        <f t="shared" si="16"/>
        <v>0.69483722470723097</v>
      </c>
      <c r="AA20" s="93">
        <f t="shared" si="17"/>
        <v>0.69483722470723097</v>
      </c>
      <c r="AB20" s="93">
        <f t="shared" si="18"/>
        <v>0.48279876883884698</v>
      </c>
      <c r="AC20" s="93">
        <f t="shared" si="19"/>
        <v>0.48279876883884698</v>
      </c>
      <c r="AD20" s="93">
        <f t="shared" si="20"/>
        <v>0.69483722470723097</v>
      </c>
      <c r="AE20" s="93">
        <f t="shared" si="21"/>
        <v>0.16196284052856219</v>
      </c>
      <c r="AF20" s="93">
        <f t="shared" si="22"/>
        <v>0.16196284052856219</v>
      </c>
      <c r="AG20" s="93">
        <f t="shared" si="23"/>
        <v>0.48279876883884698</v>
      </c>
      <c r="AH20" s="93">
        <f t="shared" si="24"/>
        <v>0.48279876883884698</v>
      </c>
      <c r="AI20" s="93">
        <f t="shared" si="25"/>
        <v>0.88571573270981607</v>
      </c>
      <c r="AJ20" s="93">
        <f t="shared" si="26"/>
        <v>0.48279876883884698</v>
      </c>
      <c r="AK20" s="93">
        <f t="shared" si="27"/>
        <v>2.6231961712080469E-2</v>
      </c>
      <c r="AL20" s="93">
        <f t="shared" si="28"/>
        <v>0.16196284052856219</v>
      </c>
      <c r="AM20" s="93">
        <f t="shared" si="29"/>
        <v>0.48279876883884698</v>
      </c>
      <c r="AN20" s="93">
        <f t="shared" si="30"/>
        <v>2.6231961712080469E-2</v>
      </c>
      <c r="AO20" s="260">
        <f t="shared" si="39"/>
        <v>0.26134550884867019</v>
      </c>
      <c r="AP20" s="261">
        <f t="shared" si="40"/>
        <v>0.57342896254110354</v>
      </c>
      <c r="AQ20" s="262">
        <f t="shared" si="41"/>
        <v>0.94089746676870689</v>
      </c>
      <c r="AR20" s="263">
        <f t="shared" si="42"/>
        <v>9.4245009599474003E-2</v>
      </c>
      <c r="AS20" s="260">
        <f t="shared" si="43"/>
        <v>1.3289092607156688E-2</v>
      </c>
      <c r="AT20" s="260">
        <f t="shared" si="38"/>
        <v>0.98671090739284328</v>
      </c>
    </row>
    <row r="21" spans="2:46" ht="12" customHeight="1">
      <c r="B21" s="79">
        <v>20</v>
      </c>
      <c r="C21" s="96" t="s">
        <v>101</v>
      </c>
      <c r="D21" s="53" t="s">
        <v>229</v>
      </c>
      <c r="E21" s="216">
        <f>CM!G22</f>
        <v>4.0453074433656958E-5</v>
      </c>
      <c r="F21" s="216"/>
      <c r="G21" s="218">
        <f t="shared" si="36"/>
        <v>3.8430420711974107</v>
      </c>
      <c r="H21" s="215">
        <f t="shared" si="37"/>
        <v>791.66666666666663</v>
      </c>
      <c r="I21" s="92">
        <v>19000</v>
      </c>
      <c r="J21" s="93">
        <f t="shared" si="0"/>
        <v>0.87976416444725658</v>
      </c>
      <c r="K21" s="93">
        <f t="shared" si="1"/>
        <v>0.46365783922698572</v>
      </c>
      <c r="L21" s="93">
        <f t="shared" si="2"/>
        <v>0.57752357773603136</v>
      </c>
      <c r="M21" s="93">
        <f t="shared" si="3"/>
        <v>0.87976416444725658</v>
      </c>
      <c r="N21" s="93">
        <f t="shared" si="4"/>
        <v>0.38260179982221265</v>
      </c>
      <c r="O21" s="93">
        <f t="shared" si="5"/>
        <v>4.5917271081393098E-4</v>
      </c>
      <c r="P21" s="93">
        <f t="shared" si="6"/>
        <v>0.87976416444725658</v>
      </c>
      <c r="Q21" s="93">
        <f t="shared" si="7"/>
        <v>0.68092425366334675</v>
      </c>
      <c r="R21" s="93">
        <f t="shared" si="8"/>
        <v>0.87976416444725658</v>
      </c>
      <c r="S21" s="93">
        <f t="shared" si="9"/>
        <v>0.46365783922698572</v>
      </c>
      <c r="T21" s="93">
        <f t="shared" si="10"/>
        <v>0.82518134592545578</v>
      </c>
      <c r="U21" s="93">
        <f t="shared" si="11"/>
        <v>0.68092425366334675</v>
      </c>
      <c r="V21" s="93">
        <f t="shared" si="12"/>
        <v>4.5917271081393098E-4</v>
      </c>
      <c r="W21" s="93">
        <f t="shared" si="13"/>
        <v>0.27775550692882933</v>
      </c>
      <c r="X21" s="93">
        <f t="shared" si="14"/>
        <v>0.68092425366334675</v>
      </c>
      <c r="Y21" s="93">
        <f t="shared" si="15"/>
        <v>0.68092425366334675</v>
      </c>
      <c r="Z21" s="93">
        <f t="shared" si="16"/>
        <v>0.68092425366334675</v>
      </c>
      <c r="AA21" s="93">
        <f t="shared" si="17"/>
        <v>0.68092425366334675</v>
      </c>
      <c r="AB21" s="93">
        <f t="shared" si="18"/>
        <v>0.46365783922698572</v>
      </c>
      <c r="AC21" s="93">
        <f t="shared" si="19"/>
        <v>0.46365783922698572</v>
      </c>
      <c r="AD21" s="93">
        <f t="shared" si="20"/>
        <v>0.68092425366334675</v>
      </c>
      <c r="AE21" s="93">
        <f t="shared" si="21"/>
        <v>0.14638413722719648</v>
      </c>
      <c r="AF21" s="93">
        <f t="shared" si="22"/>
        <v>0.14638413722719648</v>
      </c>
      <c r="AG21" s="93">
        <f t="shared" si="23"/>
        <v>0.46365783922698572</v>
      </c>
      <c r="AH21" s="93">
        <f t="shared" si="24"/>
        <v>0.46365783922698572</v>
      </c>
      <c r="AI21" s="93">
        <f t="shared" si="25"/>
        <v>0.87976416444725658</v>
      </c>
      <c r="AJ21" s="93">
        <f t="shared" si="26"/>
        <v>0.46365783922698572</v>
      </c>
      <c r="AK21" s="93">
        <f t="shared" si="27"/>
        <v>2.142831563175069E-2</v>
      </c>
      <c r="AL21" s="93">
        <f t="shared" si="28"/>
        <v>0.14638413722719648</v>
      </c>
      <c r="AM21" s="93">
        <f t="shared" si="29"/>
        <v>0.46365783922698572</v>
      </c>
      <c r="AN21" s="93">
        <f t="shared" si="30"/>
        <v>2.142831563175069E-2</v>
      </c>
      <c r="AO21" s="260">
        <f t="shared" si="39"/>
        <v>0.24141675311181873</v>
      </c>
      <c r="AP21" s="261">
        <f t="shared" si="40"/>
        <v>0.55460346032773178</v>
      </c>
      <c r="AQ21" s="262">
        <f t="shared" si="41"/>
        <v>0.9355159386695121</v>
      </c>
      <c r="AR21" s="263">
        <f t="shared" si="42"/>
        <v>7.9936446400681163E-2</v>
      </c>
      <c r="AS21" s="260">
        <f t="shared" si="43"/>
        <v>1.0012580213719164E-2</v>
      </c>
      <c r="AT21" s="260">
        <f t="shared" si="38"/>
        <v>0.9899874197862808</v>
      </c>
    </row>
    <row r="22" spans="2:46" ht="12" customHeight="1">
      <c r="B22" s="79">
        <v>21</v>
      </c>
      <c r="C22" s="96" t="s">
        <v>37</v>
      </c>
      <c r="D22" s="53" t="s">
        <v>230</v>
      </c>
      <c r="E22" s="216">
        <f>CM!G23</f>
        <v>2.0226537216828479E-5</v>
      </c>
      <c r="F22" s="216"/>
      <c r="G22" s="226">
        <f t="shared" si="36"/>
        <v>4.0453074433656964</v>
      </c>
      <c r="H22" s="227">
        <f t="shared" si="37"/>
        <v>833.33333333333337</v>
      </c>
      <c r="I22" s="228">
        <v>20000</v>
      </c>
      <c r="J22" s="93">
        <f t="shared" si="0"/>
        <v>0.87385258775702201</v>
      </c>
      <c r="K22" s="93">
        <f t="shared" si="1"/>
        <v>0.44527576653451423</v>
      </c>
      <c r="L22" s="93">
        <f t="shared" si="2"/>
        <v>0.56107479196330468</v>
      </c>
      <c r="M22" s="93">
        <f t="shared" si="3"/>
        <v>0.87385258775702201</v>
      </c>
      <c r="N22" s="93">
        <f t="shared" si="4"/>
        <v>0.36373603214269712</v>
      </c>
      <c r="O22" s="93">
        <f t="shared" si="5"/>
        <v>3.0640129710622437E-4</v>
      </c>
      <c r="P22" s="93">
        <f t="shared" si="6"/>
        <v>0.87385258775702201</v>
      </c>
      <c r="Q22" s="93">
        <f t="shared" si="7"/>
        <v>0.66728986695027392</v>
      </c>
      <c r="R22" s="93">
        <f t="shared" si="8"/>
        <v>0.87385258775702201</v>
      </c>
      <c r="S22" s="93">
        <f t="shared" si="9"/>
        <v>0.44527576653451423</v>
      </c>
      <c r="T22" s="93">
        <f t="shared" si="10"/>
        <v>0.81687812245785718</v>
      </c>
      <c r="U22" s="93">
        <f t="shared" si="11"/>
        <v>0.66728986695027392</v>
      </c>
      <c r="V22" s="93">
        <f t="shared" si="12"/>
        <v>3.0640129710622437E-4</v>
      </c>
      <c r="W22" s="93">
        <f t="shared" si="13"/>
        <v>0.25964607781815113</v>
      </c>
      <c r="X22" s="93">
        <f t="shared" si="14"/>
        <v>0.66728986695027392</v>
      </c>
      <c r="Y22" s="93">
        <f t="shared" si="15"/>
        <v>0.66728986695027392</v>
      </c>
      <c r="Z22" s="93">
        <f t="shared" si="16"/>
        <v>0.66728986695027392</v>
      </c>
      <c r="AA22" s="93">
        <f t="shared" si="17"/>
        <v>0.66728986695027392</v>
      </c>
      <c r="AB22" s="93">
        <f t="shared" si="18"/>
        <v>0.44527576653451423</v>
      </c>
      <c r="AC22" s="93">
        <f t="shared" si="19"/>
        <v>0.44527576653451423</v>
      </c>
      <c r="AD22" s="93">
        <f t="shared" si="20"/>
        <v>0.66728986695027392</v>
      </c>
      <c r="AE22" s="93">
        <f t="shared" si="21"/>
        <v>0.13230390107891318</v>
      </c>
      <c r="AF22" s="93">
        <f t="shared" si="22"/>
        <v>0.13230390107891318</v>
      </c>
      <c r="AG22" s="93">
        <f t="shared" si="23"/>
        <v>0.44527576653451423</v>
      </c>
      <c r="AH22" s="93">
        <f t="shared" si="24"/>
        <v>0.44527576653451423</v>
      </c>
      <c r="AI22" s="93">
        <f t="shared" si="25"/>
        <v>0.87385258775702201</v>
      </c>
      <c r="AJ22" s="93">
        <f t="shared" si="26"/>
        <v>0.44527576653451423</v>
      </c>
      <c r="AK22" s="93">
        <f t="shared" si="27"/>
        <v>1.7504322240698849E-2</v>
      </c>
      <c r="AL22" s="93">
        <f t="shared" si="28"/>
        <v>0.13230390107891318</v>
      </c>
      <c r="AM22" s="93">
        <f t="shared" si="29"/>
        <v>0.44527576653451423</v>
      </c>
      <c r="AN22" s="93">
        <f t="shared" si="30"/>
        <v>1.7504322240698849E-2</v>
      </c>
      <c r="AO22" s="260">
        <f t="shared" si="39"/>
        <v>0.22307803634346551</v>
      </c>
      <c r="AP22" s="261">
        <f t="shared" si="40"/>
        <v>0.53632488953532997</v>
      </c>
      <c r="AQ22" s="262">
        <f t="shared" si="41"/>
        <v>0.93002519777251047</v>
      </c>
      <c r="AR22" s="263">
        <f t="shared" si="42"/>
        <v>6.7752080509729404E-2</v>
      </c>
      <c r="AS22" s="260">
        <f t="shared" si="43"/>
        <v>7.5387981651614906E-3</v>
      </c>
      <c r="AT22" s="260">
        <f t="shared" si="38"/>
        <v>0.99246120183483855</v>
      </c>
    </row>
    <row r="23" spans="2:46" ht="12" customHeight="1">
      <c r="B23" s="79">
        <v>22</v>
      </c>
      <c r="C23" s="96" t="s">
        <v>106</v>
      </c>
      <c r="D23" s="53" t="s">
        <v>231</v>
      </c>
      <c r="E23" s="216">
        <f>CM!G24</f>
        <v>1.011326860841424E-4</v>
      </c>
      <c r="F23" s="216"/>
      <c r="G23" s="218">
        <f t="shared" si="36"/>
        <v>4.2475728155339807</v>
      </c>
      <c r="H23" s="215">
        <f t="shared" si="37"/>
        <v>875</v>
      </c>
      <c r="I23" s="92">
        <v>21000</v>
      </c>
      <c r="J23" s="93">
        <f t="shared" si="0"/>
        <v>0.86798073391567887</v>
      </c>
      <c r="K23" s="93">
        <f t="shared" si="1"/>
        <v>0.4276224652934964</v>
      </c>
      <c r="L23" s="93">
        <f t="shared" si="2"/>
        <v>0.54509449364949314</v>
      </c>
      <c r="M23" s="93">
        <f t="shared" si="3"/>
        <v>0.86798073391567887</v>
      </c>
      <c r="N23" s="93">
        <f t="shared" si="4"/>
        <v>0.34580051933993039</v>
      </c>
      <c r="O23" s="93">
        <f t="shared" si="5"/>
        <v>2.0445848077940397E-4</v>
      </c>
      <c r="P23" s="93">
        <f t="shared" si="6"/>
        <v>0.86798073391567887</v>
      </c>
      <c r="Q23" s="93">
        <f t="shared" si="7"/>
        <v>0.65392848637561007</v>
      </c>
      <c r="R23" s="93">
        <f t="shared" si="8"/>
        <v>0.86798073391567887</v>
      </c>
      <c r="S23" s="93">
        <f t="shared" si="9"/>
        <v>0.4276224652934964</v>
      </c>
      <c r="T23" s="93">
        <f t="shared" si="10"/>
        <v>0.808658448527937</v>
      </c>
      <c r="U23" s="93">
        <f t="shared" si="11"/>
        <v>0.65392848637561007</v>
      </c>
      <c r="V23" s="93">
        <f t="shared" si="12"/>
        <v>2.0445848077940397E-4</v>
      </c>
      <c r="W23" s="93">
        <f t="shared" si="13"/>
        <v>0.24271736849352099</v>
      </c>
      <c r="X23" s="93">
        <f t="shared" si="14"/>
        <v>0.65392848637561007</v>
      </c>
      <c r="Y23" s="93">
        <f t="shared" si="15"/>
        <v>0.65392848637561007</v>
      </c>
      <c r="Z23" s="93">
        <f t="shared" si="16"/>
        <v>0.65392848637561007</v>
      </c>
      <c r="AA23" s="93">
        <f t="shared" si="17"/>
        <v>0.65392848637561007</v>
      </c>
      <c r="AB23" s="93">
        <f t="shared" si="18"/>
        <v>0.4276224652934964</v>
      </c>
      <c r="AC23" s="93">
        <f t="shared" si="19"/>
        <v>0.4276224652934964</v>
      </c>
      <c r="AD23" s="93">
        <f t="shared" si="20"/>
        <v>0.65392848637561007</v>
      </c>
      <c r="AE23" s="93">
        <f t="shared" si="21"/>
        <v>0.11957799917576557</v>
      </c>
      <c r="AF23" s="93">
        <f t="shared" si="22"/>
        <v>0.11957799917576557</v>
      </c>
      <c r="AG23" s="93">
        <f t="shared" si="23"/>
        <v>0.4276224652934964</v>
      </c>
      <c r="AH23" s="93">
        <f t="shared" si="24"/>
        <v>0.4276224652934964</v>
      </c>
      <c r="AI23" s="93">
        <f t="shared" si="25"/>
        <v>0.86798073391567887</v>
      </c>
      <c r="AJ23" s="93">
        <f t="shared" si="26"/>
        <v>0.4276224652934964</v>
      </c>
      <c r="AK23" s="93">
        <f t="shared" si="27"/>
        <v>1.4298897886879394E-2</v>
      </c>
      <c r="AL23" s="93">
        <f t="shared" si="28"/>
        <v>0.11957799917576557</v>
      </c>
      <c r="AM23" s="93">
        <f t="shared" si="29"/>
        <v>0.4276224652934964</v>
      </c>
      <c r="AN23" s="93">
        <f t="shared" si="30"/>
        <v>1.4298897886879394E-2</v>
      </c>
      <c r="AO23" s="260">
        <f t="shared" si="39"/>
        <v>0.2061939488376231</v>
      </c>
      <c r="AP23" s="261">
        <f t="shared" si="40"/>
        <v>0.5185857087542004</v>
      </c>
      <c r="AQ23" s="262">
        <f t="shared" si="41"/>
        <v>0.92443654896292271</v>
      </c>
      <c r="AR23" s="263">
        <f t="shared" si="42"/>
        <v>5.7391474696342523E-2</v>
      </c>
      <c r="AS23" s="260">
        <f t="shared" si="43"/>
        <v>5.6731067024354811E-3</v>
      </c>
      <c r="AT23" s="260">
        <f t="shared" si="38"/>
        <v>0.99432689329756452</v>
      </c>
    </row>
    <row r="24" spans="2:46" ht="12" customHeight="1">
      <c r="B24" s="79">
        <v>23</v>
      </c>
      <c r="C24" s="96" t="s">
        <v>110</v>
      </c>
      <c r="D24" s="53" t="s">
        <v>232</v>
      </c>
      <c r="E24" s="216">
        <f>CM!G25</f>
        <v>1.011326860841424E-4</v>
      </c>
      <c r="F24" s="216"/>
      <c r="G24" s="218">
        <f t="shared" si="36"/>
        <v>4.449838187702265</v>
      </c>
      <c r="H24" s="215">
        <f t="shared" si="37"/>
        <v>916.66666666666663</v>
      </c>
      <c r="I24" s="92">
        <v>22000</v>
      </c>
      <c r="J24" s="93">
        <f t="shared" si="0"/>
        <v>0.86214833600548157</v>
      </c>
      <c r="K24" s="93">
        <f t="shared" si="1"/>
        <v>0.41066904279757976</v>
      </c>
      <c r="L24" s="93">
        <f t="shared" si="2"/>
        <v>0.5295693395301031</v>
      </c>
      <c r="M24" s="93">
        <f t="shared" si="3"/>
        <v>0.86214833600548157</v>
      </c>
      <c r="N24" s="93">
        <f t="shared" si="4"/>
        <v>0.32874939134117448</v>
      </c>
      <c r="O24" s="93">
        <f t="shared" si="5"/>
        <v>1.364330724361435E-4</v>
      </c>
      <c r="P24" s="93">
        <f t="shared" si="6"/>
        <v>0.86214833600548157</v>
      </c>
      <c r="Q24" s="93">
        <f t="shared" si="7"/>
        <v>0.64083464544106838</v>
      </c>
      <c r="R24" s="93">
        <f t="shared" si="8"/>
        <v>0.86214833600548157</v>
      </c>
      <c r="S24" s="93">
        <f t="shared" si="9"/>
        <v>0.41066904279757976</v>
      </c>
      <c r="T24" s="93">
        <f t="shared" si="10"/>
        <v>0.80052148343505958</v>
      </c>
      <c r="U24" s="93">
        <f t="shared" si="11"/>
        <v>0.64083464544106838</v>
      </c>
      <c r="V24" s="93">
        <f t="shared" si="12"/>
        <v>1.364330724361435E-4</v>
      </c>
      <c r="W24" s="93">
        <f t="shared" si="13"/>
        <v>0.22689239700235245</v>
      </c>
      <c r="X24" s="93">
        <f t="shared" si="14"/>
        <v>0.64083464544106838</v>
      </c>
      <c r="Y24" s="93">
        <f t="shared" si="15"/>
        <v>0.64083464544106838</v>
      </c>
      <c r="Z24" s="93">
        <f t="shared" si="16"/>
        <v>0.64083464544106838</v>
      </c>
      <c r="AA24" s="93">
        <f t="shared" si="17"/>
        <v>0.64083464544106838</v>
      </c>
      <c r="AB24" s="93">
        <f t="shared" si="18"/>
        <v>0.41066904279757976</v>
      </c>
      <c r="AC24" s="93">
        <f t="shared" si="19"/>
        <v>0.41066904279757976</v>
      </c>
      <c r="AD24" s="93">
        <f t="shared" si="20"/>
        <v>0.64083464544106838</v>
      </c>
      <c r="AE24" s="93">
        <f t="shared" si="21"/>
        <v>0.10807616230719268</v>
      </c>
      <c r="AF24" s="93">
        <f t="shared" si="22"/>
        <v>0.10807616230719268</v>
      </c>
      <c r="AG24" s="93">
        <f t="shared" si="23"/>
        <v>0.41066904279757976</v>
      </c>
      <c r="AH24" s="93">
        <f t="shared" si="24"/>
        <v>0.41066904279757976</v>
      </c>
      <c r="AI24" s="93">
        <f t="shared" si="25"/>
        <v>0.86214833600548157</v>
      </c>
      <c r="AJ24" s="93">
        <f t="shared" si="26"/>
        <v>0.41066904279757976</v>
      </c>
      <c r="AK24" s="93">
        <f t="shared" si="27"/>
        <v>1.1680456859050656E-2</v>
      </c>
      <c r="AL24" s="93">
        <f t="shared" si="28"/>
        <v>0.10807616230719268</v>
      </c>
      <c r="AM24" s="93">
        <f t="shared" si="29"/>
        <v>0.41066904279757976</v>
      </c>
      <c r="AN24" s="93">
        <f t="shared" si="30"/>
        <v>1.1680456859050656E-2</v>
      </c>
      <c r="AO24" s="260">
        <f t="shared" si="39"/>
        <v>0.1906409181463615</v>
      </c>
      <c r="AP24" s="261">
        <f t="shared" si="40"/>
        <v>0.50137751512464446</v>
      </c>
      <c r="AQ24" s="262">
        <f t="shared" si="41"/>
        <v>0.91876063737877967</v>
      </c>
      <c r="AR24" s="263">
        <f t="shared" si="42"/>
        <v>4.8592008815484131E-2</v>
      </c>
      <c r="AS24" s="260">
        <f t="shared" si="43"/>
        <v>4.2672511910303995E-3</v>
      </c>
      <c r="AT24" s="260">
        <f t="shared" si="38"/>
        <v>0.99573274880896956</v>
      </c>
    </row>
    <row r="25" spans="2:46" ht="12" customHeight="1">
      <c r="B25" s="79">
        <v>24</v>
      </c>
      <c r="C25" s="96" t="s">
        <v>113</v>
      </c>
      <c r="D25" s="53" t="s">
        <v>233</v>
      </c>
      <c r="E25" s="216">
        <f>CM!G26</f>
        <v>4.0453074433656958E-5</v>
      </c>
      <c r="F25" s="216"/>
      <c r="G25" s="218">
        <f t="shared" si="36"/>
        <v>4.6521035598705502</v>
      </c>
      <c r="H25" s="215">
        <f t="shared" si="37"/>
        <v>958.33333333333337</v>
      </c>
      <c r="I25" s="92">
        <v>23000</v>
      </c>
      <c r="J25" s="93">
        <f t="shared" si="0"/>
        <v>0.85635512890223842</v>
      </c>
      <c r="K25" s="93">
        <f t="shared" si="1"/>
        <v>0.39438775181404229</v>
      </c>
      <c r="L25" s="93">
        <f t="shared" si="2"/>
        <v>0.51448636637793776</v>
      </c>
      <c r="M25" s="93">
        <f t="shared" si="3"/>
        <v>0.85635512890223842</v>
      </c>
      <c r="N25" s="93">
        <f t="shared" si="4"/>
        <v>0.31253903988776599</v>
      </c>
      <c r="O25" s="93">
        <f t="shared" si="5"/>
        <v>9.1040406753531365E-5</v>
      </c>
      <c r="P25" s="93">
        <f t="shared" si="6"/>
        <v>0.85635512890223842</v>
      </c>
      <c r="Q25" s="93">
        <f t="shared" si="7"/>
        <v>0.6280029871059869</v>
      </c>
      <c r="R25" s="93">
        <f t="shared" si="8"/>
        <v>0.85635512890223842</v>
      </c>
      <c r="S25" s="93">
        <f t="shared" si="9"/>
        <v>0.39438775181404229</v>
      </c>
      <c r="T25" s="93">
        <f t="shared" si="10"/>
        <v>0.79246639493797266</v>
      </c>
      <c r="U25" s="93">
        <f t="shared" si="11"/>
        <v>0.6280029871059869</v>
      </c>
      <c r="V25" s="93">
        <f t="shared" si="12"/>
        <v>9.1040406753531365E-5</v>
      </c>
      <c r="W25" s="93">
        <f t="shared" si="13"/>
        <v>0.212099200551638</v>
      </c>
      <c r="X25" s="93">
        <f t="shared" si="14"/>
        <v>0.6280029871059869</v>
      </c>
      <c r="Y25" s="93">
        <f t="shared" si="15"/>
        <v>0.6280029871059869</v>
      </c>
      <c r="Z25" s="93">
        <f t="shared" si="16"/>
        <v>0.6280029871059869</v>
      </c>
      <c r="AA25" s="93">
        <f t="shared" si="17"/>
        <v>0.6280029871059869</v>
      </c>
      <c r="AB25" s="93">
        <f t="shared" si="18"/>
        <v>0.39438775181404229</v>
      </c>
      <c r="AC25" s="93">
        <f t="shared" si="19"/>
        <v>0.39438775181404229</v>
      </c>
      <c r="AD25" s="93">
        <f t="shared" si="20"/>
        <v>0.6280029871059869</v>
      </c>
      <c r="AE25" s="93">
        <f t="shared" si="21"/>
        <v>9.768065145396658E-2</v>
      </c>
      <c r="AF25" s="93">
        <f t="shared" si="22"/>
        <v>9.768065145396658E-2</v>
      </c>
      <c r="AG25" s="93">
        <f t="shared" si="23"/>
        <v>0.39438775181404229</v>
      </c>
      <c r="AH25" s="93">
        <f t="shared" si="24"/>
        <v>0.39438775181404229</v>
      </c>
      <c r="AI25" s="93">
        <f t="shared" si="25"/>
        <v>0.85635512890223842</v>
      </c>
      <c r="AJ25" s="93">
        <f t="shared" si="26"/>
        <v>0.39438775181404229</v>
      </c>
      <c r="AK25" s="93">
        <f t="shared" si="27"/>
        <v>9.5415096684713045E-3</v>
      </c>
      <c r="AL25" s="93">
        <f t="shared" si="28"/>
        <v>9.768065145396658E-2</v>
      </c>
      <c r="AM25" s="93">
        <f t="shared" si="29"/>
        <v>0.39438775181404229</v>
      </c>
      <c r="AN25" s="93">
        <f t="shared" si="30"/>
        <v>9.5415096684713045E-3</v>
      </c>
      <c r="AO25" s="260">
        <f t="shared" si="39"/>
        <v>0.17630644339586732</v>
      </c>
      <c r="AP25" s="261">
        <f t="shared" si="40"/>
        <v>0.48469116834738923</v>
      </c>
      <c r="AQ25" s="262">
        <f t="shared" si="41"/>
        <v>0.91300746600070193</v>
      </c>
      <c r="AR25" s="263">
        <f t="shared" si="42"/>
        <v>4.1125640046576553E-2</v>
      </c>
      <c r="AS25" s="260">
        <f t="shared" si="43"/>
        <v>3.208634803837537E-3</v>
      </c>
      <c r="AT25" s="260">
        <f t="shared" si="38"/>
        <v>0.99679136519616252</v>
      </c>
    </row>
    <row r="26" spans="2:46" ht="12" customHeight="1">
      <c r="B26" s="79">
        <v>25</v>
      </c>
      <c r="C26" s="96" t="s">
        <v>115</v>
      </c>
      <c r="D26" s="53" t="s">
        <v>234</v>
      </c>
      <c r="E26" s="216">
        <f>CM!G27</f>
        <v>4.0453074433656958E-5</v>
      </c>
      <c r="F26" s="216"/>
      <c r="G26" s="218">
        <f t="shared" si="36"/>
        <v>4.8543689320388346</v>
      </c>
      <c r="H26" s="215">
        <f t="shared" si="37"/>
        <v>1000</v>
      </c>
      <c r="I26" s="92">
        <v>24000</v>
      </c>
      <c r="J26" s="93">
        <f t="shared" si="0"/>
        <v>0.85060084926326041</v>
      </c>
      <c r="K26" s="93">
        <f t="shared" si="1"/>
        <v>0.37875194517060712</v>
      </c>
      <c r="L26" s="93">
        <f t="shared" si="2"/>
        <v>0.4998329801790331</v>
      </c>
      <c r="M26" s="93">
        <f t="shared" si="3"/>
        <v>0.85060084926326041</v>
      </c>
      <c r="N26" s="93">
        <f t="shared" si="4"/>
        <v>0.29712800700699721</v>
      </c>
      <c r="O26" s="93">
        <f t="shared" si="5"/>
        <v>6.0750340909662715E-5</v>
      </c>
      <c r="P26" s="93">
        <f t="shared" si="6"/>
        <v>0.85060084926326041</v>
      </c>
      <c r="Q26" s="93">
        <f t="shared" si="7"/>
        <v>0.61542826159562014</v>
      </c>
      <c r="R26" s="93">
        <f t="shared" si="8"/>
        <v>0.85060084926326041</v>
      </c>
      <c r="S26" s="93">
        <f t="shared" si="9"/>
        <v>0.37875194517060712</v>
      </c>
      <c r="T26" s="93">
        <f t="shared" si="10"/>
        <v>0.7844923591696864</v>
      </c>
      <c r="U26" s="93">
        <f t="shared" si="11"/>
        <v>0.61542826159562014</v>
      </c>
      <c r="V26" s="93">
        <f t="shared" si="12"/>
        <v>6.0750340909662715E-5</v>
      </c>
      <c r="W26" s="93">
        <f t="shared" si="13"/>
        <v>0.1982705082628993</v>
      </c>
      <c r="X26" s="93">
        <f t="shared" si="14"/>
        <v>0.61542826159562014</v>
      </c>
      <c r="Y26" s="93">
        <f t="shared" si="15"/>
        <v>0.61542826159562014</v>
      </c>
      <c r="Z26" s="93">
        <f t="shared" si="16"/>
        <v>0.61542826159562014</v>
      </c>
      <c r="AA26" s="93">
        <f t="shared" si="17"/>
        <v>0.61542826159562014</v>
      </c>
      <c r="AB26" s="93">
        <f t="shared" si="18"/>
        <v>0.37875194517060712</v>
      </c>
      <c r="AC26" s="93">
        <f t="shared" si="19"/>
        <v>0.37875194517060712</v>
      </c>
      <c r="AD26" s="93">
        <f t="shared" si="20"/>
        <v>0.61542826159562014</v>
      </c>
      <c r="AE26" s="93">
        <f t="shared" si="21"/>
        <v>8.8285052547950188E-2</v>
      </c>
      <c r="AF26" s="93">
        <f t="shared" si="22"/>
        <v>8.8285052547950188E-2</v>
      </c>
      <c r="AG26" s="93">
        <f t="shared" si="23"/>
        <v>0.37875194517060712</v>
      </c>
      <c r="AH26" s="93">
        <f t="shared" si="24"/>
        <v>0.37875194517060712</v>
      </c>
      <c r="AI26" s="93">
        <f t="shared" si="25"/>
        <v>0.85060084926326041</v>
      </c>
      <c r="AJ26" s="93">
        <f t="shared" si="26"/>
        <v>0.37875194517060712</v>
      </c>
      <c r="AK26" s="93">
        <f t="shared" si="27"/>
        <v>7.7942505033943271E-3</v>
      </c>
      <c r="AL26" s="93">
        <f t="shared" si="28"/>
        <v>8.8285052547950188E-2</v>
      </c>
      <c r="AM26" s="93">
        <f t="shared" si="29"/>
        <v>0.37875194517060712</v>
      </c>
      <c r="AN26" s="93">
        <f t="shared" si="30"/>
        <v>7.7942505033943271E-3</v>
      </c>
      <c r="AO26" s="260">
        <f t="shared" si="39"/>
        <v>0.16308824093439989</v>
      </c>
      <c r="AP26" s="261">
        <f t="shared" si="40"/>
        <v>0.46851690369721805</v>
      </c>
      <c r="AQ26" s="262">
        <f t="shared" si="41"/>
        <v>0.90718641803155409</v>
      </c>
      <c r="AR26" s="263">
        <f t="shared" si="42"/>
        <v>3.4795392365921635E-2</v>
      </c>
      <c r="AS26" s="260">
        <f t="shared" si="43"/>
        <v>2.4119382818690513E-3</v>
      </c>
      <c r="AT26" s="260">
        <f t="shared" si="38"/>
        <v>0.99758806171813097</v>
      </c>
    </row>
    <row r="27" spans="2:46" ht="12" customHeight="1">
      <c r="B27" s="79">
        <v>26</v>
      </c>
      <c r="C27" s="97" t="s">
        <v>42</v>
      </c>
      <c r="D27" s="254" t="s">
        <v>235</v>
      </c>
      <c r="E27" s="216">
        <f>CM!G28</f>
        <v>6.7421790722761597E-6</v>
      </c>
      <c r="F27" s="216"/>
      <c r="G27" s="226">
        <f t="shared" si="36"/>
        <v>5.0566343042071198</v>
      </c>
      <c r="H27" s="227">
        <f t="shared" si="37"/>
        <v>1041.6666666666667</v>
      </c>
      <c r="I27" s="228">
        <v>25000</v>
      </c>
      <c r="J27" s="93">
        <f t="shared" si="0"/>
        <v>0.84488523551538997</v>
      </c>
      <c r="K27" s="93">
        <f t="shared" si="1"/>
        <v>0.36373603214269723</v>
      </c>
      <c r="L27" s="93">
        <f t="shared" si="2"/>
        <v>0.48559694561687999</v>
      </c>
      <c r="M27" s="93">
        <f t="shared" si="3"/>
        <v>0.84488523551538997</v>
      </c>
      <c r="N27" s="93">
        <f t="shared" si="4"/>
        <v>0.28247687898335427</v>
      </c>
      <c r="O27" s="93">
        <f t="shared" si="5"/>
        <v>4.0538086902792651E-5</v>
      </c>
      <c r="P27" s="93">
        <f t="shared" si="6"/>
        <v>0.84488523551538997</v>
      </c>
      <c r="Q27" s="93">
        <f t="shared" si="7"/>
        <v>0.60310532425331587</v>
      </c>
      <c r="R27" s="93">
        <f t="shared" si="8"/>
        <v>0.84488523551538997</v>
      </c>
      <c r="S27" s="93">
        <f t="shared" si="9"/>
        <v>0.36373603214269723</v>
      </c>
      <c r="T27" s="93">
        <f t="shared" si="10"/>
        <v>0.77659856055320875</v>
      </c>
      <c r="U27" s="93">
        <f t="shared" si="11"/>
        <v>0.60310532425331587</v>
      </c>
      <c r="V27" s="93">
        <f t="shared" si="12"/>
        <v>4.0538086902792651E-5</v>
      </c>
      <c r="W27" s="93">
        <f t="shared" si="13"/>
        <v>0.18534343526324443</v>
      </c>
      <c r="X27" s="93">
        <f t="shared" si="14"/>
        <v>0.60310532425331587</v>
      </c>
      <c r="Y27" s="93">
        <f t="shared" si="15"/>
        <v>0.60310532425331587</v>
      </c>
      <c r="Z27" s="93">
        <f t="shared" si="16"/>
        <v>0.60310532425331587</v>
      </c>
      <c r="AA27" s="93">
        <f t="shared" si="17"/>
        <v>0.60310532425331587</v>
      </c>
      <c r="AB27" s="93">
        <f t="shared" si="18"/>
        <v>0.36373603214269723</v>
      </c>
      <c r="AC27" s="93">
        <f t="shared" si="19"/>
        <v>0.36373603214269723</v>
      </c>
      <c r="AD27" s="93">
        <f t="shared" si="20"/>
        <v>0.60310532425331587</v>
      </c>
      <c r="AE27" s="93">
        <f t="shared" si="21"/>
        <v>7.9793187160176582E-2</v>
      </c>
      <c r="AF27" s="93">
        <f t="shared" si="22"/>
        <v>7.9793187160176582E-2</v>
      </c>
      <c r="AG27" s="93">
        <f t="shared" si="23"/>
        <v>0.36373603214269723</v>
      </c>
      <c r="AH27" s="93">
        <f t="shared" si="24"/>
        <v>0.36373603214269723</v>
      </c>
      <c r="AI27" s="93">
        <f t="shared" si="25"/>
        <v>0.84488523551538997</v>
      </c>
      <c r="AJ27" s="93">
        <f t="shared" si="26"/>
        <v>0.36373603214269723</v>
      </c>
      <c r="AK27" s="93">
        <f t="shared" si="27"/>
        <v>6.3669527171789685E-3</v>
      </c>
      <c r="AL27" s="93">
        <f t="shared" si="28"/>
        <v>7.9793187160176582E-2</v>
      </c>
      <c r="AM27" s="93">
        <f t="shared" si="29"/>
        <v>0.36373603214269723</v>
      </c>
      <c r="AN27" s="93">
        <f t="shared" si="30"/>
        <v>6.3669527171789685E-3</v>
      </c>
      <c r="AO27" s="260">
        <f t="shared" si="39"/>
        <v>0.15089336840691331</v>
      </c>
      <c r="AP27" s="261">
        <f t="shared" si="40"/>
        <v>0.45284443553133208</v>
      </c>
      <c r="AQ27" s="262">
        <f t="shared" si="41"/>
        <v>0.90130628240441535</v>
      </c>
      <c r="AR27" s="263">
        <f t="shared" si="42"/>
        <v>2.9431840229008185E-2</v>
      </c>
      <c r="AS27" s="260">
        <f t="shared" si="43"/>
        <v>1.8126293364316122E-3</v>
      </c>
      <c r="AT27" s="260">
        <f t="shared" si="38"/>
        <v>0.99818737066356844</v>
      </c>
    </row>
    <row r="28" spans="2:46" ht="12" customHeight="1">
      <c r="B28" s="79">
        <v>27</v>
      </c>
      <c r="C28" s="96" t="s">
        <v>43</v>
      </c>
      <c r="D28" s="52" t="s">
        <v>222</v>
      </c>
      <c r="E28" s="216">
        <f>CM!G29</f>
        <v>4.0453074433656958E-5</v>
      </c>
      <c r="F28" s="216"/>
      <c r="G28" s="218">
        <f t="shared" si="36"/>
        <v>5.2588996763754041</v>
      </c>
      <c r="H28" s="215">
        <f t="shared" si="37"/>
        <v>1083.3333333333333</v>
      </c>
      <c r="I28" s="92">
        <v>26000</v>
      </c>
      <c r="J28" s="93">
        <f t="shared" si="0"/>
        <v>0.83920802784311088</v>
      </c>
      <c r="K28" s="93">
        <f t="shared" si="1"/>
        <v>0.34931543656975156</v>
      </c>
      <c r="L28" s="93">
        <f t="shared" si="2"/>
        <v>0.47176637585615366</v>
      </c>
      <c r="M28" s="93">
        <f t="shared" si="3"/>
        <v>0.83920802784311088</v>
      </c>
      <c r="N28" s="93">
        <f t="shared" si="4"/>
        <v>0.26854818555794191</v>
      </c>
      <c r="O28" s="93">
        <f t="shared" si="5"/>
        <v>2.7050654615783126E-5</v>
      </c>
      <c r="P28" s="93">
        <f t="shared" si="6"/>
        <v>0.83920802784311088</v>
      </c>
      <c r="Q28" s="93">
        <f t="shared" si="7"/>
        <v>0.59102913343569752</v>
      </c>
      <c r="R28" s="93">
        <f t="shared" si="8"/>
        <v>0.83920802784311088</v>
      </c>
      <c r="S28" s="93">
        <f t="shared" si="9"/>
        <v>0.34931543656975156</v>
      </c>
      <c r="T28" s="93">
        <f t="shared" si="10"/>
        <v>0.76878419171812939</v>
      </c>
      <c r="U28" s="93">
        <f t="shared" si="11"/>
        <v>0.59102913343569752</v>
      </c>
      <c r="V28" s="93">
        <f t="shared" si="12"/>
        <v>2.7050654615783126E-5</v>
      </c>
      <c r="W28" s="93">
        <f t="shared" si="13"/>
        <v>0.17325919672143456</v>
      </c>
      <c r="X28" s="93">
        <f t="shared" si="14"/>
        <v>0.59102913343569752</v>
      </c>
      <c r="Y28" s="93">
        <f t="shared" si="15"/>
        <v>0.59102913343569752</v>
      </c>
      <c r="Z28" s="93">
        <f t="shared" si="16"/>
        <v>0.59102913343569752</v>
      </c>
      <c r="AA28" s="93">
        <f t="shared" si="17"/>
        <v>0.59102913343569752</v>
      </c>
      <c r="AB28" s="93">
        <f t="shared" si="18"/>
        <v>0.34931543656975156</v>
      </c>
      <c r="AC28" s="93">
        <f t="shared" si="19"/>
        <v>0.34931543656975156</v>
      </c>
      <c r="AD28" s="93">
        <f t="shared" si="20"/>
        <v>0.59102913343569752</v>
      </c>
      <c r="AE28" s="93">
        <f t="shared" si="21"/>
        <v>7.2118127966462817E-2</v>
      </c>
      <c r="AF28" s="93">
        <f t="shared" si="22"/>
        <v>7.2118127966462817E-2</v>
      </c>
      <c r="AG28" s="93">
        <f t="shared" si="23"/>
        <v>0.34931543656975156</v>
      </c>
      <c r="AH28" s="93">
        <f t="shared" si="24"/>
        <v>0.34931543656975156</v>
      </c>
      <c r="AI28" s="93">
        <f t="shared" si="25"/>
        <v>0.83920802784311088</v>
      </c>
      <c r="AJ28" s="93">
        <f t="shared" si="26"/>
        <v>0.34931543656975156</v>
      </c>
      <c r="AK28" s="93">
        <f t="shared" si="27"/>
        <v>5.2010243813871062E-3</v>
      </c>
      <c r="AL28" s="93">
        <f t="shared" si="28"/>
        <v>7.2118127966462817E-2</v>
      </c>
      <c r="AM28" s="93">
        <f t="shared" si="29"/>
        <v>0.34931543656975156</v>
      </c>
      <c r="AN28" s="93">
        <f t="shared" si="30"/>
        <v>5.2010243813871062E-3</v>
      </c>
      <c r="AO28" s="260">
        <f t="shared" si="39"/>
        <v>0.13963736932881904</v>
      </c>
      <c r="AP28" s="261">
        <f t="shared" si="40"/>
        <v>0.43766305206422179</v>
      </c>
      <c r="AQ28" s="262">
        <f t="shared" si="41"/>
        <v>0.89537528106783515</v>
      </c>
      <c r="AR28" s="263">
        <f t="shared" si="42"/>
        <v>2.4889747978208612E-2</v>
      </c>
      <c r="AS28" s="260">
        <f t="shared" si="43"/>
        <v>1.3619687492447924E-3</v>
      </c>
      <c r="AT28" s="260">
        <f t="shared" si="38"/>
        <v>0.99863803125075523</v>
      </c>
    </row>
    <row r="29" spans="2:46" ht="12" customHeight="1">
      <c r="B29" s="79">
        <v>28</v>
      </c>
      <c r="C29" s="96" t="s">
        <v>49</v>
      </c>
      <c r="D29" s="50" t="s">
        <v>213</v>
      </c>
      <c r="E29" s="216">
        <f>CM!G30</f>
        <v>2.022653721682848E-4</v>
      </c>
      <c r="F29" s="216"/>
      <c r="G29" s="218">
        <f t="shared" si="36"/>
        <v>5.4611650485436893</v>
      </c>
      <c r="H29" s="215">
        <f t="shared" si="37"/>
        <v>1125</v>
      </c>
      <c r="I29" s="92">
        <v>27000</v>
      </c>
      <c r="J29" s="93">
        <f t="shared" si="0"/>
        <v>0.83356896817673753</v>
      </c>
      <c r="K29" s="93">
        <f t="shared" si="1"/>
        <v>0.33546655663205238</v>
      </c>
      <c r="L29" s="93">
        <f t="shared" si="2"/>
        <v>0.45832972261741717</v>
      </c>
      <c r="M29" s="93">
        <f t="shared" si="3"/>
        <v>0.83356896817673753</v>
      </c>
      <c r="N29" s="93">
        <f t="shared" si="4"/>
        <v>0.25530630409829963</v>
      </c>
      <c r="O29" s="93">
        <f t="shared" si="5"/>
        <v>1.8050627719483755E-5</v>
      </c>
      <c r="P29" s="93">
        <f t="shared" si="6"/>
        <v>0.83356896817673753</v>
      </c>
      <c r="Q29" s="93">
        <f t="shared" si="7"/>
        <v>0.57919474844999452</v>
      </c>
      <c r="R29" s="93">
        <f t="shared" si="8"/>
        <v>0.83356896817673753</v>
      </c>
      <c r="S29" s="93">
        <f t="shared" si="9"/>
        <v>0.33546655663205238</v>
      </c>
      <c r="T29" s="93">
        <f t="shared" si="10"/>
        <v>0.7610484534180425</v>
      </c>
      <c r="U29" s="93">
        <f t="shared" si="11"/>
        <v>0.57919474844999452</v>
      </c>
      <c r="V29" s="93">
        <f t="shared" si="12"/>
        <v>1.8050627719483755E-5</v>
      </c>
      <c r="W29" s="93">
        <f t="shared" si="13"/>
        <v>0.16196284052856222</v>
      </c>
      <c r="X29" s="93">
        <f t="shared" si="14"/>
        <v>0.57919474844999452</v>
      </c>
      <c r="Y29" s="93">
        <f t="shared" si="15"/>
        <v>0.57919474844999452</v>
      </c>
      <c r="Z29" s="93">
        <f t="shared" si="16"/>
        <v>0.57919474844999452</v>
      </c>
      <c r="AA29" s="93">
        <f t="shared" si="17"/>
        <v>0.57919474844999452</v>
      </c>
      <c r="AB29" s="93">
        <f t="shared" si="18"/>
        <v>0.33546655663205238</v>
      </c>
      <c r="AC29" s="93">
        <f t="shared" si="19"/>
        <v>0.33546655663205238</v>
      </c>
      <c r="AD29" s="93">
        <f t="shared" si="20"/>
        <v>0.57919474844999452</v>
      </c>
      <c r="AE29" s="93">
        <f t="shared" si="21"/>
        <v>6.5181308912333438E-2</v>
      </c>
      <c r="AF29" s="93">
        <f t="shared" si="22"/>
        <v>6.5181308912333438E-2</v>
      </c>
      <c r="AG29" s="93">
        <f t="shared" si="23"/>
        <v>0.33546655663205238</v>
      </c>
      <c r="AH29" s="93">
        <f t="shared" si="24"/>
        <v>0.33546655663205238</v>
      </c>
      <c r="AI29" s="93">
        <f t="shared" si="25"/>
        <v>0.83356896817673753</v>
      </c>
      <c r="AJ29" s="93">
        <f t="shared" si="26"/>
        <v>0.33546655663205238</v>
      </c>
      <c r="AK29" s="93">
        <f t="shared" si="27"/>
        <v>4.2486030315250396E-3</v>
      </c>
      <c r="AL29" s="93">
        <f t="shared" si="28"/>
        <v>6.5181308912333438E-2</v>
      </c>
      <c r="AM29" s="93">
        <f t="shared" si="29"/>
        <v>0.33546655663205238</v>
      </c>
      <c r="AN29" s="93">
        <f t="shared" si="30"/>
        <v>4.2486030315250396E-3</v>
      </c>
      <c r="AO29" s="260">
        <f t="shared" si="39"/>
        <v>0.12924346306732828</v>
      </c>
      <c r="AP29" s="261">
        <f t="shared" si="40"/>
        <v>0.42296170185611082</v>
      </c>
      <c r="AQ29" s="262">
        <f t="shared" si="41"/>
        <v>0.88940109702789882</v>
      </c>
      <c r="AR29" s="263">
        <f t="shared" si="42"/>
        <v>2.1044955705319154E-2</v>
      </c>
      <c r="AS29" s="260">
        <f t="shared" si="43"/>
        <v>1.0231876936202199E-3</v>
      </c>
      <c r="AT29" s="260">
        <f t="shared" si="38"/>
        <v>0.9989768123063798</v>
      </c>
    </row>
    <row r="30" spans="2:46" ht="12" customHeight="1">
      <c r="B30" s="79">
        <v>29</v>
      </c>
      <c r="C30" s="96" t="s">
        <v>44</v>
      </c>
      <c r="D30" s="52" t="s">
        <v>220</v>
      </c>
      <c r="E30" s="216">
        <f>CM!G31</f>
        <v>1.011326860841424E-4</v>
      </c>
      <c r="F30" s="216"/>
      <c r="G30" s="218">
        <f t="shared" si="36"/>
        <v>5.6634304207119746</v>
      </c>
      <c r="H30" s="215">
        <f t="shared" si="37"/>
        <v>1166.6666666666667</v>
      </c>
      <c r="I30" s="92">
        <v>28000</v>
      </c>
      <c r="J30" s="93">
        <f t="shared" si="0"/>
        <v>0.82796780018068428</v>
      </c>
      <c r="K30" s="93">
        <f t="shared" si="1"/>
        <v>0.32216672622223019</v>
      </c>
      <c r="L30" s="93">
        <f t="shared" si="2"/>
        <v>0.44527576653451428</v>
      </c>
      <c r="M30" s="93">
        <f t="shared" si="3"/>
        <v>0.82796780018068428</v>
      </c>
      <c r="N30" s="93">
        <f t="shared" si="4"/>
        <v>0.24271736849352094</v>
      </c>
      <c r="O30" s="93">
        <f t="shared" si="5"/>
        <v>1.204500096930323E-5</v>
      </c>
      <c r="P30" s="93">
        <f t="shared" si="6"/>
        <v>0.82796780018068428</v>
      </c>
      <c r="Q30" s="93">
        <f t="shared" si="7"/>
        <v>0.567597327532671</v>
      </c>
      <c r="R30" s="93">
        <f t="shared" si="8"/>
        <v>0.82796780018068428</v>
      </c>
      <c r="S30" s="93">
        <f t="shared" si="9"/>
        <v>0.32216672622223019</v>
      </c>
      <c r="T30" s="93">
        <f t="shared" si="10"/>
        <v>0.75339055444880043</v>
      </c>
      <c r="U30" s="93">
        <f t="shared" si="11"/>
        <v>0.567597327532671</v>
      </c>
      <c r="V30" s="93">
        <f t="shared" si="12"/>
        <v>1.204500096930323E-5</v>
      </c>
      <c r="W30" s="93">
        <f t="shared" si="13"/>
        <v>0.1514029974077285</v>
      </c>
      <c r="X30" s="93">
        <f t="shared" si="14"/>
        <v>0.567597327532671</v>
      </c>
      <c r="Y30" s="93">
        <f t="shared" si="15"/>
        <v>0.567597327532671</v>
      </c>
      <c r="Z30" s="93">
        <f t="shared" si="16"/>
        <v>0.567597327532671</v>
      </c>
      <c r="AA30" s="93">
        <f t="shared" si="17"/>
        <v>0.567597327532671</v>
      </c>
      <c r="AB30" s="93">
        <f t="shared" si="18"/>
        <v>0.32216672622223019</v>
      </c>
      <c r="AC30" s="93">
        <f t="shared" si="19"/>
        <v>0.32216672622223019</v>
      </c>
      <c r="AD30" s="93">
        <f t="shared" si="20"/>
        <v>0.567597327532671</v>
      </c>
      <c r="AE30" s="93">
        <f t="shared" si="21"/>
        <v>5.891172096841963E-2</v>
      </c>
      <c r="AF30" s="93">
        <f t="shared" si="22"/>
        <v>5.891172096841963E-2</v>
      </c>
      <c r="AG30" s="93">
        <f t="shared" si="23"/>
        <v>0.32216672622223019</v>
      </c>
      <c r="AH30" s="93">
        <f t="shared" si="24"/>
        <v>0.32216672622223019</v>
      </c>
      <c r="AI30" s="93">
        <f t="shared" si="25"/>
        <v>0.82796780018068428</v>
      </c>
      <c r="AJ30" s="93">
        <f t="shared" si="26"/>
        <v>0.32216672622223019</v>
      </c>
      <c r="AK30" s="93">
        <f t="shared" si="27"/>
        <v>3.4705908674609329E-3</v>
      </c>
      <c r="AL30" s="93">
        <f t="shared" si="28"/>
        <v>5.891172096841963E-2</v>
      </c>
      <c r="AM30" s="93">
        <f t="shared" si="29"/>
        <v>0.32216672622223019</v>
      </c>
      <c r="AN30" s="93">
        <f t="shared" si="30"/>
        <v>3.4705908674609329E-3</v>
      </c>
      <c r="AO30" s="260">
        <f t="shared" si="39"/>
        <v>0.11964179355211069</v>
      </c>
      <c r="AP30" s="261">
        <f t="shared" si="40"/>
        <v>0.40872907234975475</v>
      </c>
      <c r="AQ30" s="262">
        <f t="shared" si="41"/>
        <v>0.88339090241725449</v>
      </c>
      <c r="AR30" s="263">
        <f t="shared" si="42"/>
        <v>1.7791555039843945E-2</v>
      </c>
      <c r="AS30" s="260">
        <f t="shared" si="43"/>
        <v>7.685732685893781E-4</v>
      </c>
      <c r="AT30" s="260">
        <f t="shared" si="38"/>
        <v>0.99923142673141063</v>
      </c>
    </row>
    <row r="31" spans="2:46" ht="12" customHeight="1">
      <c r="B31" s="79">
        <v>30</v>
      </c>
      <c r="C31" s="96" t="s">
        <v>45</v>
      </c>
      <c r="D31" s="52" t="s">
        <v>221</v>
      </c>
      <c r="E31" s="216">
        <f>CM!G32</f>
        <v>4.0453074433656958E-5</v>
      </c>
      <c r="F31" s="216"/>
      <c r="G31" s="218">
        <f t="shared" si="36"/>
        <v>5.8656957928802589</v>
      </c>
      <c r="H31" s="215">
        <f t="shared" si="37"/>
        <v>1208.3333333333333</v>
      </c>
      <c r="I31" s="92">
        <v>29000</v>
      </c>
      <c r="J31" s="93">
        <f t="shared" si="0"/>
        <v>0.82240426924181254</v>
      </c>
      <c r="K31" s="93">
        <f t="shared" si="1"/>
        <v>0.30939417784822681</v>
      </c>
      <c r="L31" s="93">
        <f t="shared" si="2"/>
        <v>0.43259360778659806</v>
      </c>
      <c r="M31" s="93">
        <f t="shared" si="3"/>
        <v>0.82240426924181254</v>
      </c>
      <c r="N31" s="93">
        <f t="shared" si="4"/>
        <v>0.23074918254167778</v>
      </c>
      <c r="O31" s="93">
        <f t="shared" si="5"/>
        <v>8.0375070942222795E-6</v>
      </c>
      <c r="P31" s="93">
        <f t="shared" si="6"/>
        <v>0.82240426924181254</v>
      </c>
      <c r="Q31" s="93">
        <f t="shared" si="7"/>
        <v>0.55623212586853232</v>
      </c>
      <c r="R31" s="93">
        <f t="shared" si="8"/>
        <v>0.82240426924181254</v>
      </c>
      <c r="S31" s="93">
        <f t="shared" si="9"/>
        <v>0.30939417784822681</v>
      </c>
      <c r="T31" s="93">
        <f t="shared" si="10"/>
        <v>0.74580971156759035</v>
      </c>
      <c r="U31" s="93">
        <f t="shared" si="11"/>
        <v>0.55623212586853232</v>
      </c>
      <c r="V31" s="93">
        <f t="shared" si="12"/>
        <v>8.0375070942222795E-6</v>
      </c>
      <c r="W31" s="93">
        <f t="shared" si="13"/>
        <v>0.141531647316362</v>
      </c>
      <c r="X31" s="93">
        <f t="shared" si="14"/>
        <v>0.55623212586853232</v>
      </c>
      <c r="Y31" s="93">
        <f t="shared" si="15"/>
        <v>0.55623212586853232</v>
      </c>
      <c r="Z31" s="93">
        <f t="shared" si="16"/>
        <v>0.55623212586853232</v>
      </c>
      <c r="AA31" s="93">
        <f t="shared" si="17"/>
        <v>0.55623212586853232</v>
      </c>
      <c r="AB31" s="93">
        <f t="shared" si="18"/>
        <v>0.30939417784822681</v>
      </c>
      <c r="AC31" s="93">
        <f t="shared" si="19"/>
        <v>0.30939417784822681</v>
      </c>
      <c r="AD31" s="93">
        <f t="shared" si="20"/>
        <v>0.55623212586853232</v>
      </c>
      <c r="AE31" s="93">
        <f t="shared" si="21"/>
        <v>5.3245185243652536E-2</v>
      </c>
      <c r="AF31" s="93">
        <f t="shared" si="22"/>
        <v>5.3245185243652536E-2</v>
      </c>
      <c r="AG31" s="93">
        <f t="shared" si="23"/>
        <v>0.30939417784822681</v>
      </c>
      <c r="AH31" s="93">
        <f t="shared" si="24"/>
        <v>0.30939417784822681</v>
      </c>
      <c r="AI31" s="93">
        <f t="shared" si="25"/>
        <v>0.82240426924181254</v>
      </c>
      <c r="AJ31" s="93">
        <f t="shared" si="26"/>
        <v>0.30939417784822681</v>
      </c>
      <c r="AK31" s="93">
        <f t="shared" si="27"/>
        <v>2.8350497516308739E-3</v>
      </c>
      <c r="AL31" s="93">
        <f t="shared" si="28"/>
        <v>5.3245185243652536E-2</v>
      </c>
      <c r="AM31" s="93">
        <f t="shared" si="29"/>
        <v>0.30939417784822681</v>
      </c>
      <c r="AN31" s="93">
        <f t="shared" si="30"/>
        <v>2.8350497516308739E-3</v>
      </c>
      <c r="AO31" s="260">
        <f t="shared" si="39"/>
        <v>0.1107687423792086</v>
      </c>
      <c r="AP31" s="261">
        <f t="shared" si="40"/>
        <v>0.39495366078155458</v>
      </c>
      <c r="AQ31" s="262">
        <f t="shared" si="41"/>
        <v>0.87735138609336349</v>
      </c>
      <c r="AR31" s="263">
        <f t="shared" si="42"/>
        <v>1.5039367712824691E-2</v>
      </c>
      <c r="AS31" s="260">
        <f t="shared" si="43"/>
        <v>5.7725341793755578E-4</v>
      </c>
      <c r="AT31" s="260">
        <f t="shared" si="38"/>
        <v>0.99942274658206243</v>
      </c>
    </row>
    <row r="32" spans="2:46" ht="12" customHeight="1">
      <c r="B32" s="79">
        <v>31</v>
      </c>
      <c r="C32" s="96" t="s">
        <v>48</v>
      </c>
      <c r="D32" s="53" t="s">
        <v>442</v>
      </c>
      <c r="E32" s="216">
        <f>CM!G33</f>
        <v>2.022653721682848E-4</v>
      </c>
      <c r="F32" s="216"/>
      <c r="G32" s="226">
        <f t="shared" si="36"/>
        <v>6.0679611650485441</v>
      </c>
      <c r="H32" s="227">
        <f t="shared" si="37"/>
        <v>1250</v>
      </c>
      <c r="I32" s="228">
        <v>30000</v>
      </c>
      <c r="J32" s="93">
        <f t="shared" si="0"/>
        <v>0.81687812245785718</v>
      </c>
      <c r="K32" s="93">
        <f t="shared" si="1"/>
        <v>0.29712800700699721</v>
      </c>
      <c r="L32" s="93">
        <f t="shared" si="2"/>
        <v>0.42027265699697508</v>
      </c>
      <c r="M32" s="93">
        <f t="shared" si="3"/>
        <v>0.81687812245785718</v>
      </c>
      <c r="N32" s="93">
        <f t="shared" si="4"/>
        <v>0.21937113760803587</v>
      </c>
      <c r="O32" s="93">
        <f t="shared" si="5"/>
        <v>5.3633470395154636E-6</v>
      </c>
      <c r="P32" s="93">
        <f t="shared" si="6"/>
        <v>0.81687812245785718</v>
      </c>
      <c r="Q32" s="93">
        <f t="shared" si="7"/>
        <v>0.54509449364949303</v>
      </c>
      <c r="R32" s="93">
        <f t="shared" si="8"/>
        <v>0.81687812245785718</v>
      </c>
      <c r="S32" s="93">
        <f t="shared" si="9"/>
        <v>0.29712800700699721</v>
      </c>
      <c r="T32" s="93">
        <f t="shared" si="10"/>
        <v>0.73830514941282444</v>
      </c>
      <c r="U32" s="93">
        <f t="shared" si="11"/>
        <v>0.54509449364949303</v>
      </c>
      <c r="V32" s="93">
        <f t="shared" si="12"/>
        <v>5.3633470395154636E-6</v>
      </c>
      <c r="W32" s="93">
        <f t="shared" si="13"/>
        <v>0.13230390107891327</v>
      </c>
      <c r="X32" s="93">
        <f t="shared" si="14"/>
        <v>0.54509449364949303</v>
      </c>
      <c r="Y32" s="93">
        <f t="shared" si="15"/>
        <v>0.54509449364949303</v>
      </c>
      <c r="Z32" s="93">
        <f t="shared" si="16"/>
        <v>0.54509449364949303</v>
      </c>
      <c r="AA32" s="93">
        <f t="shared" si="17"/>
        <v>0.54509449364949303</v>
      </c>
      <c r="AB32" s="93">
        <f t="shared" si="18"/>
        <v>0.29712800700699721</v>
      </c>
      <c r="AC32" s="93">
        <f t="shared" si="19"/>
        <v>0.29712800700699721</v>
      </c>
      <c r="AD32" s="93">
        <f t="shared" si="20"/>
        <v>0.54509449364949303</v>
      </c>
      <c r="AE32" s="93">
        <f t="shared" si="21"/>
        <v>4.81236960154438E-2</v>
      </c>
      <c r="AF32" s="93">
        <f t="shared" si="22"/>
        <v>4.81236960154438E-2</v>
      </c>
      <c r="AG32" s="93">
        <f t="shared" si="23"/>
        <v>0.29712800700699721</v>
      </c>
      <c r="AH32" s="93">
        <f t="shared" si="24"/>
        <v>0.29712800700699721</v>
      </c>
      <c r="AI32" s="93">
        <f t="shared" si="25"/>
        <v>0.81687812245785718</v>
      </c>
      <c r="AJ32" s="93">
        <f t="shared" si="26"/>
        <v>0.29712800700699721</v>
      </c>
      <c r="AK32" s="93">
        <f t="shared" si="27"/>
        <v>2.3158901181868415E-3</v>
      </c>
      <c r="AL32" s="93">
        <f t="shared" si="28"/>
        <v>4.81236960154438E-2</v>
      </c>
      <c r="AM32" s="93">
        <f t="shared" si="29"/>
        <v>0.29712800700699721</v>
      </c>
      <c r="AN32" s="93">
        <f t="shared" si="30"/>
        <v>2.3158901181868415E-3</v>
      </c>
      <c r="AO32" s="260">
        <f t="shared" si="39"/>
        <v>0.10256630705711504</v>
      </c>
      <c r="AP32" s="261">
        <f t="shared" si="40"/>
        <v>0.38162383782570153</v>
      </c>
      <c r="AQ32" s="262">
        <f t="shared" si="41"/>
        <v>0.87128878044285818</v>
      </c>
      <c r="AR32" s="263">
        <f t="shared" si="42"/>
        <v>1.2711720688215026E-2</v>
      </c>
      <c r="AS32" s="260">
        <f t="shared" si="43"/>
        <v>4.3351754329206635E-4</v>
      </c>
      <c r="AT32" s="260">
        <f t="shared" si="38"/>
        <v>0.99956648245670798</v>
      </c>
    </row>
    <row r="33" spans="2:46" ht="12" customHeight="1">
      <c r="B33" s="99"/>
      <c r="C33" s="99"/>
      <c r="D33" s="217"/>
      <c r="E33" s="217"/>
      <c r="F33" s="217"/>
      <c r="G33" s="218">
        <f t="shared" si="36"/>
        <v>6.2702265372168284</v>
      </c>
      <c r="H33" s="215">
        <f t="shared" si="37"/>
        <v>1291.6666666666667</v>
      </c>
      <c r="I33" s="92">
        <v>31000</v>
      </c>
      <c r="J33" s="93">
        <f t="shared" si="0"/>
        <v>0.81138910862593039</v>
      </c>
      <c r="K33" s="93">
        <f t="shared" si="1"/>
        <v>0.28534813797064534</v>
      </c>
      <c r="L33" s="93">
        <f t="shared" si="2"/>
        <v>0.40830262639116388</v>
      </c>
      <c r="M33" s="93">
        <f t="shared" si="3"/>
        <v>0.81138910862593039</v>
      </c>
      <c r="N33" s="93">
        <f t="shared" si="4"/>
        <v>0.20855413434347372</v>
      </c>
      <c r="O33" s="93">
        <f t="shared" si="5"/>
        <v>3.5789071324064223E-6</v>
      </c>
      <c r="P33" s="93">
        <f t="shared" si="6"/>
        <v>0.81138910862593039</v>
      </c>
      <c r="Q33" s="93">
        <f t="shared" si="7"/>
        <v>0.5341798741722168</v>
      </c>
      <c r="R33" s="93">
        <f t="shared" si="8"/>
        <v>0.81138910862593039</v>
      </c>
      <c r="S33" s="93">
        <f t="shared" si="9"/>
        <v>0.28534813797064534</v>
      </c>
      <c r="T33" s="93">
        <f t="shared" si="10"/>
        <v>0.7308761004248373</v>
      </c>
      <c r="U33" s="93">
        <f t="shared" si="11"/>
        <v>0.5341798741722168</v>
      </c>
      <c r="V33" s="93">
        <f t="shared" si="12"/>
        <v>3.5789071324064223E-6</v>
      </c>
      <c r="W33" s="93">
        <f t="shared" si="13"/>
        <v>0.12367779625691711</v>
      </c>
      <c r="X33" s="93">
        <f t="shared" si="14"/>
        <v>0.5341798741722168</v>
      </c>
      <c r="Y33" s="93">
        <f t="shared" si="15"/>
        <v>0.5341798741722168</v>
      </c>
      <c r="Z33" s="93">
        <f t="shared" si="16"/>
        <v>0.5341798741722168</v>
      </c>
      <c r="AA33" s="93">
        <f t="shared" si="17"/>
        <v>0.5341798741722168</v>
      </c>
      <c r="AB33" s="93">
        <f t="shared" si="18"/>
        <v>0.28534813797064534</v>
      </c>
      <c r="AC33" s="93">
        <f t="shared" si="19"/>
        <v>0.28534813797064534</v>
      </c>
      <c r="AD33" s="93">
        <f t="shared" si="20"/>
        <v>0.5341798741722168</v>
      </c>
      <c r="AE33" s="93">
        <f t="shared" si="21"/>
        <v>4.3494826951755688E-2</v>
      </c>
      <c r="AF33" s="93">
        <f t="shared" si="22"/>
        <v>4.3494826951755688E-2</v>
      </c>
      <c r="AG33" s="93">
        <f t="shared" si="23"/>
        <v>0.28534813797064534</v>
      </c>
      <c r="AH33" s="93">
        <f t="shared" si="24"/>
        <v>0.28534813797064534</v>
      </c>
      <c r="AI33" s="93">
        <f t="shared" si="25"/>
        <v>0.81138910862593039</v>
      </c>
      <c r="AJ33" s="93">
        <f t="shared" si="26"/>
        <v>0.28534813797064534</v>
      </c>
      <c r="AK33" s="93">
        <f t="shared" si="27"/>
        <v>1.891799971563173E-3</v>
      </c>
      <c r="AL33" s="93">
        <f t="shared" si="28"/>
        <v>4.3494826951755688E-2</v>
      </c>
      <c r="AM33" s="93">
        <f t="shared" si="29"/>
        <v>0.28534813797064534</v>
      </c>
      <c r="AN33" s="93">
        <f t="shared" si="30"/>
        <v>1.891799971563173E-3</v>
      </c>
      <c r="AO33" s="260">
        <f t="shared" si="39"/>
        <v>9.4981542122430415E-2</v>
      </c>
      <c r="AP33" s="261">
        <f t="shared" si="40"/>
        <v>0.36872790437163599</v>
      </c>
      <c r="AQ33" s="262">
        <f t="shared" si="41"/>
        <v>0.86520888719482048</v>
      </c>
      <c r="AR33" s="263">
        <f t="shared" si="42"/>
        <v>1.0743500489648946E-2</v>
      </c>
      <c r="AS33" s="260">
        <f t="shared" si="43"/>
        <v>3.2554572852399889E-4</v>
      </c>
      <c r="AT33" s="260">
        <f t="shared" si="38"/>
        <v>0.99967445427147605</v>
      </c>
    </row>
    <row r="34" spans="2:46" ht="12" customHeight="1">
      <c r="G34" s="218">
        <f t="shared" si="36"/>
        <v>6.4724919093851128</v>
      </c>
      <c r="H34" s="215">
        <f t="shared" si="37"/>
        <v>1333.3333333333333</v>
      </c>
      <c r="I34" s="92">
        <v>32000</v>
      </c>
      <c r="J34" s="93">
        <f t="shared" ref="J34:J65" si="44">EXP(-($E$2*$I34))</f>
        <v>0.80593697823110244</v>
      </c>
      <c r="K34" s="93">
        <f t="shared" ref="K34:K65" si="45">EXP(-($E$3*$I34))</f>
        <v>0.27403529092899337</v>
      </c>
      <c r="L34" s="93">
        <f t="shared" ref="L34:L65" si="46">EXP(-($E$4*$I34))</f>
        <v>0.39667352120678712</v>
      </c>
      <c r="M34" s="93">
        <f t="shared" ref="M34:M65" si="47">EXP(-($E$5*$I34))</f>
        <v>0.80593697823110244</v>
      </c>
      <c r="N34" s="93">
        <f t="shared" ref="N34:N65" si="48">EXP(-($E$6*$I34))</f>
        <v>0.19827050826289924</v>
      </c>
      <c r="O34" s="93">
        <f t="shared" ref="O34:O65" si="49">EXP(-($E$7*$I34))</f>
        <v>2.3881684642108661E-6</v>
      </c>
      <c r="P34" s="93">
        <f t="shared" ref="P34:P65" si="50">EXP(-($E$8*$I34))</f>
        <v>0.80593697823110244</v>
      </c>
      <c r="Q34" s="93">
        <f t="shared" ref="Q34:Q65" si="51">EXP(-($E$9*$I34))</f>
        <v>0.52348380197384647</v>
      </c>
      <c r="R34" s="93">
        <f t="shared" ref="R34:R65" si="52">EXP(-($E$10*$I34))</f>
        <v>0.80593697823110244</v>
      </c>
      <c r="S34" s="93">
        <f t="shared" ref="S34:S65" si="53">EXP(-($E$11*$I34))</f>
        <v>0.27403529092899337</v>
      </c>
      <c r="T34" s="93">
        <f t="shared" ref="T34:T65" si="54">EXP(-($E$12*$I34))</f>
        <v>0.72352180476737982</v>
      </c>
      <c r="U34" s="93">
        <f t="shared" ref="U34:U65" si="55">EXP(-($E$13*$I34))</f>
        <v>0.52348380197384647</v>
      </c>
      <c r="V34" s="93">
        <f t="shared" ref="V34:V65" si="56">EXP(-($E$14*$I34))</f>
        <v>2.3881684642108661E-6</v>
      </c>
      <c r="W34" s="93">
        <f t="shared" ref="W34:W65" si="57">EXP(-($E$15*$I34))</f>
        <v>0.11561410632815738</v>
      </c>
      <c r="X34" s="93">
        <f t="shared" ref="X34:X65" si="58">EXP(-($E$16*$I34))</f>
        <v>0.52348380197384647</v>
      </c>
      <c r="Y34" s="93">
        <f t="shared" ref="Y34:Y65" si="59">EXP(-($E$17*$I34))</f>
        <v>0.52348380197384647</v>
      </c>
      <c r="Z34" s="93">
        <f t="shared" ref="Z34:Z65" si="60">EXP(-($E$18*$I34))</f>
        <v>0.52348380197384647</v>
      </c>
      <c r="AA34" s="93">
        <f t="shared" ref="AA34:AA65" si="61">EXP(-($E$19*$I34))</f>
        <v>0.52348380197384647</v>
      </c>
      <c r="AB34" s="93">
        <f t="shared" ref="AB34:AB65" si="62">EXP(-($E$20*$I34))</f>
        <v>0.27403529092899337</v>
      </c>
      <c r="AC34" s="93">
        <f t="shared" ref="AC34:AC65" si="63">EXP(-($E$21*$I34))</f>
        <v>0.27403529092899337</v>
      </c>
      <c r="AD34" s="93">
        <f t="shared" ref="AD34:AD65" si="64">EXP(-($E$22*$I34))</f>
        <v>0.52348380197384647</v>
      </c>
      <c r="AE34" s="93">
        <f t="shared" ref="AE34:AE65" si="65">EXP(-($E$23*$I34))</f>
        <v>3.9311194446828394E-2</v>
      </c>
      <c r="AF34" s="93">
        <f t="shared" ref="AF34:AF65" si="66">EXP(-($E$24*$I34))</f>
        <v>3.9311194446828394E-2</v>
      </c>
      <c r="AG34" s="93">
        <f t="shared" ref="AG34:AG65" si="67">EXP(-($E$25*$I34))</f>
        <v>0.27403529092899337</v>
      </c>
      <c r="AH34" s="93">
        <f t="shared" ref="AH34:AH65" si="68">EXP(-($E$26*$I34))</f>
        <v>0.27403529092899337</v>
      </c>
      <c r="AI34" s="93">
        <f t="shared" ref="AI34:AI65" si="69">EXP(-($E$27*$I34))</f>
        <v>0.80593697823110244</v>
      </c>
      <c r="AJ34" s="93">
        <f t="shared" ref="AJ34:AJ65" si="70">EXP(-($E$28*$I34))</f>
        <v>0.27403529092899337</v>
      </c>
      <c r="AK34" s="93">
        <f t="shared" ref="AK34:AK65" si="71">EXP(-($E$29*$I34))</f>
        <v>1.5453700088363517E-3</v>
      </c>
      <c r="AL34" s="93">
        <f t="shared" ref="AL34:AL65" si="72">EXP(-($E$30*$I34))</f>
        <v>3.9311194446828394E-2</v>
      </c>
      <c r="AM34" s="93">
        <f t="shared" ref="AM34:AM65" si="73">EXP(-($E$31*$I34))</f>
        <v>0.27403529092899337</v>
      </c>
      <c r="AN34" s="93">
        <f t="shared" ref="AN34:AN65" si="74">EXP(-($E$32*$I34))</f>
        <v>1.5453700088363517E-3</v>
      </c>
      <c r="AO34" s="260">
        <f t="shared" si="39"/>
        <v>8.7966059120068302E-2</v>
      </c>
      <c r="AP34" s="261">
        <f t="shared" si="40"/>
        <v>0.35625414186987686</v>
      </c>
      <c r="AQ34" s="262">
        <f t="shared" si="41"/>
        <v>0.85911710213364656</v>
      </c>
      <c r="AR34" s="263">
        <f t="shared" si="42"/>
        <v>9.0794634670809098E-3</v>
      </c>
      <c r="AS34" s="260">
        <f t="shared" si="43"/>
        <v>2.4444863032845645E-4</v>
      </c>
      <c r="AT34" s="260">
        <f t="shared" si="38"/>
        <v>0.99975555136967154</v>
      </c>
    </row>
    <row r="35" spans="2:46" ht="12" customHeight="1">
      <c r="G35" s="218">
        <f t="shared" si="36"/>
        <v>6.674757281553398</v>
      </c>
      <c r="H35" s="215">
        <f t="shared" si="37"/>
        <v>1375</v>
      </c>
      <c r="I35" s="92">
        <v>33000</v>
      </c>
      <c r="J35" s="93">
        <f t="shared" si="44"/>
        <v>0.80052148343505958</v>
      </c>
      <c r="K35" s="93">
        <f t="shared" si="45"/>
        <v>0.26317095043480992</v>
      </c>
      <c r="L35" s="93">
        <f t="shared" si="46"/>
        <v>0.38537563134812258</v>
      </c>
      <c r="M35" s="93">
        <f t="shared" si="47"/>
        <v>0.80052148343505958</v>
      </c>
      <c r="N35" s="93">
        <f t="shared" si="48"/>
        <v>0.1884939589933311</v>
      </c>
      <c r="O35" s="93">
        <f t="shared" si="49"/>
        <v>1.5936006167381102E-6</v>
      </c>
      <c r="P35" s="93">
        <f t="shared" si="50"/>
        <v>0.80052148343505958</v>
      </c>
      <c r="Q35" s="93">
        <f t="shared" si="51"/>
        <v>0.51300190100506438</v>
      </c>
      <c r="R35" s="93">
        <f t="shared" si="52"/>
        <v>0.80052148343505958</v>
      </c>
      <c r="S35" s="93">
        <f t="shared" si="53"/>
        <v>0.26317095043480992</v>
      </c>
      <c r="T35" s="93">
        <f t="shared" si="54"/>
        <v>0.71624151024990479</v>
      </c>
      <c r="U35" s="93">
        <f t="shared" si="55"/>
        <v>0.51300190100506438</v>
      </c>
      <c r="V35" s="93">
        <f t="shared" si="56"/>
        <v>1.5936006167381102E-6</v>
      </c>
      <c r="W35" s="93">
        <f t="shared" si="57"/>
        <v>0.10807616230719273</v>
      </c>
      <c r="X35" s="93">
        <f t="shared" si="58"/>
        <v>0.51300190100506438</v>
      </c>
      <c r="Y35" s="93">
        <f t="shared" si="59"/>
        <v>0.51300190100506438</v>
      </c>
      <c r="Z35" s="93">
        <f t="shared" si="60"/>
        <v>0.51300190100506438</v>
      </c>
      <c r="AA35" s="93">
        <f t="shared" si="61"/>
        <v>0.51300190100506438</v>
      </c>
      <c r="AB35" s="93">
        <f t="shared" si="62"/>
        <v>0.26317095043480992</v>
      </c>
      <c r="AC35" s="93">
        <f t="shared" si="63"/>
        <v>0.26317095043480992</v>
      </c>
      <c r="AD35" s="93">
        <f t="shared" si="64"/>
        <v>0.51300190100506438</v>
      </c>
      <c r="AE35" s="93">
        <f t="shared" si="65"/>
        <v>3.5529972576979589E-2</v>
      </c>
      <c r="AF35" s="93">
        <f t="shared" si="66"/>
        <v>3.5529972576979589E-2</v>
      </c>
      <c r="AG35" s="93">
        <f t="shared" si="67"/>
        <v>0.26317095043480992</v>
      </c>
      <c r="AH35" s="93">
        <f t="shared" si="68"/>
        <v>0.26317095043480992</v>
      </c>
      <c r="AI35" s="93">
        <f t="shared" si="69"/>
        <v>0.80052148343505958</v>
      </c>
      <c r="AJ35" s="93">
        <f t="shared" si="70"/>
        <v>0.26317095043480992</v>
      </c>
      <c r="AK35" s="93">
        <f t="shared" si="71"/>
        <v>1.2623789513209218E-3</v>
      </c>
      <c r="AL35" s="93">
        <f t="shared" si="72"/>
        <v>3.5529972576979589E-2</v>
      </c>
      <c r="AM35" s="93">
        <f t="shared" si="73"/>
        <v>0.26317095043480992</v>
      </c>
      <c r="AN35" s="93">
        <f t="shared" si="74"/>
        <v>1.2623789513209218E-3</v>
      </c>
      <c r="AO35" s="260">
        <f t="shared" si="39"/>
        <v>8.147558057229265E-2</v>
      </c>
      <c r="AP35" s="261">
        <f t="shared" si="40"/>
        <v>0.34419085670339328</v>
      </c>
      <c r="AQ35" s="262">
        <f t="shared" si="41"/>
        <v>0.85301843866173932</v>
      </c>
      <c r="AR35" s="263">
        <f t="shared" si="42"/>
        <v>7.6727763112774796E-3</v>
      </c>
      <c r="AS35" s="260">
        <f t="shared" si="43"/>
        <v>1.8354296753641871E-4</v>
      </c>
      <c r="AT35" s="260">
        <f t="shared" si="38"/>
        <v>0.99981645703246358</v>
      </c>
    </row>
    <row r="36" spans="2:46" ht="12" customHeight="1">
      <c r="G36" s="218">
        <f t="shared" si="36"/>
        <v>6.8770226537216832</v>
      </c>
      <c r="H36" s="215">
        <f t="shared" si="37"/>
        <v>1416.6666666666667</v>
      </c>
      <c r="I36" s="92">
        <v>34000</v>
      </c>
      <c r="J36" s="93">
        <f t="shared" si="44"/>
        <v>0.79514237806483801</v>
      </c>
      <c r="K36" s="93">
        <f t="shared" si="45"/>
        <v>0.25273733510005186</v>
      </c>
      <c r="L36" s="93">
        <f t="shared" si="46"/>
        <v>0.37439952327834625</v>
      </c>
      <c r="M36" s="93">
        <f t="shared" si="47"/>
        <v>0.79514237806483801</v>
      </c>
      <c r="N36" s="93">
        <f t="shared" si="48"/>
        <v>0.17919948301069655</v>
      </c>
      <c r="O36" s="93">
        <f t="shared" si="49"/>
        <v>1.0633935435150471E-6</v>
      </c>
      <c r="P36" s="93">
        <f t="shared" si="50"/>
        <v>0.79514237806483801</v>
      </c>
      <c r="Q36" s="93">
        <f t="shared" si="51"/>
        <v>0.50272988283973319</v>
      </c>
      <c r="R36" s="93">
        <f t="shared" si="52"/>
        <v>0.79514237806483801</v>
      </c>
      <c r="S36" s="93">
        <f t="shared" si="53"/>
        <v>0.25273733510005186</v>
      </c>
      <c r="T36" s="93">
        <f t="shared" si="54"/>
        <v>0.70903447225063265</v>
      </c>
      <c r="U36" s="93">
        <f t="shared" si="55"/>
        <v>0.50272988283973319</v>
      </c>
      <c r="V36" s="93">
        <f t="shared" si="56"/>
        <v>1.0633935435150471E-6</v>
      </c>
      <c r="W36" s="93">
        <f t="shared" si="57"/>
        <v>0.10102968599607585</v>
      </c>
      <c r="X36" s="93">
        <f t="shared" si="58"/>
        <v>0.50272988283973319</v>
      </c>
      <c r="Y36" s="93">
        <f t="shared" si="59"/>
        <v>0.50272988283973319</v>
      </c>
      <c r="Z36" s="93">
        <f t="shared" si="60"/>
        <v>0.50272988283973319</v>
      </c>
      <c r="AA36" s="93">
        <f t="shared" si="61"/>
        <v>0.50272988283973319</v>
      </c>
      <c r="AB36" s="93">
        <f t="shared" si="62"/>
        <v>0.25273733510005186</v>
      </c>
      <c r="AC36" s="93">
        <f t="shared" si="63"/>
        <v>0.25273733510005186</v>
      </c>
      <c r="AD36" s="93">
        <f t="shared" si="64"/>
        <v>0.50272988283973319</v>
      </c>
      <c r="AE36" s="93">
        <f t="shared" si="65"/>
        <v>3.211245471130092E-2</v>
      </c>
      <c r="AF36" s="93">
        <f t="shared" si="66"/>
        <v>3.211245471130092E-2</v>
      </c>
      <c r="AG36" s="93">
        <f t="shared" si="67"/>
        <v>0.25273733510005186</v>
      </c>
      <c r="AH36" s="93">
        <f t="shared" si="68"/>
        <v>0.25273733510005186</v>
      </c>
      <c r="AI36" s="93">
        <f t="shared" si="69"/>
        <v>0.79514237806483801</v>
      </c>
      <c r="AJ36" s="93">
        <f t="shared" si="70"/>
        <v>0.25273733510005186</v>
      </c>
      <c r="AK36" s="93">
        <f t="shared" si="71"/>
        <v>1.0312097475853527E-3</v>
      </c>
      <c r="AL36" s="93">
        <f t="shared" si="72"/>
        <v>3.211245471130092E-2</v>
      </c>
      <c r="AM36" s="93">
        <f t="shared" si="73"/>
        <v>0.25273733510005186</v>
      </c>
      <c r="AN36" s="93">
        <f t="shared" si="74"/>
        <v>1.0312097475853527E-3</v>
      </c>
      <c r="AO36" s="260">
        <f t="shared" si="39"/>
        <v>7.5469542752365421E-2</v>
      </c>
      <c r="AP36" s="261">
        <f t="shared" si="40"/>
        <v>0.33252641905032454</v>
      </c>
      <c r="AQ36" s="262">
        <f t="shared" si="41"/>
        <v>0.84691755020158355</v>
      </c>
      <c r="AR36" s="263">
        <f t="shared" si="42"/>
        <v>6.483760865413254E-3</v>
      </c>
      <c r="AS36" s="260">
        <f t="shared" si="43"/>
        <v>1.3780532371052498E-4</v>
      </c>
      <c r="AT36" s="260">
        <f t="shared" si="38"/>
        <v>0.99986219467628945</v>
      </c>
    </row>
    <row r="37" spans="2:46" ht="12" customHeight="1">
      <c r="G37" s="218">
        <f t="shared" si="36"/>
        <v>7.0792880258899675</v>
      </c>
      <c r="H37" s="215">
        <f t="shared" si="37"/>
        <v>1458.3333333333333</v>
      </c>
      <c r="I37" s="92">
        <v>35000</v>
      </c>
      <c r="J37" s="93">
        <f t="shared" si="44"/>
        <v>0.78979941760163341</v>
      </c>
      <c r="K37" s="93">
        <f t="shared" si="45"/>
        <v>0.24271736849352094</v>
      </c>
      <c r="L37" s="93">
        <f t="shared" si="46"/>
        <v>0.36373603214269723</v>
      </c>
      <c r="M37" s="93">
        <f t="shared" si="47"/>
        <v>0.78979941760163341</v>
      </c>
      <c r="N37" s="93">
        <f t="shared" si="48"/>
        <v>0.17036330969332053</v>
      </c>
      <c r="O37" s="93">
        <f t="shared" si="49"/>
        <v>7.0959173616793671E-7</v>
      </c>
      <c r="P37" s="93">
        <f t="shared" si="50"/>
        <v>0.78979941760163341</v>
      </c>
      <c r="Q37" s="93">
        <f t="shared" si="51"/>
        <v>0.49266354492038572</v>
      </c>
      <c r="R37" s="93">
        <f t="shared" si="52"/>
        <v>0.78979941760163341</v>
      </c>
      <c r="S37" s="93">
        <f t="shared" si="53"/>
        <v>0.24271736849352094</v>
      </c>
      <c r="T37" s="93">
        <f t="shared" si="54"/>
        <v>0.70189995364039293</v>
      </c>
      <c r="U37" s="93">
        <f t="shared" si="55"/>
        <v>0.49266354492038572</v>
      </c>
      <c r="V37" s="93">
        <f t="shared" si="56"/>
        <v>7.0959173616793671E-7</v>
      </c>
      <c r="W37" s="93">
        <f t="shared" si="57"/>
        <v>9.4442634106988263E-2</v>
      </c>
      <c r="X37" s="93">
        <f t="shared" si="58"/>
        <v>0.49266354492038572</v>
      </c>
      <c r="Y37" s="93">
        <f t="shared" si="59"/>
        <v>0.49266354492038572</v>
      </c>
      <c r="Z37" s="93">
        <f t="shared" si="60"/>
        <v>0.49266354492038572</v>
      </c>
      <c r="AA37" s="93">
        <f t="shared" si="61"/>
        <v>0.49266354492038572</v>
      </c>
      <c r="AB37" s="93">
        <f t="shared" si="62"/>
        <v>0.24271736849352094</v>
      </c>
      <c r="AC37" s="93">
        <f t="shared" si="63"/>
        <v>0.24271736849352094</v>
      </c>
      <c r="AD37" s="93">
        <f t="shared" si="64"/>
        <v>0.49266354492038572</v>
      </c>
      <c r="AE37" s="93">
        <f t="shared" si="65"/>
        <v>2.9023657289662243E-2</v>
      </c>
      <c r="AF37" s="93">
        <f t="shared" si="66"/>
        <v>2.9023657289662243E-2</v>
      </c>
      <c r="AG37" s="93">
        <f t="shared" si="67"/>
        <v>0.24271736849352094</v>
      </c>
      <c r="AH37" s="93">
        <f t="shared" si="68"/>
        <v>0.24271736849352094</v>
      </c>
      <c r="AI37" s="93">
        <f t="shared" si="69"/>
        <v>0.78979941760163341</v>
      </c>
      <c r="AJ37" s="93">
        <f t="shared" si="70"/>
        <v>0.24271736849352094</v>
      </c>
      <c r="AK37" s="93">
        <f t="shared" si="71"/>
        <v>8.4237268246776425E-4</v>
      </c>
      <c r="AL37" s="93">
        <f t="shared" si="72"/>
        <v>2.9023657289662243E-2</v>
      </c>
      <c r="AM37" s="93">
        <f t="shared" si="73"/>
        <v>0.24271736849352094</v>
      </c>
      <c r="AN37" s="93">
        <f t="shared" si="74"/>
        <v>8.4237268246776425E-4</v>
      </c>
      <c r="AO37" s="260">
        <f t="shared" si="39"/>
        <v>6.9910742124339259E-2</v>
      </c>
      <c r="AP37" s="261">
        <f t="shared" si="40"/>
        <v>0.3212492967006238</v>
      </c>
      <c r="AQ37" s="262">
        <f t="shared" si="41"/>
        <v>0.84081875145196061</v>
      </c>
      <c r="AR37" s="263">
        <f t="shared" si="42"/>
        <v>5.4788183368688981E-3</v>
      </c>
      <c r="AS37" s="260">
        <f t="shared" si="43"/>
        <v>1.0346069393770979E-4</v>
      </c>
      <c r="AT37" s="260">
        <f t="shared" si="38"/>
        <v>0.99989653930606226</v>
      </c>
    </row>
    <row r="38" spans="2:46" ht="12" customHeight="1">
      <c r="G38" s="218">
        <f t="shared" si="36"/>
        <v>7.2815533980582527</v>
      </c>
      <c r="H38" s="215">
        <f t="shared" si="37"/>
        <v>1500</v>
      </c>
      <c r="I38" s="92">
        <v>36000</v>
      </c>
      <c r="J38" s="93">
        <f t="shared" si="44"/>
        <v>0.7844923591696864</v>
      </c>
      <c r="K38" s="93">
        <f t="shared" si="45"/>
        <v>0.23309465119230638</v>
      </c>
      <c r="L38" s="93">
        <f t="shared" si="46"/>
        <v>0.35337625411598694</v>
      </c>
      <c r="M38" s="93">
        <f t="shared" si="47"/>
        <v>0.7844923591696864</v>
      </c>
      <c r="N38" s="93">
        <f t="shared" si="48"/>
        <v>0.16196284052856219</v>
      </c>
      <c r="O38" s="93">
        <f t="shared" si="49"/>
        <v>4.7350337521651598E-7</v>
      </c>
      <c r="P38" s="93">
        <f t="shared" si="50"/>
        <v>0.7844923591696864</v>
      </c>
      <c r="Q38" s="93">
        <f t="shared" si="51"/>
        <v>0.48279876883884698</v>
      </c>
      <c r="R38" s="93">
        <f t="shared" si="52"/>
        <v>0.7844923591696864</v>
      </c>
      <c r="S38" s="93">
        <f t="shared" si="53"/>
        <v>0.23309465119230638</v>
      </c>
      <c r="T38" s="93">
        <f t="shared" si="54"/>
        <v>0.69483722470723097</v>
      </c>
      <c r="U38" s="93">
        <f t="shared" si="55"/>
        <v>0.48279876883884698</v>
      </c>
      <c r="V38" s="93">
        <f t="shared" si="56"/>
        <v>4.7350337521651598E-7</v>
      </c>
      <c r="W38" s="93">
        <f t="shared" si="57"/>
        <v>8.828505254795023E-2</v>
      </c>
      <c r="X38" s="93">
        <f t="shared" si="58"/>
        <v>0.48279876883884698</v>
      </c>
      <c r="Y38" s="93">
        <f t="shared" si="59"/>
        <v>0.48279876883884698</v>
      </c>
      <c r="Z38" s="93">
        <f t="shared" si="60"/>
        <v>0.48279876883884698</v>
      </c>
      <c r="AA38" s="93">
        <f t="shared" si="61"/>
        <v>0.48279876883884698</v>
      </c>
      <c r="AB38" s="93">
        <f t="shared" si="62"/>
        <v>0.23309465119230638</v>
      </c>
      <c r="AC38" s="93">
        <f t="shared" si="63"/>
        <v>0.23309465119230638</v>
      </c>
      <c r="AD38" s="93">
        <f t="shared" si="64"/>
        <v>0.48279876883884698</v>
      </c>
      <c r="AE38" s="93">
        <f t="shared" si="65"/>
        <v>2.6231961712080469E-2</v>
      </c>
      <c r="AF38" s="93">
        <f t="shared" si="66"/>
        <v>2.6231961712080469E-2</v>
      </c>
      <c r="AG38" s="93">
        <f t="shared" si="67"/>
        <v>0.23309465119230638</v>
      </c>
      <c r="AH38" s="93">
        <f t="shared" si="68"/>
        <v>0.23309465119230638</v>
      </c>
      <c r="AI38" s="93">
        <f t="shared" si="69"/>
        <v>0.7844923591696864</v>
      </c>
      <c r="AJ38" s="93">
        <f t="shared" si="70"/>
        <v>0.23309465119230638</v>
      </c>
      <c r="AK38" s="93">
        <f t="shared" si="71"/>
        <v>6.8811581526405569E-4</v>
      </c>
      <c r="AL38" s="93">
        <f t="shared" si="72"/>
        <v>2.6231961712080469E-2</v>
      </c>
      <c r="AM38" s="93">
        <f t="shared" si="73"/>
        <v>0.23309465119230638</v>
      </c>
      <c r="AN38" s="93">
        <f t="shared" si="74"/>
        <v>6.8811581526405569E-4</v>
      </c>
      <c r="AO38" s="260">
        <f t="shared" si="39"/>
        <v>6.4765020568043147E-2</v>
      </c>
      <c r="AP38" s="261">
        <f t="shared" si="40"/>
        <v>0.31034808427657762</v>
      </c>
      <c r="AQ38" s="262">
        <f t="shared" si="41"/>
        <v>0.83472603852863747</v>
      </c>
      <c r="AR38" s="263">
        <f t="shared" si="42"/>
        <v>4.6295097988436739E-3</v>
      </c>
      <c r="AS38" s="260">
        <f t="shared" si="43"/>
        <v>7.767272565749557E-5</v>
      </c>
      <c r="AT38" s="260">
        <f t="shared" si="38"/>
        <v>0.99992232727434249</v>
      </c>
    </row>
    <row r="39" spans="2:46" ht="12" customHeight="1">
      <c r="G39" s="256">
        <f t="shared" si="36"/>
        <v>7.483818770226538</v>
      </c>
      <c r="H39" s="257">
        <f t="shared" si="37"/>
        <v>1541.6666666666667</v>
      </c>
      <c r="I39" s="258">
        <v>37000</v>
      </c>
      <c r="J39" s="259">
        <f t="shared" si="44"/>
        <v>0.77922096152524101</v>
      </c>
      <c r="K39" s="259">
        <f t="shared" si="45"/>
        <v>0.22385343394126878</v>
      </c>
      <c r="L39" s="259">
        <f t="shared" si="46"/>
        <v>0.34331153896806399</v>
      </c>
      <c r="M39" s="259">
        <f t="shared" si="47"/>
        <v>0.77922096152524101</v>
      </c>
      <c r="N39" s="259">
        <f t="shared" si="48"/>
        <v>0.1539765913171206</v>
      </c>
      <c r="O39" s="259">
        <f t="shared" si="49"/>
        <v>3.1596400424873429E-7</v>
      </c>
      <c r="P39" s="259">
        <f t="shared" si="50"/>
        <v>0.77922096152524101</v>
      </c>
      <c r="Q39" s="259">
        <f t="shared" si="51"/>
        <v>0.47313151865128239</v>
      </c>
      <c r="R39" s="259">
        <f t="shared" si="52"/>
        <v>0.77922096152524101</v>
      </c>
      <c r="S39" s="259">
        <f t="shared" si="53"/>
        <v>0.22385343394126878</v>
      </c>
      <c r="T39" s="259">
        <f t="shared" si="54"/>
        <v>0.68784556308177369</v>
      </c>
      <c r="U39" s="259">
        <f t="shared" si="55"/>
        <v>0.47313151865128239</v>
      </c>
      <c r="V39" s="259">
        <f t="shared" si="56"/>
        <v>3.1596400424873429E-7</v>
      </c>
      <c r="W39" s="259">
        <f t="shared" si="57"/>
        <v>8.2528940208981313E-2</v>
      </c>
      <c r="X39" s="259">
        <f t="shared" si="58"/>
        <v>0.47313151865128239</v>
      </c>
      <c r="Y39" s="259">
        <f t="shared" si="59"/>
        <v>0.47313151865128239</v>
      </c>
      <c r="Z39" s="259">
        <f t="shared" si="60"/>
        <v>0.47313151865128239</v>
      </c>
      <c r="AA39" s="259">
        <f t="shared" si="61"/>
        <v>0.47313151865128239</v>
      </c>
      <c r="AB39" s="259">
        <f t="shared" si="62"/>
        <v>0.22385343394126878</v>
      </c>
      <c r="AC39" s="259">
        <f t="shared" si="63"/>
        <v>0.22385343394126878</v>
      </c>
      <c r="AD39" s="259">
        <f t="shared" si="64"/>
        <v>0.47313151865128239</v>
      </c>
      <c r="AE39" s="259">
        <f t="shared" si="65"/>
        <v>2.3708790673639582E-2</v>
      </c>
      <c r="AF39" s="259">
        <f t="shared" si="66"/>
        <v>2.3708790673639582E-2</v>
      </c>
      <c r="AG39" s="259">
        <f t="shared" si="67"/>
        <v>0.22385343394126878</v>
      </c>
      <c r="AH39" s="259">
        <f t="shared" si="68"/>
        <v>0.22385343394126878</v>
      </c>
      <c r="AI39" s="259">
        <f t="shared" si="69"/>
        <v>0.77922096152524101</v>
      </c>
      <c r="AJ39" s="259">
        <f t="shared" si="70"/>
        <v>0.22385343394126878</v>
      </c>
      <c r="AK39" s="259">
        <f t="shared" si="71"/>
        <v>5.6210675520645926E-4</v>
      </c>
      <c r="AL39" s="259">
        <f t="shared" si="72"/>
        <v>2.3708790673639582E-2</v>
      </c>
      <c r="AM39" s="259">
        <f t="shared" si="73"/>
        <v>0.22385343394126878</v>
      </c>
      <c r="AN39" s="259">
        <f t="shared" si="74"/>
        <v>5.6210675520645926E-4</v>
      </c>
      <c r="AO39" s="268">
        <f t="shared" si="39"/>
        <v>6.000098488143147E-2</v>
      </c>
      <c r="AP39" s="269">
        <f t="shared" si="40"/>
        <v>0.29981152828769853</v>
      </c>
      <c r="AQ39" s="270">
        <f t="shared" si="41"/>
        <v>0.82864310802901331</v>
      </c>
      <c r="AR39" s="271">
        <f t="shared" si="42"/>
        <v>3.9117720098445037E-3</v>
      </c>
      <c r="AS39" s="268">
        <f t="shared" si="43"/>
        <v>5.8310634181825417E-5</v>
      </c>
      <c r="AT39" s="260">
        <f t="shared" si="38"/>
        <v>0.99994168936581818</v>
      </c>
    </row>
    <row r="40" spans="2:46" ht="12" customHeight="1">
      <c r="G40" s="218">
        <f t="shared" si="36"/>
        <v>7.6860841423948214</v>
      </c>
      <c r="H40" s="215">
        <f t="shared" si="37"/>
        <v>1583.3333333333333</v>
      </c>
      <c r="I40" s="92">
        <v>38000</v>
      </c>
      <c r="J40" s="93">
        <f t="shared" si="44"/>
        <v>0.77398498504557955</v>
      </c>
      <c r="K40" s="93">
        <f t="shared" si="45"/>
        <v>0.21497859187663734</v>
      </c>
      <c r="L40" s="93">
        <f t="shared" si="46"/>
        <v>0.33353348284102591</v>
      </c>
      <c r="M40" s="93">
        <f t="shared" si="47"/>
        <v>0.77398498504557955</v>
      </c>
      <c r="N40" s="93">
        <f t="shared" si="48"/>
        <v>0.14638413722719648</v>
      </c>
      <c r="O40" s="93">
        <f t="shared" si="49"/>
        <v>2.1083957835621389E-7</v>
      </c>
      <c r="P40" s="93">
        <f t="shared" si="50"/>
        <v>0.77398498504557955</v>
      </c>
      <c r="Q40" s="93">
        <f t="shared" si="51"/>
        <v>0.46365783922698572</v>
      </c>
      <c r="R40" s="93">
        <f t="shared" si="52"/>
        <v>0.77398498504557955</v>
      </c>
      <c r="S40" s="93">
        <f t="shared" si="53"/>
        <v>0.21497859187663734</v>
      </c>
      <c r="T40" s="93">
        <f t="shared" si="54"/>
        <v>0.68092425366334675</v>
      </c>
      <c r="U40" s="93">
        <f t="shared" si="55"/>
        <v>0.46365783922698572</v>
      </c>
      <c r="V40" s="93">
        <f t="shared" si="56"/>
        <v>2.1083957835621389E-7</v>
      </c>
      <c r="W40" s="93">
        <f t="shared" si="57"/>
        <v>7.7148121629290967E-2</v>
      </c>
      <c r="X40" s="93">
        <f t="shared" si="58"/>
        <v>0.46365783922698572</v>
      </c>
      <c r="Y40" s="93">
        <f t="shared" si="59"/>
        <v>0.46365783922698572</v>
      </c>
      <c r="Z40" s="93">
        <f t="shared" si="60"/>
        <v>0.46365783922698572</v>
      </c>
      <c r="AA40" s="93">
        <f t="shared" si="61"/>
        <v>0.46365783922698572</v>
      </c>
      <c r="AB40" s="93">
        <f t="shared" si="62"/>
        <v>0.21497859187663734</v>
      </c>
      <c r="AC40" s="93">
        <f t="shared" si="63"/>
        <v>0.21497859187663734</v>
      </c>
      <c r="AD40" s="93">
        <f t="shared" si="64"/>
        <v>0.46365783922698572</v>
      </c>
      <c r="AE40" s="93">
        <f t="shared" si="65"/>
        <v>2.142831563175069E-2</v>
      </c>
      <c r="AF40" s="93">
        <f t="shared" si="66"/>
        <v>2.142831563175069E-2</v>
      </c>
      <c r="AG40" s="93">
        <f t="shared" si="67"/>
        <v>0.21497859187663734</v>
      </c>
      <c r="AH40" s="93">
        <f t="shared" si="68"/>
        <v>0.21497859187663734</v>
      </c>
      <c r="AI40" s="93">
        <f t="shared" si="69"/>
        <v>0.77398498504557955</v>
      </c>
      <c r="AJ40" s="93">
        <f t="shared" si="70"/>
        <v>0.21497859187663734</v>
      </c>
      <c r="AK40" s="93">
        <f t="shared" si="71"/>
        <v>4.5917271081393098E-4</v>
      </c>
      <c r="AL40" s="93">
        <f t="shared" si="72"/>
        <v>2.142831563175069E-2</v>
      </c>
      <c r="AM40" s="93">
        <f t="shared" si="73"/>
        <v>0.21497859187663734</v>
      </c>
      <c r="AN40" s="93">
        <f t="shared" si="74"/>
        <v>4.5917271081393098E-4</v>
      </c>
      <c r="AO40" s="260">
        <f t="shared" si="39"/>
        <v>5.5589756477714254E-2</v>
      </c>
      <c r="AP40" s="261">
        <f t="shared" si="40"/>
        <v>0.28962854842652397</v>
      </c>
      <c r="AQ40" s="262">
        <f t="shared" si="41"/>
        <v>0.82257337506513839</v>
      </c>
      <c r="AR40" s="263">
        <f t="shared" si="42"/>
        <v>3.3052498261810126E-3</v>
      </c>
      <c r="AS40" s="260">
        <f t="shared" si="43"/>
        <v>4.3773883571990214E-5</v>
      </c>
      <c r="AT40" s="260">
        <f t="shared" si="38"/>
        <v>0.99995622611642798</v>
      </c>
    </row>
    <row r="41" spans="2:46" ht="12" customHeight="1">
      <c r="G41" s="218">
        <f t="shared" si="36"/>
        <v>7.8883495145631066</v>
      </c>
      <c r="H41" s="215">
        <f t="shared" si="37"/>
        <v>1625</v>
      </c>
      <c r="I41" s="92">
        <v>39000</v>
      </c>
      <c r="J41" s="93">
        <f t="shared" si="44"/>
        <v>0.76878419171812939</v>
      </c>
      <c r="K41" s="93">
        <f t="shared" si="45"/>
        <v>0.20645559977153266</v>
      </c>
      <c r="L41" s="93">
        <f t="shared" si="46"/>
        <v>0.32403392123214725</v>
      </c>
      <c r="M41" s="93">
        <f t="shared" si="47"/>
        <v>0.76878419171812939</v>
      </c>
      <c r="N41" s="93">
        <f t="shared" si="48"/>
        <v>0.13916606055798611</v>
      </c>
      <c r="O41" s="93">
        <f t="shared" si="49"/>
        <v>1.4069111418916971E-7</v>
      </c>
      <c r="P41" s="93">
        <f t="shared" si="50"/>
        <v>0.76878419171812939</v>
      </c>
      <c r="Q41" s="93">
        <f t="shared" si="51"/>
        <v>0.45437385463022922</v>
      </c>
      <c r="R41" s="93">
        <f t="shared" si="52"/>
        <v>0.76878419171812939</v>
      </c>
      <c r="S41" s="93">
        <f t="shared" si="53"/>
        <v>0.20645559977153266</v>
      </c>
      <c r="T41" s="93">
        <f t="shared" si="54"/>
        <v>0.67407258854683383</v>
      </c>
      <c r="U41" s="93">
        <f t="shared" si="55"/>
        <v>0.45437385463022922</v>
      </c>
      <c r="V41" s="93">
        <f t="shared" si="56"/>
        <v>1.4069111418916971E-7</v>
      </c>
      <c r="W41" s="93">
        <f t="shared" si="57"/>
        <v>7.2118127966462844E-2</v>
      </c>
      <c r="X41" s="93">
        <f t="shared" si="58"/>
        <v>0.45437385463022922</v>
      </c>
      <c r="Y41" s="93">
        <f t="shared" si="59"/>
        <v>0.45437385463022922</v>
      </c>
      <c r="Z41" s="93">
        <f t="shared" si="60"/>
        <v>0.45437385463022922</v>
      </c>
      <c r="AA41" s="93">
        <f t="shared" si="61"/>
        <v>0.45437385463022922</v>
      </c>
      <c r="AB41" s="93">
        <f t="shared" si="62"/>
        <v>0.20645559977153266</v>
      </c>
      <c r="AC41" s="93">
        <f t="shared" si="63"/>
        <v>0.20645559977153266</v>
      </c>
      <c r="AD41" s="93">
        <f t="shared" si="64"/>
        <v>0.45437385463022922</v>
      </c>
      <c r="AE41" s="93">
        <f t="shared" si="65"/>
        <v>1.9367192411229056E-2</v>
      </c>
      <c r="AF41" s="93">
        <f t="shared" si="66"/>
        <v>1.9367192411229056E-2</v>
      </c>
      <c r="AG41" s="93">
        <f t="shared" si="67"/>
        <v>0.20645559977153266</v>
      </c>
      <c r="AH41" s="93">
        <f t="shared" si="68"/>
        <v>0.20645559977153266</v>
      </c>
      <c r="AI41" s="93">
        <f t="shared" si="69"/>
        <v>0.76878419171812939</v>
      </c>
      <c r="AJ41" s="93">
        <f t="shared" si="70"/>
        <v>0.20645559977153266</v>
      </c>
      <c r="AK41" s="93">
        <f t="shared" si="71"/>
        <v>3.7508814189356838E-4</v>
      </c>
      <c r="AL41" s="93">
        <f t="shared" si="72"/>
        <v>1.9367192411229056E-2</v>
      </c>
      <c r="AM41" s="93">
        <f t="shared" si="73"/>
        <v>0.20645559977153266</v>
      </c>
      <c r="AN41" s="93">
        <f t="shared" si="74"/>
        <v>3.7508814189356838E-4</v>
      </c>
      <c r="AO41" s="260">
        <f t="shared" si="39"/>
        <v>5.1504747631298066E-2</v>
      </c>
      <c r="AP41" s="261">
        <f t="shared" si="40"/>
        <v>0.27978825548521152</v>
      </c>
      <c r="AQ41" s="262">
        <f t="shared" si="41"/>
        <v>0.81651999031171085</v>
      </c>
      <c r="AR41" s="263">
        <f t="shared" si="42"/>
        <v>2.7927286885693937E-3</v>
      </c>
      <c r="AS41" s="260">
        <f t="shared" si="43"/>
        <v>3.2860359622839463E-5</v>
      </c>
      <c r="AT41" s="260">
        <f t="shared" si="38"/>
        <v>0.9999671396403772</v>
      </c>
    </row>
    <row r="42" spans="2:46" ht="12" customHeight="1">
      <c r="G42" s="218">
        <f t="shared" si="36"/>
        <v>8.0906148867313927</v>
      </c>
      <c r="H42" s="215">
        <f t="shared" si="37"/>
        <v>1666.6666666666667</v>
      </c>
      <c r="I42" s="92">
        <v>40000</v>
      </c>
      <c r="J42" s="93">
        <f t="shared" si="44"/>
        <v>0.76361834512964377</v>
      </c>
      <c r="K42" s="93">
        <f t="shared" si="45"/>
        <v>0.19827050826289924</v>
      </c>
      <c r="L42" s="93">
        <f t="shared" si="46"/>
        <v>0.31480492217666567</v>
      </c>
      <c r="M42" s="93">
        <f t="shared" si="47"/>
        <v>0.76361834512964377</v>
      </c>
      <c r="N42" s="93">
        <f t="shared" si="48"/>
        <v>0.13230390107891318</v>
      </c>
      <c r="O42" s="93">
        <f t="shared" si="49"/>
        <v>9.3881754868376762E-8</v>
      </c>
      <c r="P42" s="93">
        <f t="shared" si="50"/>
        <v>0.76361834512964377</v>
      </c>
      <c r="Q42" s="93">
        <f t="shared" si="51"/>
        <v>0.44527576653451423</v>
      </c>
      <c r="R42" s="93">
        <f t="shared" si="52"/>
        <v>0.76361834512964377</v>
      </c>
      <c r="S42" s="93">
        <f t="shared" si="53"/>
        <v>0.19827050826289924</v>
      </c>
      <c r="T42" s="93">
        <f t="shared" si="54"/>
        <v>0.66728986695027392</v>
      </c>
      <c r="U42" s="93">
        <f t="shared" si="55"/>
        <v>0.44527576653451423</v>
      </c>
      <c r="V42" s="93">
        <f t="shared" si="56"/>
        <v>9.3881754868376762E-8</v>
      </c>
      <c r="W42" s="93">
        <f t="shared" si="57"/>
        <v>6.7416085726349412E-2</v>
      </c>
      <c r="X42" s="93">
        <f t="shared" si="58"/>
        <v>0.44527576653451423</v>
      </c>
      <c r="Y42" s="93">
        <f t="shared" si="59"/>
        <v>0.44527576653451423</v>
      </c>
      <c r="Z42" s="93">
        <f t="shared" si="60"/>
        <v>0.44527576653451423</v>
      </c>
      <c r="AA42" s="93">
        <f t="shared" si="61"/>
        <v>0.44527576653451423</v>
      </c>
      <c r="AB42" s="93">
        <f t="shared" si="62"/>
        <v>0.19827050826289924</v>
      </c>
      <c r="AC42" s="93">
        <f t="shared" si="63"/>
        <v>0.19827050826289924</v>
      </c>
      <c r="AD42" s="93">
        <f t="shared" si="64"/>
        <v>0.44527576653451423</v>
      </c>
      <c r="AE42" s="93">
        <f t="shared" si="65"/>
        <v>1.7504322240698849E-2</v>
      </c>
      <c r="AF42" s="93">
        <f t="shared" si="66"/>
        <v>1.7504322240698849E-2</v>
      </c>
      <c r="AG42" s="93">
        <f t="shared" si="67"/>
        <v>0.19827050826289924</v>
      </c>
      <c r="AH42" s="93">
        <f t="shared" si="68"/>
        <v>0.19827050826289924</v>
      </c>
      <c r="AI42" s="93">
        <f t="shared" si="69"/>
        <v>0.76361834512964377</v>
      </c>
      <c r="AJ42" s="93">
        <f t="shared" si="70"/>
        <v>0.19827050826289924</v>
      </c>
      <c r="AK42" s="93">
        <f t="shared" si="71"/>
        <v>3.0640129710622437E-4</v>
      </c>
      <c r="AL42" s="93">
        <f t="shared" si="72"/>
        <v>1.7504322240698849E-2</v>
      </c>
      <c r="AM42" s="93">
        <f t="shared" si="73"/>
        <v>0.19827050826289924</v>
      </c>
      <c r="AN42" s="93">
        <f t="shared" si="74"/>
        <v>3.0640129710622437E-4</v>
      </c>
      <c r="AO42" s="260">
        <f t="shared" si="39"/>
        <v>4.7721461049502915E-2</v>
      </c>
      <c r="AP42" s="261">
        <f t="shared" si="40"/>
        <v>0.27027996624500178</v>
      </c>
      <c r="AQ42" s="262">
        <f t="shared" si="41"/>
        <v>0.81048585611613888</v>
      </c>
      <c r="AR42" s="263">
        <f t="shared" si="42"/>
        <v>2.3596527419677167E-3</v>
      </c>
      <c r="AS42" s="260">
        <f t="shared" si="43"/>
        <v>2.4667272003327637E-5</v>
      </c>
      <c r="AT42" s="260">
        <f t="shared" si="38"/>
        <v>0.99997533272799666</v>
      </c>
    </row>
    <row r="43" spans="2:46" ht="12" customHeight="1">
      <c r="G43" s="218">
        <f t="shared" si="36"/>
        <v>8.2928802588996753</v>
      </c>
      <c r="H43" s="215">
        <f t="shared" si="37"/>
        <v>1708.3333333333333</v>
      </c>
      <c r="I43" s="92">
        <v>41000</v>
      </c>
      <c r="J43" s="93">
        <f t="shared" si="44"/>
        <v>0.75848721045545509</v>
      </c>
      <c r="K43" s="93">
        <f t="shared" si="45"/>
        <v>0.19040992102094037</v>
      </c>
      <c r="L43" s="93">
        <f t="shared" si="46"/>
        <v>0.30583877962473233</v>
      </c>
      <c r="M43" s="93">
        <f t="shared" si="47"/>
        <v>0.75848721045545509</v>
      </c>
      <c r="N43" s="93">
        <f t="shared" si="48"/>
        <v>0.12578010881759027</v>
      </c>
      <c r="O43" s="93">
        <f t="shared" si="49"/>
        <v>6.2646343715177424E-8</v>
      </c>
      <c r="P43" s="93">
        <f t="shared" si="50"/>
        <v>0.75848721045545509</v>
      </c>
      <c r="Q43" s="93">
        <f t="shared" si="51"/>
        <v>0.43635985266857485</v>
      </c>
      <c r="R43" s="93">
        <f t="shared" si="52"/>
        <v>0.75848721045545509</v>
      </c>
      <c r="S43" s="93">
        <f t="shared" si="53"/>
        <v>0.19040992102094037</v>
      </c>
      <c r="T43" s="93">
        <f t="shared" si="54"/>
        <v>0.66057539514318486</v>
      </c>
      <c r="U43" s="93">
        <f t="shared" si="55"/>
        <v>0.43635985266857485</v>
      </c>
      <c r="V43" s="93">
        <f t="shared" si="56"/>
        <v>6.2646343715177424E-8</v>
      </c>
      <c r="W43" s="93">
        <f t="shared" si="57"/>
        <v>6.3020612747685611E-2</v>
      </c>
      <c r="X43" s="93">
        <f t="shared" si="58"/>
        <v>0.43635985266857485</v>
      </c>
      <c r="Y43" s="93">
        <f t="shared" si="59"/>
        <v>0.43635985266857485</v>
      </c>
      <c r="Z43" s="93">
        <f t="shared" si="60"/>
        <v>0.43635985266857485</v>
      </c>
      <c r="AA43" s="93">
        <f t="shared" si="61"/>
        <v>0.43635985266857485</v>
      </c>
      <c r="AB43" s="93">
        <f t="shared" si="62"/>
        <v>0.19040992102094037</v>
      </c>
      <c r="AC43" s="93">
        <f t="shared" si="63"/>
        <v>0.19040992102094037</v>
      </c>
      <c r="AD43" s="93">
        <f t="shared" si="64"/>
        <v>0.43635985266857485</v>
      </c>
      <c r="AE43" s="93">
        <f t="shared" si="65"/>
        <v>1.5820635774164853E-2</v>
      </c>
      <c r="AF43" s="93">
        <f t="shared" si="66"/>
        <v>1.5820635774164853E-2</v>
      </c>
      <c r="AG43" s="93">
        <f t="shared" si="67"/>
        <v>0.19040992102094037</v>
      </c>
      <c r="AH43" s="93">
        <f t="shared" si="68"/>
        <v>0.19040992102094037</v>
      </c>
      <c r="AI43" s="93">
        <f t="shared" si="69"/>
        <v>0.75848721045545509</v>
      </c>
      <c r="AJ43" s="93">
        <f t="shared" si="70"/>
        <v>0.19040992102094037</v>
      </c>
      <c r="AK43" s="93">
        <f t="shared" si="71"/>
        <v>2.5029251629878475E-4</v>
      </c>
      <c r="AL43" s="93">
        <f t="shared" si="72"/>
        <v>1.5820635774164853E-2</v>
      </c>
      <c r="AM43" s="93">
        <f t="shared" si="73"/>
        <v>0.19040992102094037</v>
      </c>
      <c r="AN43" s="93">
        <f t="shared" si="74"/>
        <v>2.5029251629878475E-4</v>
      </c>
      <c r="AO43" s="260">
        <f t="shared" si="39"/>
        <v>4.421730994187336E-2</v>
      </c>
      <c r="AP43" s="261">
        <f t="shared" si="40"/>
        <v>0.26109321566265364</v>
      </c>
      <c r="AQ43" s="262">
        <f t="shared" si="41"/>
        <v>0.8044736417171553</v>
      </c>
      <c r="AR43" s="263">
        <f t="shared" si="42"/>
        <v>1.9937160524370703E-3</v>
      </c>
      <c r="AS43" s="260">
        <f t="shared" si="43"/>
        <v>1.8516676093978332E-5</v>
      </c>
      <c r="AT43" s="260">
        <f t="shared" si="38"/>
        <v>0.99998148332390602</v>
      </c>
    </row>
    <row r="44" spans="2:46" ht="12" customHeight="1">
      <c r="G44" s="218">
        <f t="shared" si="36"/>
        <v>8.4951456310679614</v>
      </c>
      <c r="H44" s="215">
        <f t="shared" si="37"/>
        <v>1750</v>
      </c>
      <c r="I44" s="92">
        <v>42000</v>
      </c>
      <c r="J44" s="93">
        <f t="shared" si="44"/>
        <v>0.75339055444880043</v>
      </c>
      <c r="K44" s="93">
        <f t="shared" si="45"/>
        <v>0.18286097282368755</v>
      </c>
      <c r="L44" s="93">
        <f t="shared" si="46"/>
        <v>0.29712800700699726</v>
      </c>
      <c r="M44" s="93">
        <f t="shared" si="47"/>
        <v>0.75339055444880043</v>
      </c>
      <c r="N44" s="93">
        <f t="shared" si="48"/>
        <v>0.11957799917576557</v>
      </c>
      <c r="O44" s="93">
        <f t="shared" si="49"/>
        <v>4.1803270362621912E-8</v>
      </c>
      <c r="P44" s="93">
        <f t="shared" si="50"/>
        <v>0.75339055444880043</v>
      </c>
      <c r="Q44" s="93">
        <f t="shared" si="51"/>
        <v>0.4276224652934964</v>
      </c>
      <c r="R44" s="93">
        <f t="shared" si="52"/>
        <v>0.75339055444880043</v>
      </c>
      <c r="S44" s="93">
        <f t="shared" si="53"/>
        <v>0.18286097282368755</v>
      </c>
      <c r="T44" s="93">
        <f t="shared" si="54"/>
        <v>0.65392848637561007</v>
      </c>
      <c r="U44" s="93">
        <f t="shared" si="55"/>
        <v>0.4276224652934964</v>
      </c>
      <c r="V44" s="93">
        <f t="shared" si="56"/>
        <v>4.1803270362621912E-8</v>
      </c>
      <c r="W44" s="93">
        <f t="shared" si="57"/>
        <v>5.8911720968419651E-2</v>
      </c>
      <c r="X44" s="93">
        <f t="shared" si="58"/>
        <v>0.4276224652934964</v>
      </c>
      <c r="Y44" s="93">
        <f t="shared" si="59"/>
        <v>0.4276224652934964</v>
      </c>
      <c r="Z44" s="93">
        <f t="shared" si="60"/>
        <v>0.4276224652934964</v>
      </c>
      <c r="AA44" s="93">
        <f t="shared" si="61"/>
        <v>0.4276224652934964</v>
      </c>
      <c r="AB44" s="93">
        <f t="shared" si="62"/>
        <v>0.18286097282368755</v>
      </c>
      <c r="AC44" s="93">
        <f t="shared" si="63"/>
        <v>0.18286097282368755</v>
      </c>
      <c r="AD44" s="93">
        <f t="shared" si="64"/>
        <v>0.4276224652934964</v>
      </c>
      <c r="AE44" s="93">
        <f t="shared" si="65"/>
        <v>1.4298897886879394E-2</v>
      </c>
      <c r="AF44" s="93">
        <f t="shared" si="66"/>
        <v>1.4298897886879394E-2</v>
      </c>
      <c r="AG44" s="93">
        <f t="shared" si="67"/>
        <v>0.18286097282368755</v>
      </c>
      <c r="AH44" s="93">
        <f t="shared" si="68"/>
        <v>0.18286097282368755</v>
      </c>
      <c r="AI44" s="93">
        <f t="shared" si="69"/>
        <v>0.75339055444880043</v>
      </c>
      <c r="AJ44" s="93">
        <f t="shared" si="70"/>
        <v>0.18286097282368755</v>
      </c>
      <c r="AK44" s="93">
        <f t="shared" si="71"/>
        <v>2.0445848077940397E-4</v>
      </c>
      <c r="AL44" s="93">
        <f t="shared" si="72"/>
        <v>1.4298897886879394E-2</v>
      </c>
      <c r="AM44" s="93">
        <f t="shared" si="73"/>
        <v>0.18286097282368755</v>
      </c>
      <c r="AN44" s="93">
        <f t="shared" si="74"/>
        <v>2.0445848077940397E-4</v>
      </c>
      <c r="AO44" s="260">
        <f t="shared" si="39"/>
        <v>4.0971456118399259E-2</v>
      </c>
      <c r="AP44" s="261">
        <f t="shared" si="40"/>
        <v>0.25221776665061496</v>
      </c>
      <c r="AQ44" s="262">
        <f t="shared" si="41"/>
        <v>0.79848579761724037</v>
      </c>
      <c r="AR44" s="263">
        <f t="shared" si="42"/>
        <v>1.6845160974871618E-3</v>
      </c>
      <c r="AS44" s="260">
        <f t="shared" si="43"/>
        <v>1.389950826651603E-5</v>
      </c>
      <c r="AT44" s="260">
        <f t="shared" si="38"/>
        <v>0.99998610049173353</v>
      </c>
    </row>
    <row r="45" spans="2:46" ht="12" customHeight="1">
      <c r="G45" s="218">
        <f t="shared" si="36"/>
        <v>8.6974110032362457</v>
      </c>
      <c r="H45" s="215">
        <f t="shared" si="37"/>
        <v>1791.6666666666667</v>
      </c>
      <c r="I45" s="92">
        <v>43000</v>
      </c>
      <c r="J45" s="93">
        <f t="shared" si="44"/>
        <v>0.74832814543021919</v>
      </c>
      <c r="K45" s="93">
        <f t="shared" si="45"/>
        <v>0.17561130850082146</v>
      </c>
      <c r="L45" s="93">
        <f t="shared" si="46"/>
        <v>0.28866533098345803</v>
      </c>
      <c r="M45" s="93">
        <f t="shared" si="47"/>
        <v>0.74832814543021919</v>
      </c>
      <c r="N45" s="93">
        <f t="shared" si="48"/>
        <v>0.11368171025846417</v>
      </c>
      <c r="O45" s="93">
        <f t="shared" si="49"/>
        <v>2.7894898718360328E-8</v>
      </c>
      <c r="P45" s="93">
        <f t="shared" si="50"/>
        <v>0.74832814543021919</v>
      </c>
      <c r="Q45" s="93">
        <f t="shared" si="51"/>
        <v>0.41906002971032857</v>
      </c>
      <c r="R45" s="93">
        <f t="shared" si="52"/>
        <v>0.74832814543021919</v>
      </c>
      <c r="S45" s="93">
        <f t="shared" si="53"/>
        <v>0.17561130850082146</v>
      </c>
      <c r="T45" s="93">
        <f t="shared" si="54"/>
        <v>0.64734846080787789</v>
      </c>
      <c r="U45" s="93">
        <f t="shared" si="55"/>
        <v>0.41906002971032857</v>
      </c>
      <c r="V45" s="93">
        <f t="shared" si="56"/>
        <v>2.7894898718360328E-8</v>
      </c>
      <c r="W45" s="93">
        <f t="shared" si="57"/>
        <v>5.5070725531598252E-2</v>
      </c>
      <c r="X45" s="93">
        <f t="shared" si="58"/>
        <v>0.41906002971032857</v>
      </c>
      <c r="Y45" s="93">
        <f t="shared" si="59"/>
        <v>0.41906002971032857</v>
      </c>
      <c r="Z45" s="93">
        <f t="shared" si="60"/>
        <v>0.41906002971032857</v>
      </c>
      <c r="AA45" s="93">
        <f t="shared" si="61"/>
        <v>0.41906002971032857</v>
      </c>
      <c r="AB45" s="93">
        <f t="shared" si="62"/>
        <v>0.17561130850082146</v>
      </c>
      <c r="AC45" s="93">
        <f t="shared" si="63"/>
        <v>0.17561130850082146</v>
      </c>
      <c r="AD45" s="93">
        <f t="shared" si="64"/>
        <v>0.41906002971032857</v>
      </c>
      <c r="AE45" s="93">
        <f t="shared" si="65"/>
        <v>1.2923531247289399E-2</v>
      </c>
      <c r="AF45" s="93">
        <f t="shared" si="66"/>
        <v>1.2923531247289399E-2</v>
      </c>
      <c r="AG45" s="93">
        <f t="shared" si="67"/>
        <v>0.17561130850082146</v>
      </c>
      <c r="AH45" s="93">
        <f t="shared" si="68"/>
        <v>0.17561130850082146</v>
      </c>
      <c r="AI45" s="93">
        <f t="shared" si="69"/>
        <v>0.74832814543021919</v>
      </c>
      <c r="AJ45" s="93">
        <f t="shared" si="70"/>
        <v>0.17561130850082146</v>
      </c>
      <c r="AK45" s="93">
        <f t="shared" si="71"/>
        <v>1.6701765989966547E-4</v>
      </c>
      <c r="AL45" s="93">
        <f t="shared" si="72"/>
        <v>1.2923531247289399E-2</v>
      </c>
      <c r="AM45" s="93">
        <f t="shared" si="73"/>
        <v>0.17561130850082146</v>
      </c>
      <c r="AN45" s="93">
        <f t="shared" si="74"/>
        <v>1.6701765989966547E-4</v>
      </c>
      <c r="AO45" s="260">
        <f t="shared" si="39"/>
        <v>3.7964663969449294E-2</v>
      </c>
      <c r="AP45" s="261">
        <f t="shared" si="40"/>
        <v>0.2436436177214753</v>
      </c>
      <c r="AQ45" s="262">
        <f t="shared" si="41"/>
        <v>0.79252456915250735</v>
      </c>
      <c r="AR45" s="263">
        <f t="shared" si="42"/>
        <v>1.4232602250750692E-3</v>
      </c>
      <c r="AS45" s="260">
        <f t="shared" si="43"/>
        <v>1.0433539077657972E-5</v>
      </c>
      <c r="AT45" s="260">
        <f t="shared" si="38"/>
        <v>0.9999895664609223</v>
      </c>
    </row>
    <row r="46" spans="2:46" ht="12" customHeight="1">
      <c r="G46" s="218">
        <f t="shared" si="36"/>
        <v>8.89967637540453</v>
      </c>
      <c r="H46" s="215">
        <f t="shared" si="37"/>
        <v>1833.3333333333333</v>
      </c>
      <c r="I46" s="92">
        <v>44000</v>
      </c>
      <c r="J46" s="93">
        <f t="shared" si="44"/>
        <v>0.74329975327702069</v>
      </c>
      <c r="K46" s="93">
        <f t="shared" si="45"/>
        <v>0.16864906271228042</v>
      </c>
      <c r="L46" s="93">
        <f t="shared" si="46"/>
        <v>0.28044368537034958</v>
      </c>
      <c r="M46" s="93">
        <f t="shared" si="47"/>
        <v>0.74329975327702069</v>
      </c>
      <c r="N46" s="93">
        <f t="shared" si="48"/>
        <v>0.10807616230719268</v>
      </c>
      <c r="O46" s="93">
        <f t="shared" si="49"/>
        <v>1.8613983254365981E-8</v>
      </c>
      <c r="P46" s="93">
        <f t="shared" si="50"/>
        <v>0.74329975327702069</v>
      </c>
      <c r="Q46" s="93">
        <f t="shared" si="51"/>
        <v>0.41066904279757976</v>
      </c>
      <c r="R46" s="93">
        <f t="shared" si="52"/>
        <v>0.74329975327702069</v>
      </c>
      <c r="S46" s="93">
        <f t="shared" si="53"/>
        <v>0.16864906271228042</v>
      </c>
      <c r="T46" s="93">
        <f t="shared" si="54"/>
        <v>0.64083464544106838</v>
      </c>
      <c r="U46" s="93">
        <f t="shared" si="55"/>
        <v>0.41066904279757976</v>
      </c>
      <c r="V46" s="93">
        <f t="shared" si="56"/>
        <v>1.8613983254365981E-8</v>
      </c>
      <c r="W46" s="93">
        <f t="shared" si="57"/>
        <v>5.1480159817473121E-2</v>
      </c>
      <c r="X46" s="93">
        <f t="shared" si="58"/>
        <v>0.41066904279757976</v>
      </c>
      <c r="Y46" s="93">
        <f t="shared" si="59"/>
        <v>0.41066904279757976</v>
      </c>
      <c r="Z46" s="93">
        <f t="shared" si="60"/>
        <v>0.41066904279757976</v>
      </c>
      <c r="AA46" s="93">
        <f t="shared" si="61"/>
        <v>0.41066904279757976</v>
      </c>
      <c r="AB46" s="93">
        <f t="shared" si="62"/>
        <v>0.16864906271228042</v>
      </c>
      <c r="AC46" s="93">
        <f t="shared" si="63"/>
        <v>0.16864906271228042</v>
      </c>
      <c r="AD46" s="93">
        <f t="shared" si="64"/>
        <v>0.41066904279757976</v>
      </c>
      <c r="AE46" s="93">
        <f t="shared" si="65"/>
        <v>1.1680456859050656E-2</v>
      </c>
      <c r="AF46" s="93">
        <f t="shared" si="66"/>
        <v>1.1680456859050656E-2</v>
      </c>
      <c r="AG46" s="93">
        <f t="shared" si="67"/>
        <v>0.16864906271228042</v>
      </c>
      <c r="AH46" s="93">
        <f t="shared" si="68"/>
        <v>0.16864906271228042</v>
      </c>
      <c r="AI46" s="93">
        <f t="shared" si="69"/>
        <v>0.74329975327702069</v>
      </c>
      <c r="AJ46" s="93">
        <f t="shared" si="70"/>
        <v>0.16864906271228042</v>
      </c>
      <c r="AK46" s="93">
        <f t="shared" si="71"/>
        <v>1.364330724361435E-4</v>
      </c>
      <c r="AL46" s="93">
        <f t="shared" si="72"/>
        <v>1.1680456859050656E-2</v>
      </c>
      <c r="AM46" s="93">
        <f t="shared" si="73"/>
        <v>0.16864906271228042</v>
      </c>
      <c r="AN46" s="93">
        <f t="shared" si="74"/>
        <v>1.364330724361435E-4</v>
      </c>
      <c r="AO46" s="260">
        <f t="shared" si="39"/>
        <v>3.5179168463954684E-2</v>
      </c>
      <c r="AP46" s="261">
        <f t="shared" si="40"/>
        <v>0.23536100874245433</v>
      </c>
      <c r="AQ46" s="262">
        <f t="shared" si="41"/>
        <v>0.78659200930191875</v>
      </c>
      <c r="AR46" s="263">
        <f t="shared" si="42"/>
        <v>1.2025171092055456E-3</v>
      </c>
      <c r="AS46" s="260">
        <f t="shared" si="43"/>
        <v>7.8317872416614115E-6</v>
      </c>
      <c r="AT46" s="260">
        <f t="shared" si="38"/>
        <v>0.99999216821275838</v>
      </c>
    </row>
    <row r="47" spans="2:46" ht="12" customHeight="1">
      <c r="G47" s="218">
        <f t="shared" si="36"/>
        <v>9.1019417475728162</v>
      </c>
      <c r="H47" s="215">
        <f t="shared" si="37"/>
        <v>1875</v>
      </c>
      <c r="I47" s="92">
        <v>45000</v>
      </c>
      <c r="J47" s="93">
        <f t="shared" si="44"/>
        <v>0.73830514941282444</v>
      </c>
      <c r="K47" s="93">
        <f t="shared" si="45"/>
        <v>0.16196284052856219</v>
      </c>
      <c r="L47" s="93">
        <f t="shared" si="46"/>
        <v>0.27245620524000719</v>
      </c>
      <c r="M47" s="93">
        <f t="shared" si="47"/>
        <v>0.73830514941282444</v>
      </c>
      <c r="N47" s="93">
        <f t="shared" si="48"/>
        <v>0.10274701913345811</v>
      </c>
      <c r="O47" s="93">
        <f t="shared" si="49"/>
        <v>1.2420922409220514E-8</v>
      </c>
      <c r="P47" s="93">
        <f t="shared" si="50"/>
        <v>0.73830514941282444</v>
      </c>
      <c r="Q47" s="93">
        <f t="shared" si="51"/>
        <v>0.40244607157799689</v>
      </c>
      <c r="R47" s="93">
        <f t="shared" si="52"/>
        <v>0.73830514941282444</v>
      </c>
      <c r="S47" s="93">
        <f t="shared" si="53"/>
        <v>0.16196284052856219</v>
      </c>
      <c r="T47" s="93">
        <f t="shared" si="54"/>
        <v>0.63438637404817966</v>
      </c>
      <c r="U47" s="93">
        <f t="shared" si="55"/>
        <v>0.40244607157799689</v>
      </c>
      <c r="V47" s="93">
        <f t="shared" si="56"/>
        <v>1.2420922409220514E-8</v>
      </c>
      <c r="W47" s="93">
        <f t="shared" si="57"/>
        <v>4.812369601544382E-2</v>
      </c>
      <c r="X47" s="93">
        <f t="shared" si="58"/>
        <v>0.40244607157799689</v>
      </c>
      <c r="Y47" s="93">
        <f t="shared" si="59"/>
        <v>0.40244607157799689</v>
      </c>
      <c r="Z47" s="93">
        <f t="shared" si="60"/>
        <v>0.40244607157799689</v>
      </c>
      <c r="AA47" s="93">
        <f t="shared" si="61"/>
        <v>0.40244607157799689</v>
      </c>
      <c r="AB47" s="93">
        <f t="shared" si="62"/>
        <v>0.16196284052856219</v>
      </c>
      <c r="AC47" s="93">
        <f t="shared" si="63"/>
        <v>0.16196284052856219</v>
      </c>
      <c r="AD47" s="93">
        <f t="shared" si="64"/>
        <v>0.40244607157799689</v>
      </c>
      <c r="AE47" s="93">
        <f t="shared" si="65"/>
        <v>1.055694994081121E-2</v>
      </c>
      <c r="AF47" s="93">
        <f t="shared" si="66"/>
        <v>1.055694994081121E-2</v>
      </c>
      <c r="AG47" s="93">
        <f t="shared" si="67"/>
        <v>0.16196284052856219</v>
      </c>
      <c r="AH47" s="93">
        <f t="shared" si="68"/>
        <v>0.16196284052856219</v>
      </c>
      <c r="AI47" s="93">
        <f t="shared" si="69"/>
        <v>0.73830514941282444</v>
      </c>
      <c r="AJ47" s="93">
        <f t="shared" si="70"/>
        <v>0.16196284052856219</v>
      </c>
      <c r="AK47" s="93">
        <f t="shared" si="71"/>
        <v>1.1144919205279379E-4</v>
      </c>
      <c r="AL47" s="93">
        <f t="shared" si="72"/>
        <v>1.055694994081121E-2</v>
      </c>
      <c r="AM47" s="93">
        <f t="shared" si="73"/>
        <v>0.16196284052856219</v>
      </c>
      <c r="AN47" s="93">
        <f t="shared" si="74"/>
        <v>1.1144919205279379E-4</v>
      </c>
      <c r="AO47" s="260">
        <f t="shared" si="39"/>
        <v>3.2598555550353417E-2</v>
      </c>
      <c r="AP47" s="261">
        <f t="shared" si="40"/>
        <v>0.22736042502250645</v>
      </c>
      <c r="AQ47" s="262">
        <f t="shared" si="41"/>
        <v>0.78068999077583245</v>
      </c>
      <c r="AR47" s="263">
        <f t="shared" si="42"/>
        <v>1.0160063904530441E-3</v>
      </c>
      <c r="AS47" s="260">
        <f t="shared" si="43"/>
        <v>5.8787945127128349E-6</v>
      </c>
      <c r="AT47" s="260">
        <f t="shared" si="38"/>
        <v>0.99999412120548725</v>
      </c>
    </row>
    <row r="48" spans="2:46" ht="12" customHeight="1">
      <c r="G48" s="218">
        <f t="shared" si="36"/>
        <v>9.3042071197411005</v>
      </c>
      <c r="H48" s="215">
        <f t="shared" si="37"/>
        <v>1916.6666666666667</v>
      </c>
      <c r="I48" s="92">
        <v>46000</v>
      </c>
      <c r="J48" s="93">
        <f t="shared" si="44"/>
        <v>0.73334410679716933</v>
      </c>
      <c r="K48" s="93">
        <f t="shared" si="45"/>
        <v>0.15554169878093463</v>
      </c>
      <c r="L48" s="93">
        <f t="shared" si="46"/>
        <v>0.26469622118877362</v>
      </c>
      <c r="M48" s="93">
        <f t="shared" si="47"/>
        <v>0.73334410679716933</v>
      </c>
      <c r="N48" s="93">
        <f t="shared" si="48"/>
        <v>9.768065145396658E-2</v>
      </c>
      <c r="O48" s="93">
        <f t="shared" si="49"/>
        <v>8.2883556618484403E-9</v>
      </c>
      <c r="P48" s="93">
        <f t="shared" si="50"/>
        <v>0.73334410679716933</v>
      </c>
      <c r="Q48" s="93">
        <f t="shared" si="51"/>
        <v>0.39438775181404229</v>
      </c>
      <c r="R48" s="93">
        <f t="shared" si="52"/>
        <v>0.73334410679716933</v>
      </c>
      <c r="S48" s="93">
        <f t="shared" si="53"/>
        <v>0.15554169878093463</v>
      </c>
      <c r="T48" s="93">
        <f t="shared" si="54"/>
        <v>0.6280029871059869</v>
      </c>
      <c r="U48" s="93">
        <f t="shared" si="55"/>
        <v>0.39438775181404229</v>
      </c>
      <c r="V48" s="93">
        <f t="shared" si="56"/>
        <v>8.2883556618484403E-9</v>
      </c>
      <c r="W48" s="93">
        <f t="shared" si="57"/>
        <v>4.4986070874643957E-2</v>
      </c>
      <c r="X48" s="93">
        <f t="shared" si="58"/>
        <v>0.39438775181404229</v>
      </c>
      <c r="Y48" s="93">
        <f t="shared" si="59"/>
        <v>0.39438775181404229</v>
      </c>
      <c r="Z48" s="93">
        <f t="shared" si="60"/>
        <v>0.39438775181404229</v>
      </c>
      <c r="AA48" s="93">
        <f t="shared" si="61"/>
        <v>0.39438775181404229</v>
      </c>
      <c r="AB48" s="93">
        <f t="shared" si="62"/>
        <v>0.15554169878093463</v>
      </c>
      <c r="AC48" s="93">
        <f t="shared" si="63"/>
        <v>0.15554169878093463</v>
      </c>
      <c r="AD48" s="93">
        <f t="shared" si="64"/>
        <v>0.39438775181404229</v>
      </c>
      <c r="AE48" s="93">
        <f t="shared" si="65"/>
        <v>9.5415096684713045E-3</v>
      </c>
      <c r="AF48" s="93">
        <f t="shared" si="66"/>
        <v>9.5415096684713045E-3</v>
      </c>
      <c r="AG48" s="93">
        <f t="shared" si="67"/>
        <v>0.15554169878093463</v>
      </c>
      <c r="AH48" s="93">
        <f t="shared" si="68"/>
        <v>0.15554169878093463</v>
      </c>
      <c r="AI48" s="93">
        <f t="shared" si="69"/>
        <v>0.73334410679716933</v>
      </c>
      <c r="AJ48" s="93">
        <f t="shared" si="70"/>
        <v>0.15554169878093463</v>
      </c>
      <c r="AK48" s="93">
        <f t="shared" si="71"/>
        <v>9.1040406753531365E-5</v>
      </c>
      <c r="AL48" s="93">
        <f t="shared" si="72"/>
        <v>9.5415096684713045E-3</v>
      </c>
      <c r="AM48" s="93">
        <f t="shared" si="73"/>
        <v>0.15554169878093463</v>
      </c>
      <c r="AN48" s="93">
        <f t="shared" si="74"/>
        <v>9.1040406753531365E-5</v>
      </c>
      <c r="AO48" s="260">
        <f t="shared" si="39"/>
        <v>3.0207653559937795E-2</v>
      </c>
      <c r="AP48" s="261">
        <f t="shared" si="40"/>
        <v>0.21963259993310758</v>
      </c>
      <c r="AQ48" s="262">
        <f t="shared" si="41"/>
        <v>0.77482021742199247</v>
      </c>
      <c r="AR48" s="263">
        <f t="shared" si="42"/>
        <v>8.5842069381892791E-4</v>
      </c>
      <c r="AS48" s="260">
        <f t="shared" si="43"/>
        <v>4.412806836622566E-6</v>
      </c>
      <c r="AT48" s="260">
        <f t="shared" si="38"/>
        <v>0.99999558719316339</v>
      </c>
    </row>
    <row r="49" spans="7:46" ht="12" customHeight="1">
      <c r="G49" s="218">
        <f t="shared" si="36"/>
        <v>9.5064724919093848</v>
      </c>
      <c r="H49" s="215">
        <f t="shared" si="37"/>
        <v>1958.3333333333333</v>
      </c>
      <c r="I49" s="92">
        <v>47000</v>
      </c>
      <c r="J49" s="93">
        <f t="shared" si="44"/>
        <v>0.7284163999151928</v>
      </c>
      <c r="K49" s="93">
        <f t="shared" si="45"/>
        <v>0.14937512815103113</v>
      </c>
      <c r="L49" s="93">
        <f t="shared" si="46"/>
        <v>0.2571572537681665</v>
      </c>
      <c r="M49" s="93">
        <f t="shared" si="47"/>
        <v>0.7284163999151928</v>
      </c>
      <c r="N49" s="93">
        <f t="shared" si="48"/>
        <v>9.286410203373234E-2</v>
      </c>
      <c r="O49" s="93">
        <f t="shared" si="49"/>
        <v>5.5307357468314005E-9</v>
      </c>
      <c r="P49" s="93">
        <f t="shared" si="50"/>
        <v>0.7284163999151928</v>
      </c>
      <c r="Q49" s="93">
        <f t="shared" si="51"/>
        <v>0.38649078663149417</v>
      </c>
      <c r="R49" s="93">
        <f t="shared" si="52"/>
        <v>0.7284163999151928</v>
      </c>
      <c r="S49" s="93">
        <f t="shared" si="53"/>
        <v>0.14937512815103113</v>
      </c>
      <c r="T49" s="93">
        <f t="shared" si="54"/>
        <v>0.62168383172758657</v>
      </c>
      <c r="U49" s="93">
        <f t="shared" si="55"/>
        <v>0.38649078663149417</v>
      </c>
      <c r="V49" s="93">
        <f t="shared" si="56"/>
        <v>5.5307357468314005E-9</v>
      </c>
      <c r="W49" s="93">
        <f t="shared" si="57"/>
        <v>4.2053016295527865E-2</v>
      </c>
      <c r="X49" s="93">
        <f t="shared" si="58"/>
        <v>0.38649078663149417</v>
      </c>
      <c r="Y49" s="93">
        <f t="shared" si="59"/>
        <v>0.38649078663149417</v>
      </c>
      <c r="Z49" s="93">
        <f t="shared" si="60"/>
        <v>0.38649078663149417</v>
      </c>
      <c r="AA49" s="93">
        <f t="shared" si="61"/>
        <v>0.38649078663149417</v>
      </c>
      <c r="AB49" s="93">
        <f t="shared" si="62"/>
        <v>0.14937512815103113</v>
      </c>
      <c r="AC49" s="93">
        <f t="shared" si="63"/>
        <v>0.14937512815103113</v>
      </c>
      <c r="AD49" s="93">
        <f t="shared" si="64"/>
        <v>0.38649078663149417</v>
      </c>
      <c r="AE49" s="93">
        <f t="shared" si="65"/>
        <v>8.6237414465314514E-3</v>
      </c>
      <c r="AF49" s="93">
        <f t="shared" si="66"/>
        <v>8.6237414465314514E-3</v>
      </c>
      <c r="AG49" s="93">
        <f t="shared" si="67"/>
        <v>0.14937512815103113</v>
      </c>
      <c r="AH49" s="93">
        <f t="shared" si="68"/>
        <v>0.14937512815103113</v>
      </c>
      <c r="AI49" s="93">
        <f t="shared" si="69"/>
        <v>0.7284163999151928</v>
      </c>
      <c r="AJ49" s="93">
        <f t="shared" si="70"/>
        <v>0.14937512815103113</v>
      </c>
      <c r="AK49" s="93">
        <f t="shared" si="71"/>
        <v>7.4368916536624364E-5</v>
      </c>
      <c r="AL49" s="93">
        <f t="shared" si="72"/>
        <v>8.6237414465314514E-3</v>
      </c>
      <c r="AM49" s="93">
        <f t="shared" si="73"/>
        <v>0.14937512815103113</v>
      </c>
      <c r="AN49" s="93">
        <f t="shared" si="74"/>
        <v>7.4368916536624364E-5</v>
      </c>
      <c r="AO49" s="260">
        <f t="shared" si="39"/>
        <v>2.7992434397888569E-2</v>
      </c>
      <c r="AP49" s="261">
        <f t="shared" si="40"/>
        <v>0.21216851624397629</v>
      </c>
      <c r="AQ49" s="262">
        <f t="shared" si="41"/>
        <v>0.76898423498522872</v>
      </c>
      <c r="AR49" s="263">
        <f t="shared" si="42"/>
        <v>7.252750810409649E-4</v>
      </c>
      <c r="AS49" s="260">
        <f t="shared" si="43"/>
        <v>3.3123925635657448E-6</v>
      </c>
      <c r="AT49" s="260">
        <f t="shared" si="38"/>
        <v>0.99999668760743643</v>
      </c>
    </row>
    <row r="50" spans="7:46" ht="12" customHeight="1">
      <c r="G50" s="218">
        <f t="shared" si="36"/>
        <v>9.7087378640776691</v>
      </c>
      <c r="H50" s="215">
        <f t="shared" si="37"/>
        <v>2000</v>
      </c>
      <c r="I50" s="92">
        <v>48000</v>
      </c>
      <c r="J50" s="93">
        <f t="shared" si="44"/>
        <v>0.72352180476737982</v>
      </c>
      <c r="K50" s="93">
        <f t="shared" si="45"/>
        <v>0.14345303597051856</v>
      </c>
      <c r="L50" s="93">
        <f t="shared" si="46"/>
        <v>0.2498330080746537</v>
      </c>
      <c r="M50" s="93">
        <f t="shared" si="47"/>
        <v>0.72352180476737982</v>
      </c>
      <c r="N50" s="93">
        <f t="shared" si="48"/>
        <v>8.8285052547950188E-2</v>
      </c>
      <c r="O50" s="93">
        <f t="shared" si="49"/>
        <v>3.6906039206402392E-9</v>
      </c>
      <c r="P50" s="93">
        <f t="shared" si="50"/>
        <v>0.72352180476737982</v>
      </c>
      <c r="Q50" s="93">
        <f t="shared" si="51"/>
        <v>0.37875194517060712</v>
      </c>
      <c r="R50" s="93">
        <f t="shared" si="52"/>
        <v>0.72352180476737982</v>
      </c>
      <c r="S50" s="93">
        <f t="shared" si="53"/>
        <v>0.14345303597051856</v>
      </c>
      <c r="T50" s="93">
        <f t="shared" si="54"/>
        <v>0.61542826159562014</v>
      </c>
      <c r="U50" s="93">
        <f t="shared" si="55"/>
        <v>0.37875194517060712</v>
      </c>
      <c r="V50" s="93">
        <f t="shared" si="56"/>
        <v>3.6906039206402392E-9</v>
      </c>
      <c r="W50" s="93">
        <f t="shared" si="57"/>
        <v>3.9311194446828415E-2</v>
      </c>
      <c r="X50" s="93">
        <f t="shared" si="58"/>
        <v>0.37875194517060712</v>
      </c>
      <c r="Y50" s="93">
        <f t="shared" si="59"/>
        <v>0.37875194517060712</v>
      </c>
      <c r="Z50" s="93">
        <f t="shared" si="60"/>
        <v>0.37875194517060712</v>
      </c>
      <c r="AA50" s="93">
        <f t="shared" si="61"/>
        <v>0.37875194517060712</v>
      </c>
      <c r="AB50" s="93">
        <f t="shared" si="62"/>
        <v>0.14345303597051856</v>
      </c>
      <c r="AC50" s="93">
        <f t="shared" si="63"/>
        <v>0.14345303597051856</v>
      </c>
      <c r="AD50" s="93">
        <f t="shared" si="64"/>
        <v>0.37875194517060712</v>
      </c>
      <c r="AE50" s="93">
        <f t="shared" si="65"/>
        <v>7.7942505033943271E-3</v>
      </c>
      <c r="AF50" s="93">
        <f t="shared" si="66"/>
        <v>7.7942505033943271E-3</v>
      </c>
      <c r="AG50" s="93">
        <f t="shared" si="67"/>
        <v>0.14345303597051856</v>
      </c>
      <c r="AH50" s="93">
        <f t="shared" si="68"/>
        <v>0.14345303597051856</v>
      </c>
      <c r="AI50" s="93">
        <f t="shared" si="69"/>
        <v>0.72352180476737982</v>
      </c>
      <c r="AJ50" s="93">
        <f t="shared" si="70"/>
        <v>0.14345303597051856</v>
      </c>
      <c r="AK50" s="93">
        <f t="shared" si="71"/>
        <v>6.0750340909662715E-5</v>
      </c>
      <c r="AL50" s="93">
        <f t="shared" si="72"/>
        <v>7.7942505033943271E-3</v>
      </c>
      <c r="AM50" s="93">
        <f t="shared" si="73"/>
        <v>0.14345303597051856</v>
      </c>
      <c r="AN50" s="93">
        <f t="shared" si="74"/>
        <v>6.0750340909662715E-5</v>
      </c>
      <c r="AO50" s="260">
        <f t="shared" si="39"/>
        <v>2.59399234668501E-2</v>
      </c>
      <c r="AP50" s="261">
        <f t="shared" si="40"/>
        <v>0.20495940633679113</v>
      </c>
      <c r="AQ50" s="262">
        <f t="shared" si="41"/>
        <v>0.76318344125532767</v>
      </c>
      <c r="AR50" s="263">
        <f t="shared" si="42"/>
        <v>6.1277973632864252E-4</v>
      </c>
      <c r="AS50" s="260">
        <f t="shared" si="43"/>
        <v>2.4863935999578763E-6</v>
      </c>
      <c r="AT50" s="260">
        <f t="shared" si="38"/>
        <v>0.99999751360639999</v>
      </c>
    </row>
    <row r="51" spans="7:46" ht="12" customHeight="1">
      <c r="G51" s="218">
        <f t="shared" si="36"/>
        <v>9.9110032362459553</v>
      </c>
      <c r="H51" s="215">
        <f t="shared" si="37"/>
        <v>2041.6666666666667</v>
      </c>
      <c r="I51" s="92">
        <v>49000</v>
      </c>
      <c r="J51" s="93">
        <f t="shared" si="44"/>
        <v>0.71866009885938043</v>
      </c>
      <c r="K51" s="93">
        <f t="shared" si="45"/>
        <v>0.13776572970268502</v>
      </c>
      <c r="L51" s="93">
        <f t="shared" si="46"/>
        <v>0.24271736849352099</v>
      </c>
      <c r="M51" s="93">
        <f t="shared" si="47"/>
        <v>0.71866009885938043</v>
      </c>
      <c r="N51" s="93">
        <f t="shared" si="48"/>
        <v>8.3931792077880804E-2</v>
      </c>
      <c r="O51" s="93">
        <f t="shared" si="49"/>
        <v>2.4627025991701867E-9</v>
      </c>
      <c r="P51" s="93">
        <f t="shared" si="50"/>
        <v>0.71866009885938043</v>
      </c>
      <c r="Q51" s="93">
        <f t="shared" si="51"/>
        <v>0.37116806126428098</v>
      </c>
      <c r="R51" s="93">
        <f t="shared" si="52"/>
        <v>0.71866009885938043</v>
      </c>
      <c r="S51" s="93">
        <f t="shared" si="53"/>
        <v>0.13776572970268502</v>
      </c>
      <c r="T51" s="93">
        <f t="shared" si="54"/>
        <v>0.60923563689616922</v>
      </c>
      <c r="U51" s="93">
        <f t="shared" si="55"/>
        <v>0.37116806126428098</v>
      </c>
      <c r="V51" s="93">
        <f t="shared" si="56"/>
        <v>2.4627025991701867E-9</v>
      </c>
      <c r="W51" s="93">
        <f t="shared" si="57"/>
        <v>3.6748137112835248E-2</v>
      </c>
      <c r="X51" s="93">
        <f t="shared" si="58"/>
        <v>0.37116806126428098</v>
      </c>
      <c r="Y51" s="93">
        <f t="shared" si="59"/>
        <v>0.37116806126428098</v>
      </c>
      <c r="Z51" s="93">
        <f t="shared" si="60"/>
        <v>0.37116806126428098</v>
      </c>
      <c r="AA51" s="93">
        <f t="shared" si="61"/>
        <v>0.37116806126428098</v>
      </c>
      <c r="AB51" s="93">
        <f t="shared" si="62"/>
        <v>0.13776572970268502</v>
      </c>
      <c r="AC51" s="93">
        <f t="shared" si="63"/>
        <v>0.13776572970268502</v>
      </c>
      <c r="AD51" s="93">
        <f t="shared" si="64"/>
        <v>0.37116806126428098</v>
      </c>
      <c r="AE51" s="93">
        <f t="shared" si="65"/>
        <v>7.0445457214046141E-3</v>
      </c>
      <c r="AF51" s="93">
        <f t="shared" si="66"/>
        <v>7.0445457214046141E-3</v>
      </c>
      <c r="AG51" s="93">
        <f t="shared" si="67"/>
        <v>0.13776572970268502</v>
      </c>
      <c r="AH51" s="93">
        <f t="shared" si="68"/>
        <v>0.13776572970268502</v>
      </c>
      <c r="AI51" s="93">
        <f t="shared" si="69"/>
        <v>0.71866009885938043</v>
      </c>
      <c r="AJ51" s="93">
        <f t="shared" si="70"/>
        <v>0.13776572970268502</v>
      </c>
      <c r="AK51" s="93">
        <f t="shared" si="71"/>
        <v>4.9625624420960054E-5</v>
      </c>
      <c r="AL51" s="93">
        <f t="shared" si="72"/>
        <v>7.0445457214046141E-3</v>
      </c>
      <c r="AM51" s="93">
        <f t="shared" si="73"/>
        <v>0.13776572970268502</v>
      </c>
      <c r="AN51" s="93">
        <f t="shared" si="74"/>
        <v>4.9625624420960054E-5</v>
      </c>
      <c r="AO51" s="260">
        <f t="shared" si="39"/>
        <v>2.4038117404713032E-2</v>
      </c>
      <c r="AP51" s="261">
        <f t="shared" si="40"/>
        <v>0.19799675144335124</v>
      </c>
      <c r="AQ51" s="262">
        <f t="shared" si="41"/>
        <v>0.75741909563579879</v>
      </c>
      <c r="AR51" s="263">
        <f t="shared" si="42"/>
        <v>5.1773231905091505E-4</v>
      </c>
      <c r="AS51" s="260">
        <f t="shared" si="43"/>
        <v>1.8663798766365172E-6</v>
      </c>
      <c r="AT51" s="260">
        <f t="shared" si="38"/>
        <v>0.99999813362012335</v>
      </c>
    </row>
    <row r="52" spans="7:46" ht="12" customHeight="1">
      <c r="G52" s="218">
        <f t="shared" si="36"/>
        <v>10.11326860841424</v>
      </c>
      <c r="H52" s="215">
        <f t="shared" si="37"/>
        <v>2083.3333333333335</v>
      </c>
      <c r="I52" s="92">
        <v>50000</v>
      </c>
      <c r="J52" s="93">
        <f t="shared" si="44"/>
        <v>0.71383106119189599</v>
      </c>
      <c r="K52" s="93">
        <f t="shared" si="45"/>
        <v>0.13230390107891327</v>
      </c>
      <c r="L52" s="93">
        <f t="shared" si="46"/>
        <v>0.2358043935924431</v>
      </c>
      <c r="M52" s="93">
        <f t="shared" si="47"/>
        <v>0.71383106119189599</v>
      </c>
      <c r="N52" s="93">
        <f t="shared" si="48"/>
        <v>7.9793187160176582E-2</v>
      </c>
      <c r="O52" s="93">
        <f t="shared" si="49"/>
        <v>1.6433364897383693E-9</v>
      </c>
      <c r="P52" s="93">
        <f t="shared" si="50"/>
        <v>0.71383106119189599</v>
      </c>
      <c r="Q52" s="93">
        <f t="shared" si="51"/>
        <v>0.36373603214269723</v>
      </c>
      <c r="R52" s="93">
        <f t="shared" si="52"/>
        <v>0.71383106119189599</v>
      </c>
      <c r="S52" s="93">
        <f t="shared" si="53"/>
        <v>0.13230390107891327</v>
      </c>
      <c r="T52" s="93">
        <f t="shared" si="54"/>
        <v>0.60310532425331587</v>
      </c>
      <c r="U52" s="93">
        <f t="shared" si="55"/>
        <v>0.36373603214269723</v>
      </c>
      <c r="V52" s="93">
        <f t="shared" si="56"/>
        <v>1.6433364897383693E-9</v>
      </c>
      <c r="W52" s="93">
        <f t="shared" si="57"/>
        <v>3.4352188995180478E-2</v>
      </c>
      <c r="X52" s="93">
        <f t="shared" si="58"/>
        <v>0.36373603214269723</v>
      </c>
      <c r="Y52" s="93">
        <f t="shared" si="59"/>
        <v>0.36373603214269723</v>
      </c>
      <c r="Z52" s="93">
        <f t="shared" si="60"/>
        <v>0.36373603214269723</v>
      </c>
      <c r="AA52" s="93">
        <f t="shared" si="61"/>
        <v>0.36373603214269723</v>
      </c>
      <c r="AB52" s="93">
        <f t="shared" si="62"/>
        <v>0.13230390107891327</v>
      </c>
      <c r="AC52" s="93">
        <f t="shared" si="63"/>
        <v>0.13230390107891327</v>
      </c>
      <c r="AD52" s="93">
        <f t="shared" si="64"/>
        <v>0.36373603214269723</v>
      </c>
      <c r="AE52" s="93">
        <f t="shared" si="65"/>
        <v>6.3669527171789685E-3</v>
      </c>
      <c r="AF52" s="93">
        <f t="shared" si="66"/>
        <v>6.3669527171789685E-3</v>
      </c>
      <c r="AG52" s="93">
        <f t="shared" si="67"/>
        <v>0.13230390107891327</v>
      </c>
      <c r="AH52" s="93">
        <f t="shared" si="68"/>
        <v>0.13230390107891327</v>
      </c>
      <c r="AI52" s="93">
        <f t="shared" si="69"/>
        <v>0.71383106119189599</v>
      </c>
      <c r="AJ52" s="93">
        <f t="shared" si="70"/>
        <v>0.13230390107891327</v>
      </c>
      <c r="AK52" s="93">
        <f t="shared" si="71"/>
        <v>4.0538086902792651E-5</v>
      </c>
      <c r="AL52" s="93">
        <f t="shared" si="72"/>
        <v>6.3669527171789685E-3</v>
      </c>
      <c r="AM52" s="93">
        <f t="shared" si="73"/>
        <v>0.13230390107891327</v>
      </c>
      <c r="AN52" s="93">
        <f t="shared" si="74"/>
        <v>4.0538086902792651E-5</v>
      </c>
      <c r="AO52" s="260">
        <f t="shared" si="39"/>
        <v>2.2275908835389484E-2</v>
      </c>
      <c r="AP52" s="261">
        <f t="shared" si="40"/>
        <v>0.19127228003948499</v>
      </c>
      <c r="AQ52" s="262">
        <f t="shared" si="41"/>
        <v>0.75169232816459564</v>
      </c>
      <c r="AR52" s="263">
        <f t="shared" si="42"/>
        <v>4.3742695837668301E-4</v>
      </c>
      <c r="AS52" s="260">
        <f t="shared" si="43"/>
        <v>1.4009838514704664E-6</v>
      </c>
      <c r="AT52" s="260">
        <f t="shared" si="38"/>
        <v>0.99999859901614851</v>
      </c>
    </row>
    <row r="53" spans="7:46" ht="12" customHeight="1">
      <c r="G53" s="218">
        <f t="shared" si="36"/>
        <v>10.315533980582524</v>
      </c>
      <c r="H53" s="215">
        <f t="shared" si="37"/>
        <v>2125</v>
      </c>
      <c r="I53" s="92">
        <v>51000</v>
      </c>
      <c r="J53" s="93">
        <f t="shared" si="44"/>
        <v>0.70903447225063265</v>
      </c>
      <c r="K53" s="93">
        <f t="shared" si="45"/>
        <v>0.12705861086407544</v>
      </c>
      <c r="L53" s="93">
        <f t="shared" si="46"/>
        <v>0.22908831116049319</v>
      </c>
      <c r="M53" s="93">
        <f t="shared" si="47"/>
        <v>0.70903447225063265</v>
      </c>
      <c r="N53" s="93">
        <f t="shared" si="48"/>
        <v>7.5858653313050153E-2</v>
      </c>
      <c r="O53" s="93">
        <f t="shared" si="49"/>
        <v>1.0965817875920475E-9</v>
      </c>
      <c r="P53" s="93">
        <f t="shared" si="50"/>
        <v>0.70903447225063265</v>
      </c>
      <c r="Q53" s="93">
        <f t="shared" si="51"/>
        <v>0.3564528171638926</v>
      </c>
      <c r="R53" s="93">
        <f t="shared" si="52"/>
        <v>0.70903447225063265</v>
      </c>
      <c r="S53" s="93">
        <f t="shared" si="53"/>
        <v>0.12705861086407544</v>
      </c>
      <c r="T53" s="93">
        <f t="shared" si="54"/>
        <v>0.59703669666436132</v>
      </c>
      <c r="U53" s="93">
        <f t="shared" si="55"/>
        <v>0.3564528171638926</v>
      </c>
      <c r="V53" s="93">
        <f t="shared" si="56"/>
        <v>1.0965817875920475E-9</v>
      </c>
      <c r="W53" s="93">
        <f t="shared" si="57"/>
        <v>3.211245471130094E-2</v>
      </c>
      <c r="X53" s="93">
        <f t="shared" si="58"/>
        <v>0.3564528171638926</v>
      </c>
      <c r="Y53" s="93">
        <f t="shared" si="59"/>
        <v>0.3564528171638926</v>
      </c>
      <c r="Z53" s="93">
        <f t="shared" si="60"/>
        <v>0.3564528171638926</v>
      </c>
      <c r="AA53" s="93">
        <f t="shared" si="61"/>
        <v>0.3564528171638926</v>
      </c>
      <c r="AB53" s="93">
        <f t="shared" si="62"/>
        <v>0.12705861086407544</v>
      </c>
      <c r="AC53" s="93">
        <f t="shared" si="63"/>
        <v>0.12705861086407544</v>
      </c>
      <c r="AD53" s="93">
        <f t="shared" si="64"/>
        <v>0.3564528171638926</v>
      </c>
      <c r="AE53" s="93">
        <f t="shared" si="65"/>
        <v>5.7545352824695346E-3</v>
      </c>
      <c r="AF53" s="93">
        <f t="shared" si="66"/>
        <v>5.7545352824695346E-3</v>
      </c>
      <c r="AG53" s="93">
        <f t="shared" si="67"/>
        <v>0.12705861086407544</v>
      </c>
      <c r="AH53" s="93">
        <f t="shared" si="68"/>
        <v>0.12705861086407544</v>
      </c>
      <c r="AI53" s="93">
        <f t="shared" si="69"/>
        <v>0.70903447225063265</v>
      </c>
      <c r="AJ53" s="93">
        <f t="shared" si="70"/>
        <v>0.12705861086407544</v>
      </c>
      <c r="AK53" s="93">
        <f t="shared" si="71"/>
        <v>3.3114676317186731E-5</v>
      </c>
      <c r="AL53" s="93">
        <f t="shared" si="72"/>
        <v>5.7545352824695346E-3</v>
      </c>
      <c r="AM53" s="93">
        <f t="shared" si="73"/>
        <v>0.12705861086407544</v>
      </c>
      <c r="AN53" s="93">
        <f t="shared" si="74"/>
        <v>3.3114676317186731E-5</v>
      </c>
      <c r="AO53" s="260">
        <f t="shared" si="39"/>
        <v>2.0643017431574359E-2</v>
      </c>
      <c r="AP53" s="261">
        <f t="shared" si="40"/>
        <v>0.18477796551225234</v>
      </c>
      <c r="AQ53" s="262">
        <f t="shared" si="41"/>
        <v>0.74600414801626114</v>
      </c>
      <c r="AR53" s="263">
        <f t="shared" si="42"/>
        <v>3.6957732602971435E-4</v>
      </c>
      <c r="AS53" s="260">
        <f t="shared" si="43"/>
        <v>1.0516468408333139E-6</v>
      </c>
      <c r="AT53" s="260">
        <f t="shared" si="38"/>
        <v>0.99999894835315917</v>
      </c>
    </row>
    <row r="54" spans="7:46" ht="12" customHeight="1">
      <c r="G54" s="218">
        <f t="shared" si="36"/>
        <v>10.517799352750808</v>
      </c>
      <c r="H54" s="215">
        <f t="shared" si="37"/>
        <v>2166.6666666666665</v>
      </c>
      <c r="I54" s="92">
        <v>52000</v>
      </c>
      <c r="J54" s="93">
        <f t="shared" si="44"/>
        <v>0.70427011399632355</v>
      </c>
      <c r="K54" s="93">
        <f t="shared" si="45"/>
        <v>0.12202127422591613</v>
      </c>
      <c r="L54" s="93">
        <f t="shared" si="46"/>
        <v>0.22256351338844965</v>
      </c>
      <c r="M54" s="93">
        <f t="shared" si="47"/>
        <v>0.70427011399632355</v>
      </c>
      <c r="N54" s="93">
        <f t="shared" si="48"/>
        <v>7.2118127966462817E-2</v>
      </c>
      <c r="O54" s="93">
        <f t="shared" si="49"/>
        <v>7.3173791514238903E-10</v>
      </c>
      <c r="P54" s="93">
        <f t="shared" si="50"/>
        <v>0.70427011399632355</v>
      </c>
      <c r="Q54" s="93">
        <f t="shared" si="51"/>
        <v>0.34931543656975156</v>
      </c>
      <c r="R54" s="93">
        <f t="shared" si="52"/>
        <v>0.70427011399632355</v>
      </c>
      <c r="S54" s="93">
        <f t="shared" si="53"/>
        <v>0.12202127422591613</v>
      </c>
      <c r="T54" s="93">
        <f t="shared" si="54"/>
        <v>0.59102913343569752</v>
      </c>
      <c r="U54" s="93">
        <f t="shared" si="55"/>
        <v>0.34931543656975156</v>
      </c>
      <c r="V54" s="93">
        <f t="shared" si="56"/>
        <v>7.3173791514238903E-10</v>
      </c>
      <c r="W54" s="93">
        <f t="shared" si="57"/>
        <v>3.0018749248556759E-2</v>
      </c>
      <c r="X54" s="93">
        <f t="shared" si="58"/>
        <v>0.34931543656975156</v>
      </c>
      <c r="Y54" s="93">
        <f t="shared" si="59"/>
        <v>0.34931543656975156</v>
      </c>
      <c r="Z54" s="93">
        <f t="shared" si="60"/>
        <v>0.34931543656975156</v>
      </c>
      <c r="AA54" s="93">
        <f t="shared" si="61"/>
        <v>0.34931543656975156</v>
      </c>
      <c r="AB54" s="93">
        <f t="shared" si="62"/>
        <v>0.12202127422591613</v>
      </c>
      <c r="AC54" s="93">
        <f t="shared" si="63"/>
        <v>0.12202127422591613</v>
      </c>
      <c r="AD54" s="93">
        <f t="shared" si="64"/>
        <v>0.34931543656975156</v>
      </c>
      <c r="AE54" s="93">
        <f t="shared" si="65"/>
        <v>5.2010243813871062E-3</v>
      </c>
      <c r="AF54" s="93">
        <f t="shared" si="66"/>
        <v>5.2010243813871062E-3</v>
      </c>
      <c r="AG54" s="93">
        <f t="shared" si="67"/>
        <v>0.12202127422591613</v>
      </c>
      <c r="AH54" s="93">
        <f t="shared" si="68"/>
        <v>0.12202127422591613</v>
      </c>
      <c r="AI54" s="93">
        <f t="shared" si="69"/>
        <v>0.70427011399632355</v>
      </c>
      <c r="AJ54" s="93">
        <f t="shared" si="70"/>
        <v>0.12202127422591613</v>
      </c>
      <c r="AK54" s="93">
        <f t="shared" si="71"/>
        <v>2.7050654615783126E-5</v>
      </c>
      <c r="AL54" s="93">
        <f t="shared" si="72"/>
        <v>5.2010243813871062E-3</v>
      </c>
      <c r="AM54" s="93">
        <f t="shared" si="73"/>
        <v>0.12202127422591613</v>
      </c>
      <c r="AN54" s="93">
        <f t="shared" si="74"/>
        <v>2.7050654615783126E-5</v>
      </c>
      <c r="AO54" s="260">
        <f t="shared" si="39"/>
        <v>1.9129926674242625E-2</v>
      </c>
      <c r="AP54" s="261">
        <f t="shared" si="40"/>
        <v>0.17850602320550654</v>
      </c>
      <c r="AQ54" s="262">
        <f t="shared" si="41"/>
        <v>0.74035545151345161</v>
      </c>
      <c r="AR54" s="263">
        <f t="shared" si="42"/>
        <v>3.1225161547812494E-4</v>
      </c>
      <c r="AS54" s="260">
        <f t="shared" si="43"/>
        <v>7.8942550335425532E-7</v>
      </c>
      <c r="AT54" s="260">
        <f t="shared" si="38"/>
        <v>0.9999992105744967</v>
      </c>
    </row>
    <row r="55" spans="7:46" ht="12" customHeight="1">
      <c r="G55" s="218">
        <f t="shared" si="36"/>
        <v>10.720064724919094</v>
      </c>
      <c r="H55" s="215">
        <f t="shared" si="37"/>
        <v>2208.3333333333335</v>
      </c>
      <c r="I55" s="92">
        <v>53000</v>
      </c>
      <c r="J55" s="93">
        <f t="shared" si="44"/>
        <v>0.69953776985481675</v>
      </c>
      <c r="K55" s="93">
        <f t="shared" si="45"/>
        <v>0.11718364668447666</v>
      </c>
      <c r="L55" s="93">
        <f t="shared" si="46"/>
        <v>0.2162245521863751</v>
      </c>
      <c r="M55" s="93">
        <f t="shared" si="47"/>
        <v>0.69953776985481675</v>
      </c>
      <c r="N55" s="93">
        <f t="shared" si="48"/>
        <v>6.856204472710252E-2</v>
      </c>
      <c r="O55" s="93">
        <f t="shared" si="49"/>
        <v>4.8828129603783609E-10</v>
      </c>
      <c r="P55" s="93">
        <f t="shared" si="50"/>
        <v>0.69953776985481675</v>
      </c>
      <c r="Q55" s="93">
        <f t="shared" si="51"/>
        <v>0.34232097026690705</v>
      </c>
      <c r="R55" s="93">
        <f t="shared" si="52"/>
        <v>0.69953776985481675</v>
      </c>
      <c r="S55" s="93">
        <f t="shared" si="53"/>
        <v>0.11718364668447666</v>
      </c>
      <c r="T55" s="93">
        <f t="shared" si="54"/>
        <v>0.58508202011932231</v>
      </c>
      <c r="U55" s="93">
        <f t="shared" si="55"/>
        <v>0.34232097026690705</v>
      </c>
      <c r="V55" s="93">
        <f t="shared" si="56"/>
        <v>4.8828129603783609E-10</v>
      </c>
      <c r="W55" s="93">
        <f t="shared" si="57"/>
        <v>2.8061551648700493E-2</v>
      </c>
      <c r="X55" s="93">
        <f t="shared" si="58"/>
        <v>0.34232097026690705</v>
      </c>
      <c r="Y55" s="93">
        <f t="shared" si="59"/>
        <v>0.34232097026690705</v>
      </c>
      <c r="Z55" s="93">
        <f t="shared" si="60"/>
        <v>0.34232097026690705</v>
      </c>
      <c r="AA55" s="93">
        <f t="shared" si="61"/>
        <v>0.34232097026690705</v>
      </c>
      <c r="AB55" s="93">
        <f t="shared" si="62"/>
        <v>0.11718364668447666</v>
      </c>
      <c r="AC55" s="93">
        <f t="shared" si="63"/>
        <v>0.11718364668447666</v>
      </c>
      <c r="AD55" s="93">
        <f t="shared" si="64"/>
        <v>0.34232097026690705</v>
      </c>
      <c r="AE55" s="93">
        <f t="shared" si="65"/>
        <v>4.7007539771612063E-3</v>
      </c>
      <c r="AF55" s="93">
        <f t="shared" si="66"/>
        <v>4.7007539771612063E-3</v>
      </c>
      <c r="AG55" s="93">
        <f t="shared" si="67"/>
        <v>0.11718364668447666</v>
      </c>
      <c r="AH55" s="93">
        <f t="shared" si="68"/>
        <v>0.11718364668447666</v>
      </c>
      <c r="AI55" s="93">
        <f t="shared" si="69"/>
        <v>0.69953776985481675</v>
      </c>
      <c r="AJ55" s="93">
        <f t="shared" si="70"/>
        <v>0.11718364668447666</v>
      </c>
      <c r="AK55" s="93">
        <f t="shared" si="71"/>
        <v>2.20970879537969E-5</v>
      </c>
      <c r="AL55" s="93">
        <f t="shared" si="72"/>
        <v>4.7007539771612063E-3</v>
      </c>
      <c r="AM55" s="93">
        <f t="shared" si="73"/>
        <v>0.11718364668447666</v>
      </c>
      <c r="AN55" s="93">
        <f t="shared" si="74"/>
        <v>2.20970879537969E-5</v>
      </c>
      <c r="AO55" s="260">
        <f t="shared" si="39"/>
        <v>1.7727825767096562E-2</v>
      </c>
      <c r="AP55" s="261">
        <f t="shared" si="40"/>
        <v>0.17244890693757398</v>
      </c>
      <c r="AQ55" s="262">
        <f t="shared" si="41"/>
        <v>0.73474702967434313</v>
      </c>
      <c r="AR55" s="263">
        <f t="shared" si="42"/>
        <v>2.6381758894344876E-4</v>
      </c>
      <c r="AS55" s="260">
        <f t="shared" si="43"/>
        <v>5.9259435032037263E-7</v>
      </c>
      <c r="AT55" s="260">
        <f t="shared" si="38"/>
        <v>0.99999940740564963</v>
      </c>
    </row>
    <row r="56" spans="7:46" ht="12" customHeight="1">
      <c r="G56" s="218">
        <f t="shared" si="36"/>
        <v>10.922330097087379</v>
      </c>
      <c r="H56" s="215">
        <f t="shared" si="37"/>
        <v>2250</v>
      </c>
      <c r="I56" s="92">
        <v>54000</v>
      </c>
      <c r="J56" s="93">
        <f t="shared" si="44"/>
        <v>0.69483722470723097</v>
      </c>
      <c r="K56" s="93">
        <f t="shared" si="45"/>
        <v>0.11253781061856601</v>
      </c>
      <c r="L56" s="93">
        <f t="shared" si="46"/>
        <v>0.21006613463455859</v>
      </c>
      <c r="M56" s="93">
        <f t="shared" si="47"/>
        <v>0.69483722470723097</v>
      </c>
      <c r="N56" s="93">
        <f t="shared" si="48"/>
        <v>6.5181308912333438E-2</v>
      </c>
      <c r="O56" s="93">
        <f t="shared" si="49"/>
        <v>3.2582516106739526E-10</v>
      </c>
      <c r="P56" s="93">
        <f t="shared" si="50"/>
        <v>0.69483722470723097</v>
      </c>
      <c r="Q56" s="93">
        <f t="shared" si="51"/>
        <v>0.33546655663205238</v>
      </c>
      <c r="R56" s="93">
        <f t="shared" si="52"/>
        <v>0.69483722470723097</v>
      </c>
      <c r="S56" s="93">
        <f t="shared" si="53"/>
        <v>0.11253781061856601</v>
      </c>
      <c r="T56" s="93">
        <f t="shared" si="54"/>
        <v>0.57919474844999452</v>
      </c>
      <c r="U56" s="93">
        <f t="shared" si="55"/>
        <v>0.33546655663205238</v>
      </c>
      <c r="V56" s="93">
        <f t="shared" si="56"/>
        <v>3.2582516106739526E-10</v>
      </c>
      <c r="W56" s="93">
        <f t="shared" si="57"/>
        <v>2.6231961712080479E-2</v>
      </c>
      <c r="X56" s="93">
        <f t="shared" si="58"/>
        <v>0.33546655663205238</v>
      </c>
      <c r="Y56" s="93">
        <f t="shared" si="59"/>
        <v>0.33546655663205238</v>
      </c>
      <c r="Z56" s="93">
        <f t="shared" si="60"/>
        <v>0.33546655663205238</v>
      </c>
      <c r="AA56" s="93">
        <f t="shared" si="61"/>
        <v>0.33546655663205238</v>
      </c>
      <c r="AB56" s="93">
        <f t="shared" si="62"/>
        <v>0.11253781061856601</v>
      </c>
      <c r="AC56" s="93">
        <f t="shared" si="63"/>
        <v>0.11253781061856601</v>
      </c>
      <c r="AD56" s="93">
        <f t="shared" si="64"/>
        <v>0.33546655663205238</v>
      </c>
      <c r="AE56" s="93">
        <f t="shared" si="65"/>
        <v>4.2486030315250396E-3</v>
      </c>
      <c r="AF56" s="93">
        <f t="shared" si="66"/>
        <v>4.2486030315250396E-3</v>
      </c>
      <c r="AG56" s="93">
        <f t="shared" si="67"/>
        <v>0.11253781061856601</v>
      </c>
      <c r="AH56" s="93">
        <f t="shared" si="68"/>
        <v>0.11253781061856601</v>
      </c>
      <c r="AI56" s="93">
        <f t="shared" si="69"/>
        <v>0.69483722470723097</v>
      </c>
      <c r="AJ56" s="93">
        <f t="shared" si="70"/>
        <v>0.11253781061856601</v>
      </c>
      <c r="AK56" s="93">
        <f t="shared" si="71"/>
        <v>1.8050627719483755E-5</v>
      </c>
      <c r="AL56" s="93">
        <f t="shared" si="72"/>
        <v>4.2486030315250396E-3</v>
      </c>
      <c r="AM56" s="93">
        <f t="shared" si="73"/>
        <v>0.11253781061856601</v>
      </c>
      <c r="AN56" s="93">
        <f t="shared" si="74"/>
        <v>1.8050627719483755E-5</v>
      </c>
      <c r="AO56" s="260">
        <f t="shared" si="39"/>
        <v>1.6428556227211333E-2</v>
      </c>
      <c r="AP56" s="261">
        <f t="shared" si="40"/>
        <v>0.16659930507459522</v>
      </c>
      <c r="AQ56" s="262">
        <f t="shared" si="41"/>
        <v>0.7291795753210617</v>
      </c>
      <c r="AR56" s="263">
        <f t="shared" si="42"/>
        <v>2.2289613621044737E-4</v>
      </c>
      <c r="AS56" s="260">
        <f t="shared" si="43"/>
        <v>4.4484592813650906E-7</v>
      </c>
      <c r="AT56" s="260">
        <f t="shared" si="38"/>
        <v>0.99999955515407191</v>
      </c>
    </row>
    <row r="57" spans="7:46" ht="12" customHeight="1">
      <c r="G57" s="218">
        <f t="shared" si="36"/>
        <v>11.124595469255663</v>
      </c>
      <c r="H57" s="215">
        <f t="shared" si="37"/>
        <v>2291.6666666666665</v>
      </c>
      <c r="I57" s="92">
        <v>55000</v>
      </c>
      <c r="J57" s="93">
        <f t="shared" si="44"/>
        <v>0.69016826488017624</v>
      </c>
      <c r="K57" s="93">
        <f t="shared" si="45"/>
        <v>0.10807616230719273</v>
      </c>
      <c r="L57" s="93">
        <f t="shared" si="46"/>
        <v>0.20408311856402178</v>
      </c>
      <c r="M57" s="93">
        <f t="shared" si="47"/>
        <v>0.69016826488017624</v>
      </c>
      <c r="N57" s="93">
        <f t="shared" si="48"/>
        <v>6.1967274290545889E-2</v>
      </c>
      <c r="O57" s="93">
        <f t="shared" si="49"/>
        <v>2.1741982837771317E-10</v>
      </c>
      <c r="P57" s="93">
        <f t="shared" si="50"/>
        <v>0.69016826488017624</v>
      </c>
      <c r="Q57" s="93">
        <f t="shared" si="51"/>
        <v>0.32874939134117453</v>
      </c>
      <c r="R57" s="93">
        <f t="shared" si="52"/>
        <v>0.69016826488017624</v>
      </c>
      <c r="S57" s="93">
        <f t="shared" si="53"/>
        <v>0.10807616230719273</v>
      </c>
      <c r="T57" s="93">
        <f t="shared" si="54"/>
        <v>0.57336671628302116</v>
      </c>
      <c r="U57" s="93">
        <f t="shared" si="55"/>
        <v>0.32874939134117453</v>
      </c>
      <c r="V57" s="93">
        <f t="shared" si="56"/>
        <v>2.1741982837771317E-10</v>
      </c>
      <c r="W57" s="93">
        <f t="shared" si="57"/>
        <v>2.4521659524694258E-2</v>
      </c>
      <c r="X57" s="93">
        <f t="shared" si="58"/>
        <v>0.32874939134117453</v>
      </c>
      <c r="Y57" s="93">
        <f t="shared" si="59"/>
        <v>0.32874939134117453</v>
      </c>
      <c r="Z57" s="93">
        <f t="shared" si="60"/>
        <v>0.32874939134117453</v>
      </c>
      <c r="AA57" s="93">
        <f t="shared" si="61"/>
        <v>0.32874939134117453</v>
      </c>
      <c r="AB57" s="93">
        <f t="shared" si="62"/>
        <v>0.10807616230719273</v>
      </c>
      <c r="AC57" s="93">
        <f t="shared" si="63"/>
        <v>0.10807616230719273</v>
      </c>
      <c r="AD57" s="93">
        <f t="shared" si="64"/>
        <v>0.32874939134117453</v>
      </c>
      <c r="AE57" s="93">
        <f t="shared" si="65"/>
        <v>3.8399430829997496E-3</v>
      </c>
      <c r="AF57" s="93">
        <f t="shared" si="66"/>
        <v>3.8399430829997496E-3</v>
      </c>
      <c r="AG57" s="93">
        <f t="shared" si="67"/>
        <v>0.10807616230719273</v>
      </c>
      <c r="AH57" s="93">
        <f t="shared" si="68"/>
        <v>0.10807616230719273</v>
      </c>
      <c r="AI57" s="93">
        <f t="shared" si="69"/>
        <v>0.69016826488017624</v>
      </c>
      <c r="AJ57" s="93">
        <f t="shared" si="70"/>
        <v>0.10807616230719273</v>
      </c>
      <c r="AK57" s="93">
        <f t="shared" si="71"/>
        <v>1.4745162880677621E-5</v>
      </c>
      <c r="AL57" s="93">
        <f t="shared" si="72"/>
        <v>3.8399430829997496E-3</v>
      </c>
      <c r="AM57" s="93">
        <f t="shared" si="73"/>
        <v>0.10807616230719273</v>
      </c>
      <c r="AN57" s="93">
        <f t="shared" si="74"/>
        <v>1.4745162880677621E-5</v>
      </c>
      <c r="AO57" s="260">
        <f t="shared" si="39"/>
        <v>1.5224562727328876E-2</v>
      </c>
      <c r="AP57" s="261">
        <f t="shared" si="40"/>
        <v>0.16095013623383417</v>
      </c>
      <c r="AQ57" s="262">
        <f t="shared" si="41"/>
        <v>0.72365368977296307</v>
      </c>
      <c r="AR57" s="263">
        <f t="shared" si="42"/>
        <v>1.8832202879699985E-4</v>
      </c>
      <c r="AS57" s="260">
        <f t="shared" si="43"/>
        <v>3.3393972218703047E-7</v>
      </c>
      <c r="AT57" s="260">
        <f t="shared" si="38"/>
        <v>0.99999966606027779</v>
      </c>
    </row>
    <row r="58" spans="7:46" ht="12" customHeight="1">
      <c r="G58" s="218">
        <f t="shared" si="36"/>
        <v>11.326860841423949</v>
      </c>
      <c r="H58" s="215">
        <f t="shared" si="37"/>
        <v>2333.3333333333335</v>
      </c>
      <c r="I58" s="92">
        <v>56000</v>
      </c>
      <c r="J58" s="93">
        <f t="shared" si="44"/>
        <v>0.68553067813604152</v>
      </c>
      <c r="K58" s="93">
        <f t="shared" si="45"/>
        <v>0.10379139948474944</v>
      </c>
      <c r="L58" s="93">
        <f t="shared" si="46"/>
        <v>0.1982705082628993</v>
      </c>
      <c r="M58" s="93">
        <f t="shared" si="47"/>
        <v>0.68553067813604152</v>
      </c>
      <c r="N58" s="93">
        <f t="shared" si="48"/>
        <v>5.891172096841963E-2</v>
      </c>
      <c r="O58" s="93">
        <f t="shared" si="49"/>
        <v>1.4508204835051574E-10</v>
      </c>
      <c r="P58" s="93">
        <f t="shared" si="50"/>
        <v>0.68553067813604152</v>
      </c>
      <c r="Q58" s="93">
        <f t="shared" si="51"/>
        <v>0.32216672622223019</v>
      </c>
      <c r="R58" s="93">
        <f t="shared" si="52"/>
        <v>0.68553067813604152</v>
      </c>
      <c r="S58" s="93">
        <f t="shared" si="53"/>
        <v>0.10379139948474944</v>
      </c>
      <c r="T58" s="93">
        <f t="shared" si="54"/>
        <v>0.567597327532671</v>
      </c>
      <c r="U58" s="93">
        <f t="shared" si="55"/>
        <v>0.32216672622223019</v>
      </c>
      <c r="V58" s="93">
        <f t="shared" si="56"/>
        <v>1.4508204835051574E-10</v>
      </c>
      <c r="W58" s="93">
        <f t="shared" si="57"/>
        <v>2.2922867624044645E-2</v>
      </c>
      <c r="X58" s="93">
        <f t="shared" si="58"/>
        <v>0.32216672622223019</v>
      </c>
      <c r="Y58" s="93">
        <f t="shared" si="59"/>
        <v>0.32216672622223019</v>
      </c>
      <c r="Z58" s="93">
        <f t="shared" si="60"/>
        <v>0.32216672622223019</v>
      </c>
      <c r="AA58" s="93">
        <f t="shared" si="61"/>
        <v>0.32216672622223019</v>
      </c>
      <c r="AB58" s="93">
        <f t="shared" si="62"/>
        <v>0.10379139948474944</v>
      </c>
      <c r="AC58" s="93">
        <f t="shared" si="63"/>
        <v>0.10379139948474944</v>
      </c>
      <c r="AD58" s="93">
        <f t="shared" si="64"/>
        <v>0.32216672622223019</v>
      </c>
      <c r="AE58" s="93">
        <f t="shared" si="65"/>
        <v>3.4705908674609329E-3</v>
      </c>
      <c r="AF58" s="93">
        <f t="shared" si="66"/>
        <v>3.4705908674609329E-3</v>
      </c>
      <c r="AG58" s="93">
        <f t="shared" si="67"/>
        <v>0.10379139948474944</v>
      </c>
      <c r="AH58" s="93">
        <f t="shared" si="68"/>
        <v>0.10379139948474944</v>
      </c>
      <c r="AI58" s="93">
        <f t="shared" si="69"/>
        <v>0.68553067813604152</v>
      </c>
      <c r="AJ58" s="93">
        <f t="shared" si="70"/>
        <v>0.10379139948474944</v>
      </c>
      <c r="AK58" s="93">
        <f t="shared" si="71"/>
        <v>1.204500096930323E-5</v>
      </c>
      <c r="AL58" s="93">
        <f t="shared" si="72"/>
        <v>3.4705908674609329E-3</v>
      </c>
      <c r="AM58" s="93">
        <f t="shared" si="73"/>
        <v>0.10379139948474944</v>
      </c>
      <c r="AN58" s="93">
        <f t="shared" si="74"/>
        <v>1.204500096930323E-5</v>
      </c>
      <c r="AO58" s="260">
        <f t="shared" si="39"/>
        <v>1.4108847811986422E-2</v>
      </c>
      <c r="AP58" s="261">
        <f t="shared" si="40"/>
        <v>0.15549454468293758</v>
      </c>
      <c r="AQ58" s="262">
        <f t="shared" si="41"/>
        <v>0.71816988914735602</v>
      </c>
      <c r="AR58" s="263">
        <f t="shared" si="42"/>
        <v>1.5911075602267094E-4</v>
      </c>
      <c r="AS58" s="260">
        <f t="shared" si="43"/>
        <v>2.5068793770523541E-7</v>
      </c>
      <c r="AT58" s="260">
        <f t="shared" si="38"/>
        <v>0.99999974931206226</v>
      </c>
    </row>
    <row r="59" spans="7:46" ht="12" customHeight="1">
      <c r="G59" s="218">
        <f t="shared" si="36"/>
        <v>11.529126213592233</v>
      </c>
      <c r="H59" s="215">
        <f t="shared" si="37"/>
        <v>2375</v>
      </c>
      <c r="I59" s="92">
        <v>57000</v>
      </c>
      <c r="J59" s="93">
        <f t="shared" si="44"/>
        <v>0.68092425366334675</v>
      </c>
      <c r="K59" s="93">
        <f t="shared" si="45"/>
        <v>9.9676509389581683E-2</v>
      </c>
      <c r="L59" s="93">
        <f t="shared" si="46"/>
        <v>0.1926234503051085</v>
      </c>
      <c r="M59" s="93">
        <f t="shared" si="47"/>
        <v>0.68092425366334675</v>
      </c>
      <c r="N59" s="93">
        <f t="shared" si="48"/>
        <v>5.6006834368547136E-2</v>
      </c>
      <c r="O59" s="93">
        <f t="shared" si="49"/>
        <v>9.6811780740688947E-11</v>
      </c>
      <c r="P59" s="93">
        <f t="shared" si="50"/>
        <v>0.68092425366334675</v>
      </c>
      <c r="Q59" s="93">
        <f t="shared" si="51"/>
        <v>0.31571586813079522</v>
      </c>
      <c r="R59" s="93">
        <f t="shared" si="52"/>
        <v>0.68092425366334675</v>
      </c>
      <c r="S59" s="93">
        <f t="shared" si="53"/>
        <v>9.9676509389581683E-2</v>
      </c>
      <c r="T59" s="93">
        <f t="shared" si="54"/>
        <v>0.56188599211120682</v>
      </c>
      <c r="U59" s="93">
        <f t="shared" si="55"/>
        <v>0.31571586813079522</v>
      </c>
      <c r="V59" s="93">
        <f t="shared" si="56"/>
        <v>9.6811780740688947E-11</v>
      </c>
      <c r="W59" s="93">
        <f t="shared" si="57"/>
        <v>2.14283156317507E-2</v>
      </c>
      <c r="X59" s="93">
        <f t="shared" si="58"/>
        <v>0.31571586813079522</v>
      </c>
      <c r="Y59" s="93">
        <f t="shared" si="59"/>
        <v>0.31571586813079522</v>
      </c>
      <c r="Z59" s="93">
        <f t="shared" si="60"/>
        <v>0.31571586813079522</v>
      </c>
      <c r="AA59" s="93">
        <f t="shared" si="61"/>
        <v>0.31571586813079522</v>
      </c>
      <c r="AB59" s="93">
        <f t="shared" si="62"/>
        <v>9.9676509389581683E-2</v>
      </c>
      <c r="AC59" s="93">
        <f t="shared" si="63"/>
        <v>9.9676509389581683E-2</v>
      </c>
      <c r="AD59" s="93">
        <f t="shared" si="64"/>
        <v>0.31571586813079522</v>
      </c>
      <c r="AE59" s="93">
        <f t="shared" si="65"/>
        <v>3.1367654959858723E-3</v>
      </c>
      <c r="AF59" s="93">
        <f t="shared" si="66"/>
        <v>3.1367654959858723E-3</v>
      </c>
      <c r="AG59" s="93">
        <f t="shared" si="67"/>
        <v>9.9676509389581683E-2</v>
      </c>
      <c r="AH59" s="93">
        <f t="shared" si="68"/>
        <v>9.9676509389581683E-2</v>
      </c>
      <c r="AI59" s="93">
        <f t="shared" si="69"/>
        <v>0.68092425366334675</v>
      </c>
      <c r="AJ59" s="93">
        <f t="shared" si="70"/>
        <v>9.9676509389581683E-2</v>
      </c>
      <c r="AK59" s="93">
        <f t="shared" si="71"/>
        <v>9.8392977768074964E-6</v>
      </c>
      <c r="AL59" s="93">
        <f t="shared" si="72"/>
        <v>3.1367654959858723E-3</v>
      </c>
      <c r="AM59" s="93">
        <f t="shared" si="73"/>
        <v>9.9676509389581683E-2</v>
      </c>
      <c r="AN59" s="93">
        <f t="shared" si="74"/>
        <v>9.8392977768074964E-6</v>
      </c>
      <c r="AO59" s="260">
        <f t="shared" si="39"/>
        <v>1.3074930150082643E-2</v>
      </c>
      <c r="AP59" s="261">
        <f t="shared" si="40"/>
        <v>0.15022589549361737</v>
      </c>
      <c r="AQ59" s="262">
        <f t="shared" si="41"/>
        <v>0.71272861028908019</v>
      </c>
      <c r="AR59" s="263">
        <f t="shared" si="42"/>
        <v>1.3443050139218696E-4</v>
      </c>
      <c r="AS59" s="260">
        <f t="shared" si="43"/>
        <v>1.8819418061439269E-7</v>
      </c>
      <c r="AT59" s="260">
        <f t="shared" si="38"/>
        <v>0.99999981180581943</v>
      </c>
    </row>
    <row r="60" spans="7:46" ht="12" customHeight="1">
      <c r="G60" s="218">
        <f t="shared" si="36"/>
        <v>11.731391585760518</v>
      </c>
      <c r="H60" s="215">
        <f t="shared" si="37"/>
        <v>2416.6666666666665</v>
      </c>
      <c r="I60" s="92">
        <v>58000</v>
      </c>
      <c r="J60" s="93">
        <f t="shared" si="44"/>
        <v>0.67634878206715965</v>
      </c>
      <c r="K60" s="93">
        <f t="shared" si="45"/>
        <v>9.5724757286380191E-2</v>
      </c>
      <c r="L60" s="93">
        <f t="shared" si="46"/>
        <v>0.18713722949782505</v>
      </c>
      <c r="M60" s="93">
        <f t="shared" si="47"/>
        <v>0.67634878206715965</v>
      </c>
      <c r="N60" s="93">
        <f t="shared" si="48"/>
        <v>5.3245185243652536E-2</v>
      </c>
      <c r="O60" s="93">
        <f t="shared" si="49"/>
        <v>6.4601520289673481E-11</v>
      </c>
      <c r="P60" s="93">
        <f t="shared" si="50"/>
        <v>0.67634878206715965</v>
      </c>
      <c r="Q60" s="93">
        <f t="shared" si="51"/>
        <v>0.30939417784822681</v>
      </c>
      <c r="R60" s="93">
        <f t="shared" si="52"/>
        <v>0.67634878206715965</v>
      </c>
      <c r="S60" s="93">
        <f t="shared" si="53"/>
        <v>9.5724757286380191E-2</v>
      </c>
      <c r="T60" s="93">
        <f t="shared" si="54"/>
        <v>0.55623212586853232</v>
      </c>
      <c r="U60" s="93">
        <f t="shared" si="55"/>
        <v>0.30939417784822681</v>
      </c>
      <c r="V60" s="93">
        <f t="shared" si="56"/>
        <v>6.4601520289673481E-11</v>
      </c>
      <c r="W60" s="93">
        <f t="shared" si="57"/>
        <v>2.0031207192083077E-2</v>
      </c>
      <c r="X60" s="93">
        <f t="shared" si="58"/>
        <v>0.30939417784822681</v>
      </c>
      <c r="Y60" s="93">
        <f t="shared" si="59"/>
        <v>0.30939417784822681</v>
      </c>
      <c r="Z60" s="93">
        <f t="shared" si="60"/>
        <v>0.30939417784822681</v>
      </c>
      <c r="AA60" s="93">
        <f t="shared" si="61"/>
        <v>0.30939417784822681</v>
      </c>
      <c r="AB60" s="93">
        <f t="shared" si="62"/>
        <v>9.5724757286380191E-2</v>
      </c>
      <c r="AC60" s="93">
        <f t="shared" si="63"/>
        <v>9.5724757286380191E-2</v>
      </c>
      <c r="AD60" s="93">
        <f t="shared" si="64"/>
        <v>0.30939417784822681</v>
      </c>
      <c r="AE60" s="93">
        <f t="shared" si="65"/>
        <v>2.8350497516308739E-3</v>
      </c>
      <c r="AF60" s="93">
        <f t="shared" si="66"/>
        <v>2.8350497516308739E-3</v>
      </c>
      <c r="AG60" s="93">
        <f t="shared" si="67"/>
        <v>9.5724757286380191E-2</v>
      </c>
      <c r="AH60" s="93">
        <f t="shared" si="68"/>
        <v>9.5724757286380191E-2</v>
      </c>
      <c r="AI60" s="93">
        <f t="shared" si="69"/>
        <v>0.67634878206715965</v>
      </c>
      <c r="AJ60" s="93">
        <f t="shared" si="70"/>
        <v>9.5724757286380191E-2</v>
      </c>
      <c r="AK60" s="93">
        <f t="shared" si="71"/>
        <v>8.0375070942222795E-6</v>
      </c>
      <c r="AL60" s="93">
        <f t="shared" si="72"/>
        <v>2.8350497516308739E-3</v>
      </c>
      <c r="AM60" s="93">
        <f t="shared" si="73"/>
        <v>9.5724757286380191E-2</v>
      </c>
      <c r="AN60" s="93">
        <f t="shared" si="74"/>
        <v>8.0375070942222795E-6</v>
      </c>
      <c r="AO60" s="260">
        <f t="shared" si="39"/>
        <v>1.211680602156269E-2</v>
      </c>
      <c r="AP60" s="261">
        <f t="shared" si="40"/>
        <v>0.14513776950147067</v>
      </c>
      <c r="AQ60" s="262">
        <f t="shared" si="41"/>
        <v>0.7073302163492341</v>
      </c>
      <c r="AR60" s="263">
        <f t="shared" si="42"/>
        <v>1.1357846319191014E-4</v>
      </c>
      <c r="AS60" s="260">
        <f t="shared" si="43"/>
        <v>1.4128198851597247E-7</v>
      </c>
      <c r="AT60" s="260">
        <f t="shared" si="38"/>
        <v>0.99999985871801145</v>
      </c>
    </row>
    <row r="61" spans="7:46" ht="12" customHeight="1">
      <c r="G61" s="218">
        <f t="shared" si="36"/>
        <v>11.933656957928804</v>
      </c>
      <c r="H61" s="215">
        <f t="shared" si="37"/>
        <v>2458.3333333333335</v>
      </c>
      <c r="I61" s="92">
        <v>59000</v>
      </c>
      <c r="J61" s="93">
        <f t="shared" si="44"/>
        <v>0.67180405535957788</v>
      </c>
      <c r="K61" s="93">
        <f t="shared" si="45"/>
        <v>9.1929675443612094E-2</v>
      </c>
      <c r="L61" s="93">
        <f t="shared" si="46"/>
        <v>0.1818072649443809</v>
      </c>
      <c r="M61" s="93">
        <f t="shared" si="47"/>
        <v>0.67180405535957788</v>
      </c>
      <c r="N61" s="93">
        <f t="shared" si="48"/>
        <v>5.0619710676292173E-2</v>
      </c>
      <c r="O61" s="93">
        <f t="shared" si="49"/>
        <v>4.3107939878881527E-11</v>
      </c>
      <c r="P61" s="93">
        <f t="shared" si="50"/>
        <v>0.67180405535957788</v>
      </c>
      <c r="Q61" s="93">
        <f t="shared" si="51"/>
        <v>0.30319906900188875</v>
      </c>
      <c r="R61" s="93">
        <f t="shared" si="52"/>
        <v>0.67180405535957788</v>
      </c>
      <c r="S61" s="93">
        <f t="shared" si="53"/>
        <v>9.1929675443612094E-2</v>
      </c>
      <c r="T61" s="93">
        <f t="shared" si="54"/>
        <v>0.55063515053244538</v>
      </c>
      <c r="U61" s="93">
        <f t="shared" si="55"/>
        <v>0.30319906900188875</v>
      </c>
      <c r="V61" s="93">
        <f t="shared" si="56"/>
        <v>4.3107939878881527E-11</v>
      </c>
      <c r="W61" s="93">
        <f t="shared" si="57"/>
        <v>1.8725189066079593E-2</v>
      </c>
      <c r="X61" s="93">
        <f t="shared" si="58"/>
        <v>0.30319906900188875</v>
      </c>
      <c r="Y61" s="93">
        <f t="shared" si="59"/>
        <v>0.30319906900188875</v>
      </c>
      <c r="Z61" s="93">
        <f t="shared" si="60"/>
        <v>0.30319906900188875</v>
      </c>
      <c r="AA61" s="93">
        <f t="shared" si="61"/>
        <v>0.30319906900188875</v>
      </c>
      <c r="AB61" s="93">
        <f t="shared" si="62"/>
        <v>9.1929675443612094E-2</v>
      </c>
      <c r="AC61" s="93">
        <f t="shared" si="63"/>
        <v>9.1929675443612094E-2</v>
      </c>
      <c r="AD61" s="93">
        <f t="shared" si="64"/>
        <v>0.30319906900188875</v>
      </c>
      <c r="AE61" s="93">
        <f t="shared" si="65"/>
        <v>2.5623551089515276E-3</v>
      </c>
      <c r="AF61" s="93">
        <f t="shared" si="66"/>
        <v>2.5623551089515276E-3</v>
      </c>
      <c r="AG61" s="93">
        <f t="shared" si="67"/>
        <v>9.1929675443612094E-2</v>
      </c>
      <c r="AH61" s="93">
        <f t="shared" si="68"/>
        <v>9.1929675443612094E-2</v>
      </c>
      <c r="AI61" s="93">
        <f t="shared" si="69"/>
        <v>0.67180405535957788</v>
      </c>
      <c r="AJ61" s="93">
        <f t="shared" si="70"/>
        <v>9.1929675443612094E-2</v>
      </c>
      <c r="AK61" s="93">
        <f t="shared" si="71"/>
        <v>6.5656637043699951E-6</v>
      </c>
      <c r="AL61" s="93">
        <f t="shared" si="72"/>
        <v>2.5623551089515276E-3</v>
      </c>
      <c r="AM61" s="93">
        <f t="shared" si="73"/>
        <v>9.1929675443612094E-2</v>
      </c>
      <c r="AN61" s="93">
        <f t="shared" si="74"/>
        <v>6.5656637043699951E-6</v>
      </c>
      <c r="AO61" s="260">
        <f t="shared" si="39"/>
        <v>1.1228913766456379E-2</v>
      </c>
      <c r="AP61" s="261">
        <f t="shared" si="40"/>
        <v>0.14022395811757291</v>
      </c>
      <c r="AQ61" s="262">
        <f t="shared" si="41"/>
        <v>0.70197500203228869</v>
      </c>
      <c r="AR61" s="263">
        <f t="shared" si="42"/>
        <v>9.5960846292791958E-5</v>
      </c>
      <c r="AS61" s="260">
        <f t="shared" si="43"/>
        <v>1.0606587636911105E-7</v>
      </c>
      <c r="AT61" s="260">
        <f t="shared" si="38"/>
        <v>0.99999989393412358</v>
      </c>
    </row>
    <row r="62" spans="7:46" ht="12" customHeight="1">
      <c r="G62" s="218">
        <f t="shared" si="36"/>
        <v>12.135922330097088</v>
      </c>
      <c r="H62" s="215">
        <f t="shared" si="37"/>
        <v>2500</v>
      </c>
      <c r="I62" s="92">
        <v>60000</v>
      </c>
      <c r="J62" s="93">
        <f t="shared" si="44"/>
        <v>0.66728986695027392</v>
      </c>
      <c r="K62" s="93">
        <f t="shared" si="45"/>
        <v>8.8285052547950188E-2</v>
      </c>
      <c r="L62" s="93">
        <f t="shared" si="46"/>
        <v>0.17662910621929706</v>
      </c>
      <c r="M62" s="93">
        <f t="shared" si="47"/>
        <v>0.66728986695027392</v>
      </c>
      <c r="N62" s="93">
        <f t="shared" si="48"/>
        <v>4.81236960154438E-2</v>
      </c>
      <c r="O62" s="93">
        <f t="shared" si="49"/>
        <v>2.8765491466279284E-11</v>
      </c>
      <c r="P62" s="93">
        <f t="shared" si="50"/>
        <v>0.66728986695027392</v>
      </c>
      <c r="Q62" s="93">
        <f t="shared" si="51"/>
        <v>0.29712800700699721</v>
      </c>
      <c r="R62" s="93">
        <f t="shared" si="52"/>
        <v>0.66728986695027392</v>
      </c>
      <c r="S62" s="93">
        <f t="shared" si="53"/>
        <v>8.8285052547950188E-2</v>
      </c>
      <c r="T62" s="93">
        <f t="shared" si="54"/>
        <v>0.54509449364949303</v>
      </c>
      <c r="U62" s="93">
        <f t="shared" si="55"/>
        <v>0.29712800700699721</v>
      </c>
      <c r="V62" s="93">
        <f t="shared" si="56"/>
        <v>2.8765491466279284E-11</v>
      </c>
      <c r="W62" s="93">
        <f t="shared" si="57"/>
        <v>1.7504322240698863E-2</v>
      </c>
      <c r="X62" s="93">
        <f t="shared" si="58"/>
        <v>0.29712800700699721</v>
      </c>
      <c r="Y62" s="93">
        <f t="shared" si="59"/>
        <v>0.29712800700699721</v>
      </c>
      <c r="Z62" s="93">
        <f t="shared" si="60"/>
        <v>0.29712800700699721</v>
      </c>
      <c r="AA62" s="93">
        <f t="shared" si="61"/>
        <v>0.29712800700699721</v>
      </c>
      <c r="AB62" s="93">
        <f t="shared" si="62"/>
        <v>8.8285052547950188E-2</v>
      </c>
      <c r="AC62" s="93">
        <f t="shared" si="63"/>
        <v>8.8285052547950188E-2</v>
      </c>
      <c r="AD62" s="93">
        <f t="shared" si="64"/>
        <v>0.29712800700699721</v>
      </c>
      <c r="AE62" s="93">
        <f t="shared" si="65"/>
        <v>2.3158901181868415E-3</v>
      </c>
      <c r="AF62" s="93">
        <f t="shared" si="66"/>
        <v>2.3158901181868415E-3</v>
      </c>
      <c r="AG62" s="93">
        <f t="shared" si="67"/>
        <v>8.8285052547950188E-2</v>
      </c>
      <c r="AH62" s="93">
        <f t="shared" si="68"/>
        <v>8.8285052547950188E-2</v>
      </c>
      <c r="AI62" s="93">
        <f t="shared" si="69"/>
        <v>0.66728986695027392</v>
      </c>
      <c r="AJ62" s="93">
        <f t="shared" si="70"/>
        <v>8.8285052547950188E-2</v>
      </c>
      <c r="AK62" s="93">
        <f t="shared" si="71"/>
        <v>5.3633470395154636E-6</v>
      </c>
      <c r="AL62" s="93">
        <f t="shared" si="72"/>
        <v>2.3158901181868415E-3</v>
      </c>
      <c r="AM62" s="93">
        <f t="shared" si="73"/>
        <v>8.8285052547950188E-2</v>
      </c>
      <c r="AN62" s="93">
        <f t="shared" si="74"/>
        <v>5.3633470395154636E-6</v>
      </c>
      <c r="AO62" s="260">
        <f t="shared" si="39"/>
        <v>1.0406100951220949E-2</v>
      </c>
      <c r="AP62" s="261">
        <f t="shared" si="40"/>
        <v>0.13547845803201178</v>
      </c>
      <c r="AQ62" s="262">
        <f t="shared" si="41"/>
        <v>0.69666319852980862</v>
      </c>
      <c r="AR62" s="263">
        <f t="shared" si="42"/>
        <v>8.1075956278953829E-5</v>
      </c>
      <c r="AS62" s="260">
        <f t="shared" si="43"/>
        <v>7.9629360686188498E-8</v>
      </c>
      <c r="AT62" s="260">
        <f t="shared" si="38"/>
        <v>0.99999992037063934</v>
      </c>
    </row>
    <row r="63" spans="7:46" ht="12" customHeight="1">
      <c r="G63" s="218">
        <f t="shared" si="36"/>
        <v>12.338187702265371</v>
      </c>
      <c r="H63" s="215">
        <f t="shared" si="37"/>
        <v>2541.6666666666665</v>
      </c>
      <c r="I63" s="92">
        <v>61000</v>
      </c>
      <c r="J63" s="93">
        <f t="shared" si="44"/>
        <v>0.6628060116371044</v>
      </c>
      <c r="K63" s="93">
        <f t="shared" si="45"/>
        <v>8.4784923538375523E-2</v>
      </c>
      <c r="L63" s="93">
        <f t="shared" si="46"/>
        <v>0.17159842965225766</v>
      </c>
      <c r="M63" s="93">
        <f t="shared" si="47"/>
        <v>0.6628060116371044</v>
      </c>
      <c r="N63" s="93">
        <f t="shared" si="48"/>
        <v>4.5750757703786969E-2</v>
      </c>
      <c r="O63" s="93">
        <f t="shared" si="49"/>
        <v>1.9194920973292762E-11</v>
      </c>
      <c r="P63" s="93">
        <f t="shared" si="50"/>
        <v>0.6628060116371044</v>
      </c>
      <c r="Q63" s="93">
        <f t="shared" si="51"/>
        <v>0.29117850802965445</v>
      </c>
      <c r="R63" s="93">
        <f t="shared" si="52"/>
        <v>0.6628060116371044</v>
      </c>
      <c r="S63" s="93">
        <f t="shared" si="53"/>
        <v>8.4784923538375523E-2</v>
      </c>
      <c r="T63" s="93">
        <f t="shared" si="54"/>
        <v>0.53960958852642193</v>
      </c>
      <c r="U63" s="93">
        <f t="shared" si="55"/>
        <v>0.29117850802965445</v>
      </c>
      <c r="V63" s="93">
        <f t="shared" si="56"/>
        <v>1.9194920973292762E-11</v>
      </c>
      <c r="W63" s="93">
        <f t="shared" si="57"/>
        <v>1.636305492163315E-2</v>
      </c>
      <c r="X63" s="93">
        <f t="shared" si="58"/>
        <v>0.29117850802965445</v>
      </c>
      <c r="Y63" s="93">
        <f t="shared" si="59"/>
        <v>0.29117850802965445</v>
      </c>
      <c r="Z63" s="93">
        <f t="shared" si="60"/>
        <v>0.29117850802965445</v>
      </c>
      <c r="AA63" s="93">
        <f t="shared" si="61"/>
        <v>0.29117850802965445</v>
      </c>
      <c r="AB63" s="93">
        <f t="shared" si="62"/>
        <v>8.4784923538375523E-2</v>
      </c>
      <c r="AC63" s="93">
        <f t="shared" si="63"/>
        <v>8.4784923538375523E-2</v>
      </c>
      <c r="AD63" s="93">
        <f t="shared" si="64"/>
        <v>0.29117850802965445</v>
      </c>
      <c r="AE63" s="93">
        <f t="shared" si="65"/>
        <v>2.0931318304706231E-3</v>
      </c>
      <c r="AF63" s="93">
        <f t="shared" si="66"/>
        <v>2.0931318304706231E-3</v>
      </c>
      <c r="AG63" s="93">
        <f t="shared" si="67"/>
        <v>8.4784923538375523E-2</v>
      </c>
      <c r="AH63" s="93">
        <f t="shared" si="68"/>
        <v>8.4784923538375523E-2</v>
      </c>
      <c r="AI63" s="93">
        <f t="shared" si="69"/>
        <v>0.6628060116371044</v>
      </c>
      <c r="AJ63" s="93">
        <f t="shared" si="70"/>
        <v>8.4784923538375523E-2</v>
      </c>
      <c r="AK63" s="93">
        <f t="shared" si="71"/>
        <v>4.3812008597293008E-6</v>
      </c>
      <c r="AL63" s="93">
        <f t="shared" si="72"/>
        <v>2.0931318304706231E-3</v>
      </c>
      <c r="AM63" s="93">
        <f t="shared" si="73"/>
        <v>8.4784923538375523E-2</v>
      </c>
      <c r="AN63" s="93">
        <f t="shared" si="74"/>
        <v>4.3812008597293008E-6</v>
      </c>
      <c r="AO63" s="260">
        <f t="shared" si="39"/>
        <v>9.6435940307954202E-3</v>
      </c>
      <c r="AP63" s="261">
        <f t="shared" si="40"/>
        <v>0.13089546584462497</v>
      </c>
      <c r="AQ63" s="262">
        <f t="shared" si="41"/>
        <v>0.69139497815805484</v>
      </c>
      <c r="AR63" s="263">
        <f t="shared" si="42"/>
        <v>6.8499915079678884E-5</v>
      </c>
      <c r="AS63" s="260">
        <f t="shared" si="43"/>
        <v>5.9783285169505535E-8</v>
      </c>
      <c r="AT63" s="260">
        <f t="shared" si="38"/>
        <v>0.99999994021671479</v>
      </c>
    </row>
    <row r="64" spans="7:46" ht="12" customHeight="1">
      <c r="G64" s="218">
        <f t="shared" si="36"/>
        <v>12.540453074433657</v>
      </c>
      <c r="H64" s="215">
        <f t="shared" si="37"/>
        <v>2583.3333333333335</v>
      </c>
      <c r="I64" s="92">
        <v>62000</v>
      </c>
      <c r="J64" s="93">
        <f t="shared" si="44"/>
        <v>0.65835228559678183</v>
      </c>
      <c r="K64" s="93">
        <f t="shared" si="45"/>
        <v>8.1423559843314466E-2</v>
      </c>
      <c r="L64" s="93">
        <f t="shared" si="46"/>
        <v>0.16671103471792237</v>
      </c>
      <c r="M64" s="93">
        <f t="shared" si="47"/>
        <v>0.65835228559678183</v>
      </c>
      <c r="N64" s="93">
        <f t="shared" si="48"/>
        <v>4.3494826951755688E-2</v>
      </c>
      <c r="O64" s="93">
        <f t="shared" si="49"/>
        <v>1.2808576262389561E-11</v>
      </c>
      <c r="P64" s="93">
        <f t="shared" si="50"/>
        <v>0.65835228559678183</v>
      </c>
      <c r="Q64" s="93">
        <f t="shared" si="51"/>
        <v>0.28534813797064534</v>
      </c>
      <c r="R64" s="93">
        <f t="shared" si="52"/>
        <v>0.65835228559678183</v>
      </c>
      <c r="S64" s="93">
        <f t="shared" si="53"/>
        <v>8.1423559843314466E-2</v>
      </c>
      <c r="T64" s="93">
        <f t="shared" si="54"/>
        <v>0.5341798741722168</v>
      </c>
      <c r="U64" s="93">
        <f t="shared" si="55"/>
        <v>0.28534813797064534</v>
      </c>
      <c r="V64" s="93">
        <f t="shared" si="56"/>
        <v>1.2808576262389561E-11</v>
      </c>
      <c r="W64" s="93">
        <f t="shared" si="57"/>
        <v>1.5296197286967499E-2</v>
      </c>
      <c r="X64" s="93">
        <f t="shared" si="58"/>
        <v>0.28534813797064534</v>
      </c>
      <c r="Y64" s="93">
        <f t="shared" si="59"/>
        <v>0.28534813797064534</v>
      </c>
      <c r="Z64" s="93">
        <f t="shared" si="60"/>
        <v>0.28534813797064534</v>
      </c>
      <c r="AA64" s="93">
        <f t="shared" si="61"/>
        <v>0.28534813797064534</v>
      </c>
      <c r="AB64" s="93">
        <f t="shared" si="62"/>
        <v>8.1423559843314466E-2</v>
      </c>
      <c r="AC64" s="93">
        <f t="shared" si="63"/>
        <v>8.1423559843314466E-2</v>
      </c>
      <c r="AD64" s="93">
        <f t="shared" si="64"/>
        <v>0.28534813797064534</v>
      </c>
      <c r="AE64" s="93">
        <f t="shared" si="65"/>
        <v>1.891799971563173E-3</v>
      </c>
      <c r="AF64" s="93">
        <f t="shared" si="66"/>
        <v>1.891799971563173E-3</v>
      </c>
      <c r="AG64" s="93">
        <f t="shared" si="67"/>
        <v>8.1423559843314466E-2</v>
      </c>
      <c r="AH64" s="93">
        <f t="shared" si="68"/>
        <v>8.1423559843314466E-2</v>
      </c>
      <c r="AI64" s="93">
        <f t="shared" si="69"/>
        <v>0.65835228559678183</v>
      </c>
      <c r="AJ64" s="93">
        <f t="shared" si="70"/>
        <v>8.1423559843314466E-2</v>
      </c>
      <c r="AK64" s="93">
        <f t="shared" si="71"/>
        <v>3.5789071324064223E-6</v>
      </c>
      <c r="AL64" s="93">
        <f t="shared" si="72"/>
        <v>1.891799971563173E-3</v>
      </c>
      <c r="AM64" s="93">
        <f t="shared" si="73"/>
        <v>8.1423559843314466E-2</v>
      </c>
      <c r="AN64" s="93">
        <f t="shared" si="74"/>
        <v>3.5789071324064223E-6</v>
      </c>
      <c r="AO64" s="260">
        <f t="shared" si="39"/>
        <v>8.9369703054500305E-3</v>
      </c>
      <c r="AP64" s="261">
        <f t="shared" si="40"/>
        <v>0.12646937265379996</v>
      </c>
      <c r="AQ64" s="262">
        <f t="shared" si="41"/>
        <v>0.68617045871582538</v>
      </c>
      <c r="AR64" s="263">
        <f t="shared" si="42"/>
        <v>5.7874591740241729E-5</v>
      </c>
      <c r="AS64" s="260">
        <f t="shared" si="43"/>
        <v>4.4884421937980197E-8</v>
      </c>
      <c r="AT64" s="260">
        <f t="shared" si="38"/>
        <v>0.99999995511557804</v>
      </c>
    </row>
    <row r="65" spans="7:46" ht="12" customHeight="1">
      <c r="G65" s="218">
        <f t="shared" si="36"/>
        <v>12.742718446601941</v>
      </c>
      <c r="H65" s="215">
        <f t="shared" si="37"/>
        <v>2625</v>
      </c>
      <c r="I65" s="92">
        <v>63000</v>
      </c>
      <c r="J65" s="93">
        <f t="shared" si="44"/>
        <v>0.65392848637561007</v>
      </c>
      <c r="K65" s="93">
        <f t="shared" si="45"/>
        <v>7.8195460004832337E-2</v>
      </c>
      <c r="L65" s="93">
        <f t="shared" si="46"/>
        <v>0.16196284052856222</v>
      </c>
      <c r="M65" s="93">
        <f t="shared" si="47"/>
        <v>0.65392848637561007</v>
      </c>
      <c r="N65" s="93">
        <f t="shared" si="48"/>
        <v>4.1350134216609498E-2</v>
      </c>
      <c r="O65" s="93">
        <f t="shared" si="49"/>
        <v>8.5470331499523454E-12</v>
      </c>
      <c r="P65" s="93">
        <f t="shared" si="50"/>
        <v>0.65392848637561007</v>
      </c>
      <c r="Q65" s="93">
        <f t="shared" si="51"/>
        <v>0.27963451146958301</v>
      </c>
      <c r="R65" s="93">
        <f t="shared" si="52"/>
        <v>0.65392848637561007</v>
      </c>
      <c r="S65" s="93">
        <f t="shared" si="53"/>
        <v>7.8195460004832337E-2</v>
      </c>
      <c r="T65" s="93">
        <f t="shared" si="54"/>
        <v>0.52880479524072299</v>
      </c>
      <c r="U65" s="93">
        <f t="shared" si="55"/>
        <v>0.27963451146958301</v>
      </c>
      <c r="V65" s="93">
        <f t="shared" si="56"/>
        <v>8.5470331499523454E-12</v>
      </c>
      <c r="W65" s="93">
        <f t="shared" si="57"/>
        <v>1.4298897886879406E-2</v>
      </c>
      <c r="X65" s="93">
        <f t="shared" si="58"/>
        <v>0.27963451146958301</v>
      </c>
      <c r="Y65" s="93">
        <f t="shared" si="59"/>
        <v>0.27963451146958301</v>
      </c>
      <c r="Z65" s="93">
        <f t="shared" si="60"/>
        <v>0.27963451146958301</v>
      </c>
      <c r="AA65" s="93">
        <f t="shared" si="61"/>
        <v>0.27963451146958301</v>
      </c>
      <c r="AB65" s="93">
        <f t="shared" si="62"/>
        <v>7.8195460004832337E-2</v>
      </c>
      <c r="AC65" s="93">
        <f t="shared" si="63"/>
        <v>7.8195460004832337E-2</v>
      </c>
      <c r="AD65" s="93">
        <f t="shared" si="64"/>
        <v>0.27963451146958301</v>
      </c>
      <c r="AE65" s="93">
        <f t="shared" si="65"/>
        <v>1.7098335997316196E-3</v>
      </c>
      <c r="AF65" s="93">
        <f t="shared" si="66"/>
        <v>1.7098335997316196E-3</v>
      </c>
      <c r="AG65" s="93">
        <f t="shared" si="67"/>
        <v>7.8195460004832337E-2</v>
      </c>
      <c r="AH65" s="93">
        <f t="shared" si="68"/>
        <v>7.8195460004832337E-2</v>
      </c>
      <c r="AI65" s="93">
        <f t="shared" si="69"/>
        <v>0.65392848637561007</v>
      </c>
      <c r="AJ65" s="93">
        <f t="shared" si="70"/>
        <v>7.8195460004832337E-2</v>
      </c>
      <c r="AK65" s="93">
        <f t="shared" si="71"/>
        <v>2.9235309387711882E-6</v>
      </c>
      <c r="AL65" s="93">
        <f t="shared" si="72"/>
        <v>1.7098335997316196E-3</v>
      </c>
      <c r="AM65" s="93">
        <f t="shared" si="73"/>
        <v>7.8195460004832337E-2</v>
      </c>
      <c r="AN65" s="93">
        <f t="shared" si="74"/>
        <v>2.9235309387711882E-6</v>
      </c>
      <c r="AO65" s="260">
        <f t="shared" si="39"/>
        <v>8.2821319898140622E-3</v>
      </c>
      <c r="AP65" s="261">
        <f t="shared" si="40"/>
        <v>0.12219475863025184</v>
      </c>
      <c r="AQ65" s="262">
        <f t="shared" si="41"/>
        <v>0.68098970757803867</v>
      </c>
      <c r="AR65" s="263">
        <f t="shared" si="42"/>
        <v>4.8897404914574109E-5</v>
      </c>
      <c r="AS65" s="260">
        <f t="shared" si="43"/>
        <v>3.3699315859724843E-8</v>
      </c>
      <c r="AT65" s="260">
        <f t="shared" si="38"/>
        <v>0.99999996630068411</v>
      </c>
    </row>
    <row r="66" spans="7:46" ht="12" customHeight="1">
      <c r="G66" s="218">
        <f t="shared" si="36"/>
        <v>12.944983818770226</v>
      </c>
      <c r="H66" s="215">
        <f t="shared" si="37"/>
        <v>2666.6666666666665</v>
      </c>
      <c r="I66" s="92">
        <v>64000</v>
      </c>
      <c r="J66" s="93">
        <f t="shared" ref="J66:J77" si="75">EXP(-($E$2*$I66))</f>
        <v>0.64953441288028047</v>
      </c>
      <c r="K66" s="93">
        <f t="shared" ref="K66:K77" si="76">EXP(-($E$3*$I66))</f>
        <v>7.5095340674538033E-2</v>
      </c>
      <c r="L66" s="93">
        <f t="shared" ref="L66:L77" si="77">EXP(-($E$4*$I66))</f>
        <v>0.1573498824265914</v>
      </c>
      <c r="M66" s="93">
        <f t="shared" ref="M66:M77" si="78">EXP(-($E$5*$I66))</f>
        <v>0.64953441288028047</v>
      </c>
      <c r="N66" s="93">
        <f t="shared" ref="N66:N77" si="79">EXP(-($E$6*$I66))</f>
        <v>3.9311194446828394E-2</v>
      </c>
      <c r="O66" s="93">
        <f t="shared" ref="O66:O77" si="80">EXP(-($E$7*$I66))</f>
        <v>5.7033486134512859E-12</v>
      </c>
      <c r="P66" s="93">
        <f t="shared" ref="P66:P77" si="81">EXP(-($E$8*$I66))</f>
        <v>0.64953441288028047</v>
      </c>
      <c r="Q66" s="93">
        <f t="shared" ref="Q66:Q77" si="82">EXP(-($E$9*$I66))</f>
        <v>0.27403529092899337</v>
      </c>
      <c r="R66" s="93">
        <f t="shared" ref="R66:R77" si="83">EXP(-($E$10*$I66))</f>
        <v>0.64953441288028047</v>
      </c>
      <c r="S66" s="93">
        <f t="shared" ref="S66:S77" si="84">EXP(-($E$11*$I66))</f>
        <v>7.5095340674538033E-2</v>
      </c>
      <c r="T66" s="93">
        <f t="shared" ref="T66:T77" si="85">EXP(-($E$12*$I66))</f>
        <v>0.52348380197384647</v>
      </c>
      <c r="U66" s="93">
        <f t="shared" ref="U66:U77" si="86">EXP(-($E$13*$I66))</f>
        <v>0.27403529092899337</v>
      </c>
      <c r="V66" s="93">
        <f t="shared" ref="V66:V77" si="87">EXP(-($E$14*$I66))</f>
        <v>5.7033486134512859E-12</v>
      </c>
      <c r="W66" s="93">
        <f t="shared" ref="W66:W77" si="88">EXP(-($E$15*$I66))</f>
        <v>1.3366621582058482E-2</v>
      </c>
      <c r="X66" s="93">
        <f t="shared" ref="X66:X77" si="89">EXP(-($E$16*$I66))</f>
        <v>0.27403529092899337</v>
      </c>
      <c r="Y66" s="93">
        <f t="shared" ref="Y66:Y77" si="90">EXP(-($E$17*$I66))</f>
        <v>0.27403529092899337</v>
      </c>
      <c r="Z66" s="93">
        <f t="shared" ref="Z66:Z77" si="91">EXP(-($E$18*$I66))</f>
        <v>0.27403529092899337</v>
      </c>
      <c r="AA66" s="93">
        <f t="shared" ref="AA66:AA77" si="92">EXP(-($E$19*$I66))</f>
        <v>0.27403529092899337</v>
      </c>
      <c r="AB66" s="93">
        <f t="shared" ref="AB66:AB77" si="93">EXP(-($E$20*$I66))</f>
        <v>7.5095340674538033E-2</v>
      </c>
      <c r="AC66" s="93">
        <f t="shared" ref="AC66:AC77" si="94">EXP(-($E$21*$I66))</f>
        <v>7.5095340674538033E-2</v>
      </c>
      <c r="AD66" s="93">
        <f t="shared" ref="AD66:AD77" si="95">EXP(-($E$22*$I66))</f>
        <v>0.27403529092899337</v>
      </c>
      <c r="AE66" s="93">
        <f t="shared" ref="AE66:AE77" si="96">EXP(-($E$23*$I66))</f>
        <v>1.5453700088363517E-3</v>
      </c>
      <c r="AF66" s="93">
        <f t="shared" ref="AF66:AF77" si="97">EXP(-($E$24*$I66))</f>
        <v>1.5453700088363517E-3</v>
      </c>
      <c r="AG66" s="93">
        <f t="shared" ref="AG66:AG77" si="98">EXP(-($E$25*$I66))</f>
        <v>7.5095340674538033E-2</v>
      </c>
      <c r="AH66" s="93">
        <f t="shared" ref="AH66:AH77" si="99">EXP(-($E$26*$I66))</f>
        <v>7.5095340674538033E-2</v>
      </c>
      <c r="AI66" s="93">
        <f t="shared" ref="AI66:AI77" si="100">EXP(-($E$27*$I66))</f>
        <v>0.64953441288028047</v>
      </c>
      <c r="AJ66" s="93">
        <f t="shared" ref="AJ66:AJ77" si="101">EXP(-($E$28*$I66))</f>
        <v>7.5095340674538033E-2</v>
      </c>
      <c r="AK66" s="93">
        <f t="shared" ref="AK66:AK77" si="102">EXP(-($E$29*$I66))</f>
        <v>2.3881684642108661E-6</v>
      </c>
      <c r="AL66" s="93">
        <f t="shared" ref="AL66:AL77" si="103">EXP(-($E$30*$I66))</f>
        <v>1.5453700088363517E-3</v>
      </c>
      <c r="AM66" s="93">
        <f t="shared" ref="AM66:AM77" si="104">EXP(-($E$31*$I66))</f>
        <v>7.5095340674538033E-2</v>
      </c>
      <c r="AN66" s="93">
        <f t="shared" ref="AN66:AN77" si="105">EXP(-($E$32*$I66))</f>
        <v>2.3881684642108661E-6</v>
      </c>
      <c r="AO66" s="260">
        <f t="shared" si="39"/>
        <v>7.6752822277262019E-3</v>
      </c>
      <c r="AP66" s="261">
        <f t="shared" si="40"/>
        <v>0.11806638759915833</v>
      </c>
      <c r="AQ66" s="262">
        <f t="shared" si="41"/>
        <v>0.67585274553973829</v>
      </c>
      <c r="AR66" s="263">
        <f t="shared" si="42"/>
        <v>4.1312706873443467E-5</v>
      </c>
      <c r="AS66" s="260">
        <f t="shared" si="43"/>
        <v>2.5302088091982036E-8</v>
      </c>
      <c r="AT66" s="260">
        <f t="shared" si="38"/>
        <v>0.99999997469791191</v>
      </c>
    </row>
    <row r="67" spans="7:46" ht="12" customHeight="1">
      <c r="G67" s="218">
        <f t="shared" ref="G67:G77" si="106">H67/206</f>
        <v>13.147249190938512</v>
      </c>
      <c r="H67" s="215">
        <f t="shared" ref="H67:H77" si="107">I67/24</f>
        <v>2708.3333333333335</v>
      </c>
      <c r="I67" s="92">
        <v>65000</v>
      </c>
      <c r="J67" s="93">
        <f t="shared" si="75"/>
        <v>0.64516986536873144</v>
      </c>
      <c r="K67" s="93">
        <f t="shared" si="76"/>
        <v>7.2118127966462817E-2</v>
      </c>
      <c r="L67" s="93">
        <f t="shared" si="77"/>
        <v>0.15286830867414847</v>
      </c>
      <c r="M67" s="93">
        <f t="shared" si="78"/>
        <v>0.64516986536873144</v>
      </c>
      <c r="N67" s="93">
        <f t="shared" si="79"/>
        <v>3.7372793054093849E-2</v>
      </c>
      <c r="O67" s="93">
        <f t="shared" si="80"/>
        <v>3.8057867374409412E-12</v>
      </c>
      <c r="P67" s="93">
        <f t="shared" si="81"/>
        <v>0.64516986536873144</v>
      </c>
      <c r="Q67" s="93">
        <f t="shared" si="82"/>
        <v>0.26854818555794191</v>
      </c>
      <c r="R67" s="93">
        <f t="shared" si="83"/>
        <v>0.64516986536873144</v>
      </c>
      <c r="S67" s="93">
        <f t="shared" si="84"/>
        <v>7.2118127966462817E-2</v>
      </c>
      <c r="T67" s="93">
        <f t="shared" si="85"/>
        <v>0.51821635014532486</v>
      </c>
      <c r="U67" s="93">
        <f t="shared" si="86"/>
        <v>0.26854818555794191</v>
      </c>
      <c r="V67" s="93">
        <f t="shared" si="87"/>
        <v>3.8057867374409412E-12</v>
      </c>
      <c r="W67" s="93">
        <f t="shared" si="88"/>
        <v>1.2495128920522975E-2</v>
      </c>
      <c r="X67" s="93">
        <f t="shared" si="89"/>
        <v>0.26854818555794191</v>
      </c>
      <c r="Y67" s="93">
        <f t="shared" si="90"/>
        <v>0.26854818555794191</v>
      </c>
      <c r="Z67" s="93">
        <f t="shared" si="91"/>
        <v>0.26854818555794191</v>
      </c>
      <c r="AA67" s="93">
        <f t="shared" si="92"/>
        <v>0.26854818555794191</v>
      </c>
      <c r="AB67" s="93">
        <f t="shared" si="93"/>
        <v>7.2118127966462817E-2</v>
      </c>
      <c r="AC67" s="93">
        <f t="shared" si="94"/>
        <v>7.2118127966462817E-2</v>
      </c>
      <c r="AD67" s="93">
        <f t="shared" si="95"/>
        <v>0.26854818555794191</v>
      </c>
      <c r="AE67" s="93">
        <f t="shared" si="96"/>
        <v>1.3967256606641253E-3</v>
      </c>
      <c r="AF67" s="93">
        <f t="shared" si="97"/>
        <v>1.3967256606641253E-3</v>
      </c>
      <c r="AG67" s="93">
        <f t="shared" si="98"/>
        <v>7.2118127966462817E-2</v>
      </c>
      <c r="AH67" s="93">
        <f t="shared" si="99"/>
        <v>7.2118127966462817E-2</v>
      </c>
      <c r="AI67" s="93">
        <f t="shared" si="100"/>
        <v>0.64516986536873144</v>
      </c>
      <c r="AJ67" s="93">
        <f t="shared" si="101"/>
        <v>7.2118127966462817E-2</v>
      </c>
      <c r="AK67" s="93">
        <f t="shared" si="102"/>
        <v>1.9508425711576375E-6</v>
      </c>
      <c r="AL67" s="93">
        <f t="shared" si="103"/>
        <v>1.3967256606641253E-3</v>
      </c>
      <c r="AM67" s="93">
        <f t="shared" si="104"/>
        <v>7.2118127966462817E-2</v>
      </c>
      <c r="AN67" s="93">
        <f t="shared" si="105"/>
        <v>1.9508425711576375E-6</v>
      </c>
      <c r="AO67" s="260">
        <f t="shared" si="39"/>
        <v>7.1129029010556233E-3</v>
      </c>
      <c r="AP67" s="261">
        <f t="shared" si="40"/>
        <v>0.11407920165087672</v>
      </c>
      <c r="AQ67" s="262">
        <f t="shared" si="41"/>
        <v>0.67075955042442681</v>
      </c>
      <c r="AR67" s="263">
        <f t="shared" si="42"/>
        <v>3.490450379731817E-5</v>
      </c>
      <c r="AS67" s="260">
        <f t="shared" si="43"/>
        <v>1.8997728937512942E-8</v>
      </c>
      <c r="AT67" s="260">
        <f t="shared" ref="AT67:AT77" si="108">1-AS67</f>
        <v>0.99999998100227105</v>
      </c>
    </row>
    <row r="68" spans="7:46" ht="12" customHeight="1">
      <c r="G68" s="218">
        <f t="shared" si="106"/>
        <v>13.349514563106796</v>
      </c>
      <c r="H68" s="215">
        <f t="shared" si="107"/>
        <v>2750</v>
      </c>
      <c r="I68" s="92">
        <v>66000</v>
      </c>
      <c r="J68" s="93">
        <f t="shared" si="75"/>
        <v>0.64083464544106838</v>
      </c>
      <c r="K68" s="93">
        <f t="shared" si="76"/>
        <v>6.9258949152761179E-2</v>
      </c>
      <c r="L68" s="93">
        <f t="shared" si="77"/>
        <v>0.14851437723696409</v>
      </c>
      <c r="M68" s="93">
        <f t="shared" si="78"/>
        <v>0.64083464544106838</v>
      </c>
      <c r="N68" s="93">
        <f t="shared" si="79"/>
        <v>3.5529972576979589E-2</v>
      </c>
      <c r="O68" s="93">
        <f t="shared" si="80"/>
        <v>2.5395629256680851E-12</v>
      </c>
      <c r="P68" s="93">
        <f t="shared" si="81"/>
        <v>0.64083464544106838</v>
      </c>
      <c r="Q68" s="93">
        <f t="shared" si="82"/>
        <v>0.26317095043480992</v>
      </c>
      <c r="R68" s="93">
        <f t="shared" si="83"/>
        <v>0.64083464544106838</v>
      </c>
      <c r="S68" s="93">
        <f t="shared" si="84"/>
        <v>6.9258949152761179E-2</v>
      </c>
      <c r="T68" s="93">
        <f t="shared" si="85"/>
        <v>0.51300190100506438</v>
      </c>
      <c r="U68" s="93">
        <f t="shared" si="86"/>
        <v>0.26317095043480992</v>
      </c>
      <c r="V68" s="93">
        <f t="shared" si="87"/>
        <v>2.5395629256680851E-12</v>
      </c>
      <c r="W68" s="93">
        <f t="shared" si="88"/>
        <v>1.1680456859050666E-2</v>
      </c>
      <c r="X68" s="93">
        <f t="shared" si="89"/>
        <v>0.26317095043480992</v>
      </c>
      <c r="Y68" s="93">
        <f t="shared" si="90"/>
        <v>0.26317095043480992</v>
      </c>
      <c r="Z68" s="93">
        <f t="shared" si="91"/>
        <v>0.26317095043480992</v>
      </c>
      <c r="AA68" s="93">
        <f t="shared" si="92"/>
        <v>0.26317095043480992</v>
      </c>
      <c r="AB68" s="93">
        <f t="shared" si="93"/>
        <v>6.9258949152761179E-2</v>
      </c>
      <c r="AC68" s="93">
        <f t="shared" si="94"/>
        <v>6.9258949152761179E-2</v>
      </c>
      <c r="AD68" s="93">
        <f t="shared" si="95"/>
        <v>0.26317095043480992</v>
      </c>
      <c r="AE68" s="93">
        <f t="shared" si="96"/>
        <v>1.2623789513209218E-3</v>
      </c>
      <c r="AF68" s="93">
        <f t="shared" si="97"/>
        <v>1.2623789513209218E-3</v>
      </c>
      <c r="AG68" s="93">
        <f t="shared" si="98"/>
        <v>6.9258949152761179E-2</v>
      </c>
      <c r="AH68" s="93">
        <f t="shared" si="99"/>
        <v>6.9258949152761179E-2</v>
      </c>
      <c r="AI68" s="93">
        <f t="shared" si="100"/>
        <v>0.64083464544106838</v>
      </c>
      <c r="AJ68" s="93">
        <f t="shared" si="101"/>
        <v>6.9258949152761179E-2</v>
      </c>
      <c r="AK68" s="93">
        <f t="shared" si="102"/>
        <v>1.5936006167381102E-6</v>
      </c>
      <c r="AL68" s="93">
        <f t="shared" si="103"/>
        <v>1.2623789513209218E-3</v>
      </c>
      <c r="AM68" s="93">
        <f t="shared" si="104"/>
        <v>6.9258949152761179E-2</v>
      </c>
      <c r="AN68" s="93">
        <f t="shared" si="105"/>
        <v>1.5936006167381102E-6</v>
      </c>
      <c r="AO68" s="260">
        <f t="shared" si="39"/>
        <v>6.5917340936282875E-3</v>
      </c>
      <c r="AP68" s="261">
        <f t="shared" si="40"/>
        <v>0.11022831579764197</v>
      </c>
      <c r="AQ68" s="262">
        <f t="shared" si="41"/>
        <v>0.66571006046989911</v>
      </c>
      <c r="AR68" s="263">
        <f t="shared" si="42"/>
        <v>2.9490305134674805E-5</v>
      </c>
      <c r="AS68" s="260">
        <f t="shared" si="43"/>
        <v>1.4264522490546503E-8</v>
      </c>
      <c r="AT68" s="260">
        <f t="shared" si="108"/>
        <v>0.99999998573547755</v>
      </c>
    </row>
    <row r="69" spans="7:46" ht="12" customHeight="1">
      <c r="G69" s="218">
        <f t="shared" si="106"/>
        <v>13.55177993527508</v>
      </c>
      <c r="H69" s="215">
        <f t="shared" si="107"/>
        <v>2791.6666666666665</v>
      </c>
      <c r="I69" s="92">
        <v>67000</v>
      </c>
      <c r="J69" s="93">
        <f t="shared" si="75"/>
        <v>0.63652855603054503</v>
      </c>
      <c r="K69" s="93">
        <f t="shared" si="76"/>
        <v>6.6513124688641692E-2</v>
      </c>
      <c r="L69" s="93">
        <f t="shared" si="77"/>
        <v>0.14428445265982881</v>
      </c>
      <c r="M69" s="93">
        <f t="shared" si="78"/>
        <v>0.63652855603054503</v>
      </c>
      <c r="N69" s="93">
        <f t="shared" si="79"/>
        <v>3.3778020002244363E-2</v>
      </c>
      <c r="O69" s="93">
        <f t="shared" si="80"/>
        <v>1.6946246067809004E-12</v>
      </c>
      <c r="P69" s="93">
        <f t="shared" si="81"/>
        <v>0.63652855603054503</v>
      </c>
      <c r="Q69" s="93">
        <f t="shared" si="82"/>
        <v>0.25790138558883646</v>
      </c>
      <c r="R69" s="93">
        <f t="shared" si="83"/>
        <v>0.63652855603054503</v>
      </c>
      <c r="S69" s="93">
        <f t="shared" si="84"/>
        <v>6.6513124688641692E-2</v>
      </c>
      <c r="T69" s="93">
        <f t="shared" si="85"/>
        <v>0.50783992122403732</v>
      </c>
      <c r="U69" s="93">
        <f t="shared" si="86"/>
        <v>0.25790138558883646</v>
      </c>
      <c r="V69" s="93">
        <f t="shared" si="87"/>
        <v>1.6946246067809004E-12</v>
      </c>
      <c r="W69" s="93">
        <f t="shared" si="88"/>
        <v>1.091890074155661E-2</v>
      </c>
      <c r="X69" s="93">
        <f t="shared" si="89"/>
        <v>0.25790138558883646</v>
      </c>
      <c r="Y69" s="93">
        <f t="shared" si="90"/>
        <v>0.25790138558883646</v>
      </c>
      <c r="Z69" s="93">
        <f t="shared" si="91"/>
        <v>0.25790138558883646</v>
      </c>
      <c r="AA69" s="93">
        <f t="shared" si="92"/>
        <v>0.25790138558883646</v>
      </c>
      <c r="AB69" s="93">
        <f t="shared" si="93"/>
        <v>6.6513124688641692E-2</v>
      </c>
      <c r="AC69" s="93">
        <f t="shared" si="94"/>
        <v>6.6513124688641692E-2</v>
      </c>
      <c r="AD69" s="93">
        <f t="shared" si="95"/>
        <v>0.25790138558883646</v>
      </c>
      <c r="AE69" s="93">
        <f t="shared" si="96"/>
        <v>1.1409546352720203E-3</v>
      </c>
      <c r="AF69" s="93">
        <f t="shared" si="97"/>
        <v>1.1409546352720203E-3</v>
      </c>
      <c r="AG69" s="93">
        <f t="shared" si="98"/>
        <v>6.6513124688641692E-2</v>
      </c>
      <c r="AH69" s="93">
        <f t="shared" si="99"/>
        <v>6.6513124688641692E-2</v>
      </c>
      <c r="AI69" s="93">
        <f t="shared" si="100"/>
        <v>0.63652855603054503</v>
      </c>
      <c r="AJ69" s="93">
        <f t="shared" si="101"/>
        <v>6.6513124688641692E-2</v>
      </c>
      <c r="AK69" s="93">
        <f t="shared" si="102"/>
        <v>1.3017774797487091E-6</v>
      </c>
      <c r="AL69" s="93">
        <f t="shared" si="103"/>
        <v>1.1409546352720203E-3</v>
      </c>
      <c r="AM69" s="93">
        <f t="shared" si="104"/>
        <v>6.6513124688641692E-2</v>
      </c>
      <c r="AN69" s="93">
        <f t="shared" si="105"/>
        <v>1.3017774797487091E-6</v>
      </c>
      <c r="AO69" s="260">
        <f t="shared" si="39"/>
        <v>6.1087550830582283E-3</v>
      </c>
      <c r="AP69" s="261">
        <f t="shared" si="40"/>
        <v>0.1065090126911287</v>
      </c>
      <c r="AQ69" s="262">
        <f t="shared" si="41"/>
        <v>0.66070417750404609</v>
      </c>
      <c r="AR69" s="263">
        <f t="shared" si="42"/>
        <v>2.49159269308616E-5</v>
      </c>
      <c r="AS69" s="260">
        <f t="shared" si="43"/>
        <v>1.0710831167653805E-8</v>
      </c>
      <c r="AT69" s="260">
        <f t="shared" si="108"/>
        <v>0.99999998928916878</v>
      </c>
    </row>
    <row r="70" spans="7:46" ht="12" customHeight="1">
      <c r="G70" s="218">
        <f t="shared" si="106"/>
        <v>13.754045307443366</v>
      </c>
      <c r="H70" s="215">
        <f t="shared" si="107"/>
        <v>2833.3333333333335</v>
      </c>
      <c r="I70" s="92">
        <v>68000</v>
      </c>
      <c r="J70" s="93">
        <f t="shared" si="75"/>
        <v>0.63225140139460567</v>
      </c>
      <c r="K70" s="93">
        <f t="shared" si="76"/>
        <v>6.3876160553475905E-2</v>
      </c>
      <c r="L70" s="93">
        <f t="shared" si="77"/>
        <v>0.14017500303105293</v>
      </c>
      <c r="M70" s="93">
        <f t="shared" si="78"/>
        <v>0.63225140139460567</v>
      </c>
      <c r="N70" s="93">
        <f t="shared" si="79"/>
        <v>3.211245471130092E-2</v>
      </c>
      <c r="O70" s="93">
        <f t="shared" si="80"/>
        <v>1.1308058283894884E-12</v>
      </c>
      <c r="P70" s="93">
        <f t="shared" si="81"/>
        <v>0.63225140139460567</v>
      </c>
      <c r="Q70" s="93">
        <f t="shared" si="82"/>
        <v>0.25273733510005186</v>
      </c>
      <c r="R70" s="93">
        <f t="shared" si="83"/>
        <v>0.63225140139460567</v>
      </c>
      <c r="S70" s="93">
        <f t="shared" si="84"/>
        <v>6.3876160553475905E-2</v>
      </c>
      <c r="T70" s="93">
        <f t="shared" si="85"/>
        <v>0.50272988283973319</v>
      </c>
      <c r="U70" s="93">
        <f t="shared" si="86"/>
        <v>0.25273733510005186</v>
      </c>
      <c r="V70" s="93">
        <f t="shared" si="87"/>
        <v>1.1308058283894884E-12</v>
      </c>
      <c r="W70" s="93">
        <f t="shared" si="88"/>
        <v>1.0206997452465684E-2</v>
      </c>
      <c r="X70" s="93">
        <f t="shared" si="89"/>
        <v>0.25273733510005186</v>
      </c>
      <c r="Y70" s="93">
        <f t="shared" si="90"/>
        <v>0.25273733510005186</v>
      </c>
      <c r="Z70" s="93">
        <f t="shared" si="91"/>
        <v>0.25273733510005186</v>
      </c>
      <c r="AA70" s="93">
        <f t="shared" si="92"/>
        <v>0.25273733510005186</v>
      </c>
      <c r="AB70" s="93">
        <f t="shared" si="93"/>
        <v>6.3876160553475905E-2</v>
      </c>
      <c r="AC70" s="93">
        <f t="shared" si="94"/>
        <v>6.3876160553475905E-2</v>
      </c>
      <c r="AD70" s="93">
        <f t="shared" si="95"/>
        <v>0.25273733510005186</v>
      </c>
      <c r="AE70" s="93">
        <f t="shared" si="96"/>
        <v>1.0312097475853527E-3</v>
      </c>
      <c r="AF70" s="93">
        <f t="shared" si="97"/>
        <v>1.0312097475853527E-3</v>
      </c>
      <c r="AG70" s="93">
        <f t="shared" si="98"/>
        <v>6.3876160553475905E-2</v>
      </c>
      <c r="AH70" s="93">
        <f t="shared" si="99"/>
        <v>6.3876160553475905E-2</v>
      </c>
      <c r="AI70" s="93">
        <f t="shared" si="100"/>
        <v>0.63225140139460567</v>
      </c>
      <c r="AJ70" s="93">
        <f t="shared" si="101"/>
        <v>6.3876160553475905E-2</v>
      </c>
      <c r="AK70" s="93">
        <f t="shared" si="102"/>
        <v>1.0633935435150471E-6</v>
      </c>
      <c r="AL70" s="93">
        <f t="shared" si="103"/>
        <v>1.0312097475853527E-3</v>
      </c>
      <c r="AM70" s="93">
        <f t="shared" si="104"/>
        <v>6.3876160553475905E-2</v>
      </c>
      <c r="AN70" s="93">
        <f t="shared" si="105"/>
        <v>1.0633935435150471E-6</v>
      </c>
      <c r="AO70" s="260">
        <f t="shared" si="39"/>
        <v>5.6611667437997809E-3</v>
      </c>
      <c r="AP70" s="261">
        <f t="shared" si="40"/>
        <v>0.10291673741351771</v>
      </c>
      <c r="AQ70" s="262">
        <f t="shared" si="41"/>
        <v>0.65574176992243971</v>
      </c>
      <c r="AR70" s="263">
        <f t="shared" si="42"/>
        <v>2.1051101179612928E-5</v>
      </c>
      <c r="AS70" s="260">
        <f t="shared" si="43"/>
        <v>8.0426584180236285E-9</v>
      </c>
      <c r="AT70" s="260">
        <f t="shared" si="108"/>
        <v>0.99999999195734157</v>
      </c>
    </row>
    <row r="71" spans="7:46" ht="12" customHeight="1">
      <c r="G71" s="218">
        <f t="shared" si="106"/>
        <v>13.956310679611651</v>
      </c>
      <c r="H71" s="215">
        <f t="shared" si="107"/>
        <v>2875</v>
      </c>
      <c r="I71" s="92">
        <v>69000</v>
      </c>
      <c r="J71" s="93">
        <f t="shared" si="75"/>
        <v>0.6280029871059869</v>
      </c>
      <c r="K71" s="93">
        <f t="shared" si="76"/>
        <v>6.1343740895549781E-2</v>
      </c>
      <c r="L71" s="93">
        <f t="shared" si="77"/>
        <v>0.13618259703338303</v>
      </c>
      <c r="M71" s="93">
        <f t="shared" si="78"/>
        <v>0.6280029871059869</v>
      </c>
      <c r="N71" s="93">
        <f t="shared" si="79"/>
        <v>3.0529017021034228E-2</v>
      </c>
      <c r="O71" s="93">
        <f t="shared" si="80"/>
        <v>7.5457527077261664E-13</v>
      </c>
      <c r="P71" s="93">
        <f t="shared" si="81"/>
        <v>0.6280029871059869</v>
      </c>
      <c r="Q71" s="93">
        <f t="shared" si="82"/>
        <v>0.24767668621723318</v>
      </c>
      <c r="R71" s="93">
        <f t="shared" si="83"/>
        <v>0.6280029871059869</v>
      </c>
      <c r="S71" s="93">
        <f t="shared" si="84"/>
        <v>6.1343740895549781E-2</v>
      </c>
      <c r="T71" s="93">
        <f t="shared" si="85"/>
        <v>0.49767126320215954</v>
      </c>
      <c r="U71" s="93">
        <f t="shared" si="86"/>
        <v>0.24767668621723318</v>
      </c>
      <c r="V71" s="93">
        <f t="shared" si="87"/>
        <v>7.5457527077261664E-13</v>
      </c>
      <c r="W71" s="93">
        <f t="shared" si="88"/>
        <v>9.5415096684713114E-3</v>
      </c>
      <c r="X71" s="93">
        <f t="shared" si="89"/>
        <v>0.24767668621723318</v>
      </c>
      <c r="Y71" s="93">
        <f t="shared" si="90"/>
        <v>0.24767668621723318</v>
      </c>
      <c r="Z71" s="93">
        <f t="shared" si="91"/>
        <v>0.24767668621723318</v>
      </c>
      <c r="AA71" s="93">
        <f t="shared" si="92"/>
        <v>0.24767668621723318</v>
      </c>
      <c r="AB71" s="93">
        <f t="shared" si="93"/>
        <v>6.1343740895549781E-2</v>
      </c>
      <c r="AC71" s="93">
        <f t="shared" si="94"/>
        <v>6.1343740895549781E-2</v>
      </c>
      <c r="AD71" s="93">
        <f t="shared" si="95"/>
        <v>0.24767668621723318</v>
      </c>
      <c r="AE71" s="93">
        <f t="shared" si="96"/>
        <v>9.3202088027059761E-4</v>
      </c>
      <c r="AF71" s="93">
        <f t="shared" si="97"/>
        <v>9.3202088027059761E-4</v>
      </c>
      <c r="AG71" s="93">
        <f t="shared" si="98"/>
        <v>6.1343740895549781E-2</v>
      </c>
      <c r="AH71" s="93">
        <f t="shared" si="99"/>
        <v>6.1343740895549781E-2</v>
      </c>
      <c r="AI71" s="93">
        <f t="shared" si="100"/>
        <v>0.6280029871059869</v>
      </c>
      <c r="AJ71" s="93">
        <f t="shared" si="101"/>
        <v>6.1343740895549781E-2</v>
      </c>
      <c r="AK71" s="93">
        <f t="shared" si="102"/>
        <v>8.6866292126037973E-7</v>
      </c>
      <c r="AL71" s="93">
        <f t="shared" si="103"/>
        <v>9.3202088027059761E-4</v>
      </c>
      <c r="AM71" s="93">
        <f t="shared" si="104"/>
        <v>6.1343740895549781E-2</v>
      </c>
      <c r="AN71" s="93">
        <f t="shared" si="105"/>
        <v>8.6866292126037973E-7</v>
      </c>
      <c r="AO71" s="260">
        <f t="shared" si="39"/>
        <v>5.2463752542418743E-3</v>
      </c>
      <c r="AP71" s="261">
        <f t="shared" si="40"/>
        <v>9.9447092352708821E-2</v>
      </c>
      <c r="AQ71" s="262">
        <f t="shared" si="41"/>
        <v>0.65082267547887573</v>
      </c>
      <c r="AR71" s="263">
        <f t="shared" si="42"/>
        <v>1.7785766189687999E-5</v>
      </c>
      <c r="AS71" s="260">
        <f t="shared" si="43"/>
        <v>6.039301275334449E-9</v>
      </c>
      <c r="AT71" s="260">
        <f t="shared" si="108"/>
        <v>0.99999999396069872</v>
      </c>
    </row>
    <row r="72" spans="7:46" ht="12" customHeight="1">
      <c r="G72" s="218">
        <f t="shared" si="106"/>
        <v>14.158576051779935</v>
      </c>
      <c r="H72" s="215">
        <f t="shared" si="107"/>
        <v>2916.6666666666665</v>
      </c>
      <c r="I72" s="92">
        <v>70000</v>
      </c>
      <c r="J72" s="93">
        <f t="shared" si="75"/>
        <v>0.62378312004387937</v>
      </c>
      <c r="K72" s="93">
        <f t="shared" si="76"/>
        <v>5.891172096841963E-2</v>
      </c>
      <c r="L72" s="93">
        <f t="shared" si="77"/>
        <v>0.13230390107891327</v>
      </c>
      <c r="M72" s="93">
        <f t="shared" si="78"/>
        <v>0.62378312004387937</v>
      </c>
      <c r="N72" s="93">
        <f t="shared" si="79"/>
        <v>2.9023657289662243E-2</v>
      </c>
      <c r="O72" s="93">
        <f t="shared" si="80"/>
        <v>5.0352043203782673E-13</v>
      </c>
      <c r="P72" s="93">
        <f t="shared" si="81"/>
        <v>0.62378312004387937</v>
      </c>
      <c r="Q72" s="93">
        <f t="shared" si="82"/>
        <v>0.24271736849352094</v>
      </c>
      <c r="R72" s="93">
        <f t="shared" si="83"/>
        <v>0.62378312004387937</v>
      </c>
      <c r="S72" s="93">
        <f t="shared" si="84"/>
        <v>5.891172096841963E-2</v>
      </c>
      <c r="T72" s="93">
        <f t="shared" si="85"/>
        <v>0.49266354492038572</v>
      </c>
      <c r="U72" s="93">
        <f t="shared" si="86"/>
        <v>0.24271736849352094</v>
      </c>
      <c r="V72" s="93">
        <f t="shared" si="87"/>
        <v>5.0352043203782673E-13</v>
      </c>
      <c r="W72" s="93">
        <f t="shared" si="88"/>
        <v>8.9194111370664644E-3</v>
      </c>
      <c r="X72" s="93">
        <f t="shared" si="89"/>
        <v>0.24271736849352094</v>
      </c>
      <c r="Y72" s="93">
        <f t="shared" si="90"/>
        <v>0.24271736849352094</v>
      </c>
      <c r="Z72" s="93">
        <f t="shared" si="91"/>
        <v>0.24271736849352094</v>
      </c>
      <c r="AA72" s="93">
        <f t="shared" si="92"/>
        <v>0.24271736849352094</v>
      </c>
      <c r="AB72" s="93">
        <f t="shared" si="93"/>
        <v>5.891172096841963E-2</v>
      </c>
      <c r="AC72" s="93">
        <f t="shared" si="94"/>
        <v>5.891172096841963E-2</v>
      </c>
      <c r="AD72" s="93">
        <f t="shared" si="95"/>
        <v>0.24271736849352094</v>
      </c>
      <c r="AE72" s="93">
        <f t="shared" si="96"/>
        <v>8.4237268246776425E-4</v>
      </c>
      <c r="AF72" s="93">
        <f t="shared" si="97"/>
        <v>8.4237268246776425E-4</v>
      </c>
      <c r="AG72" s="93">
        <f t="shared" si="98"/>
        <v>5.891172096841963E-2</v>
      </c>
      <c r="AH72" s="93">
        <f t="shared" si="99"/>
        <v>5.891172096841963E-2</v>
      </c>
      <c r="AI72" s="93">
        <f t="shared" si="100"/>
        <v>0.62378312004387937</v>
      </c>
      <c r="AJ72" s="93">
        <f t="shared" si="101"/>
        <v>5.891172096841963E-2</v>
      </c>
      <c r="AK72" s="93">
        <f t="shared" si="102"/>
        <v>7.0959173616793671E-7</v>
      </c>
      <c r="AL72" s="93">
        <f t="shared" si="103"/>
        <v>8.4237268246776425E-4</v>
      </c>
      <c r="AM72" s="93">
        <f t="shared" si="104"/>
        <v>5.891172096841963E-2</v>
      </c>
      <c r="AN72" s="93">
        <f t="shared" si="105"/>
        <v>7.0959173616793671E-7</v>
      </c>
      <c r="AO72" s="260">
        <f t="shared" ref="AO72:AO77" si="109">J72*(1-(1-K72)*(1-AK72))*L72</f>
        <v>4.8619770092852592E-3</v>
      </c>
      <c r="AP72" s="261">
        <f t="shared" ref="AP72:AP77" si="110">M72*(1-(1-N72)*(1-O72)*(1-P72))*(Q72)</f>
        <v>9.6095832170551426E-2</v>
      </c>
      <c r="AQ72" s="262">
        <f t="shared" ref="AQ72:AQ77" si="111">1-((1-(1-(1-S72)*(1-AL72)*(1-AM72))*T72*U72*V72*W72)*(1-R72)*(1-AJ72))</f>
        <v>0.64594670389946385</v>
      </c>
      <c r="AR72" s="263">
        <f t="shared" ref="AR72:AR77" si="112">X72*Y72*Z72*(1-(1-(AA72*AB72*AC72*AD72*AG72*AH72))*(1-AE72)*(1-AF72))*(1-(1-AI72)*(1-AN72))</f>
        <v>1.5026932343700003E-5</v>
      </c>
      <c r="AS72" s="260">
        <f t="shared" ref="AS72:AS77" si="113">AO72*AP72*AQ72*AR72</f>
        <v>4.5350749660434207E-9</v>
      </c>
      <c r="AT72" s="260">
        <f t="shared" si="108"/>
        <v>0.99999999546492502</v>
      </c>
    </row>
    <row r="73" spans="7:46" ht="12" customHeight="1">
      <c r="G73" s="218">
        <f t="shared" si="106"/>
        <v>14.360841423948221</v>
      </c>
      <c r="H73" s="215">
        <f t="shared" si="107"/>
        <v>2958.3333333333335</v>
      </c>
      <c r="I73" s="92">
        <v>71000</v>
      </c>
      <c r="J73" s="93">
        <f t="shared" si="75"/>
        <v>0.61959160838514971</v>
      </c>
      <c r="K73" s="93">
        <f t="shared" si="76"/>
        <v>5.6576120347311756E-2</v>
      </c>
      <c r="L73" s="93">
        <f t="shared" si="77"/>
        <v>0.12853567652559855</v>
      </c>
      <c r="M73" s="93">
        <f t="shared" si="78"/>
        <v>0.61959160838514971</v>
      </c>
      <c r="N73" s="93">
        <f t="shared" si="79"/>
        <v>2.7592525559777321E-2</v>
      </c>
      <c r="O73" s="93">
        <f t="shared" si="80"/>
        <v>3.3599408210126498E-13</v>
      </c>
      <c r="P73" s="93">
        <f t="shared" si="81"/>
        <v>0.61959160838514971</v>
      </c>
      <c r="Q73" s="93">
        <f t="shared" si="82"/>
        <v>0.23785735293934421</v>
      </c>
      <c r="R73" s="93">
        <f t="shared" si="83"/>
        <v>0.61959160838514971</v>
      </c>
      <c r="S73" s="93">
        <f t="shared" si="84"/>
        <v>5.6576120347311756E-2</v>
      </c>
      <c r="T73" s="93">
        <f t="shared" si="85"/>
        <v>0.4877062158096247</v>
      </c>
      <c r="U73" s="93">
        <f t="shared" si="86"/>
        <v>0.23785735293934421</v>
      </c>
      <c r="V73" s="93">
        <f t="shared" si="87"/>
        <v>3.3599408210126498E-13</v>
      </c>
      <c r="W73" s="93">
        <f t="shared" si="88"/>
        <v>8.3378729149022959E-3</v>
      </c>
      <c r="X73" s="93">
        <f t="shared" si="89"/>
        <v>0.23785735293934421</v>
      </c>
      <c r="Y73" s="93">
        <f t="shared" si="90"/>
        <v>0.23785735293934421</v>
      </c>
      <c r="Z73" s="93">
        <f t="shared" si="91"/>
        <v>0.23785735293934421</v>
      </c>
      <c r="AA73" s="93">
        <f t="shared" si="92"/>
        <v>0.23785735293934421</v>
      </c>
      <c r="AB73" s="93">
        <f t="shared" si="93"/>
        <v>5.6576120347311756E-2</v>
      </c>
      <c r="AC73" s="93">
        <f t="shared" si="94"/>
        <v>5.6576120347311756E-2</v>
      </c>
      <c r="AD73" s="93">
        <f t="shared" si="95"/>
        <v>0.23785735293934421</v>
      </c>
      <c r="AE73" s="93">
        <f t="shared" si="96"/>
        <v>7.6134746676696482E-4</v>
      </c>
      <c r="AF73" s="93">
        <f t="shared" si="97"/>
        <v>7.6134746676696482E-4</v>
      </c>
      <c r="AG73" s="93">
        <f t="shared" si="98"/>
        <v>5.6576120347311756E-2</v>
      </c>
      <c r="AH73" s="93">
        <f t="shared" si="99"/>
        <v>5.6576120347311756E-2</v>
      </c>
      <c r="AI73" s="93">
        <f t="shared" si="100"/>
        <v>0.61959160838514971</v>
      </c>
      <c r="AJ73" s="93">
        <f t="shared" si="101"/>
        <v>5.6576120347311756E-2</v>
      </c>
      <c r="AK73" s="93">
        <f t="shared" si="102"/>
        <v>5.7964996515247452E-7</v>
      </c>
      <c r="AL73" s="93">
        <f t="shared" si="103"/>
        <v>7.6134746676696482E-4</v>
      </c>
      <c r="AM73" s="93">
        <f t="shared" si="104"/>
        <v>5.6576120347311756E-2</v>
      </c>
      <c r="AN73" s="93">
        <f t="shared" si="105"/>
        <v>5.7964996515247452E-7</v>
      </c>
      <c r="AO73" s="260">
        <f t="shared" si="109"/>
        <v>4.5057446476756326E-3</v>
      </c>
      <c r="AP73" s="261">
        <f t="shared" si="110"/>
        <v>9.2858858871390976E-2</v>
      </c>
      <c r="AQ73" s="262">
        <f t="shared" si="111"/>
        <v>0.64111363933027876</v>
      </c>
      <c r="AR73" s="263">
        <f t="shared" si="112"/>
        <v>1.2696034005849135E-5</v>
      </c>
      <c r="AS73" s="260">
        <f t="shared" si="113"/>
        <v>3.4055950914025643E-9</v>
      </c>
      <c r="AT73" s="260">
        <f t="shared" si="108"/>
        <v>0.99999999659440486</v>
      </c>
    </row>
    <row r="74" spans="7:46" ht="12" customHeight="1">
      <c r="G74" s="218">
        <f t="shared" si="106"/>
        <v>14.563106796116505</v>
      </c>
      <c r="H74" s="215">
        <f t="shared" si="107"/>
        <v>3000</v>
      </c>
      <c r="I74" s="92">
        <v>72000</v>
      </c>
      <c r="J74" s="93">
        <f t="shared" si="75"/>
        <v>0.61542826159562014</v>
      </c>
      <c r="K74" s="93">
        <f t="shared" si="76"/>
        <v>5.4333116414462979E-2</v>
      </c>
      <c r="L74" s="93">
        <f t="shared" si="77"/>
        <v>0.12487477697304657</v>
      </c>
      <c r="M74" s="93">
        <f t="shared" si="78"/>
        <v>0.61542826159562014</v>
      </c>
      <c r="N74" s="93">
        <f t="shared" si="79"/>
        <v>2.6231961712080469E-2</v>
      </c>
      <c r="O74" s="93">
        <f t="shared" si="80"/>
        <v>2.2420544634143272E-13</v>
      </c>
      <c r="P74" s="93">
        <f t="shared" si="81"/>
        <v>0.61542826159562014</v>
      </c>
      <c r="Q74" s="93">
        <f t="shared" si="82"/>
        <v>0.23309465119230638</v>
      </c>
      <c r="R74" s="93">
        <f t="shared" si="83"/>
        <v>0.61542826159562014</v>
      </c>
      <c r="S74" s="93">
        <f t="shared" si="84"/>
        <v>5.4333116414462979E-2</v>
      </c>
      <c r="T74" s="93">
        <f t="shared" si="85"/>
        <v>0.48279876883884698</v>
      </c>
      <c r="U74" s="93">
        <f t="shared" si="86"/>
        <v>0.23309465119230638</v>
      </c>
      <c r="V74" s="93">
        <f t="shared" si="87"/>
        <v>2.2420544634143272E-13</v>
      </c>
      <c r="W74" s="93">
        <f t="shared" si="88"/>
        <v>7.794250503394334E-3</v>
      </c>
      <c r="X74" s="93">
        <f t="shared" si="89"/>
        <v>0.23309465119230638</v>
      </c>
      <c r="Y74" s="93">
        <f t="shared" si="90"/>
        <v>0.23309465119230638</v>
      </c>
      <c r="Z74" s="93">
        <f t="shared" si="91"/>
        <v>0.23309465119230638</v>
      </c>
      <c r="AA74" s="93">
        <f t="shared" si="92"/>
        <v>0.23309465119230638</v>
      </c>
      <c r="AB74" s="93">
        <f t="shared" si="93"/>
        <v>5.4333116414462979E-2</v>
      </c>
      <c r="AC74" s="93">
        <f t="shared" si="94"/>
        <v>5.4333116414462979E-2</v>
      </c>
      <c r="AD74" s="93">
        <f t="shared" si="95"/>
        <v>0.23309465119230638</v>
      </c>
      <c r="AE74" s="93">
        <f t="shared" si="96"/>
        <v>6.8811581526405569E-4</v>
      </c>
      <c r="AF74" s="93">
        <f t="shared" si="97"/>
        <v>6.8811581526405569E-4</v>
      </c>
      <c r="AG74" s="93">
        <f t="shared" si="98"/>
        <v>5.4333116414462979E-2</v>
      </c>
      <c r="AH74" s="93">
        <f t="shared" si="99"/>
        <v>5.4333116414462979E-2</v>
      </c>
      <c r="AI74" s="93">
        <f t="shared" si="100"/>
        <v>0.61542826159562014</v>
      </c>
      <c r="AJ74" s="93">
        <f t="shared" si="101"/>
        <v>5.4333116414462979E-2</v>
      </c>
      <c r="AK74" s="93">
        <f t="shared" si="102"/>
        <v>4.7350337521651598E-7</v>
      </c>
      <c r="AL74" s="93">
        <f t="shared" si="103"/>
        <v>6.8811581526405569E-4</v>
      </c>
      <c r="AM74" s="93">
        <f t="shared" si="104"/>
        <v>5.4333116414462979E-2</v>
      </c>
      <c r="AN74" s="93">
        <f t="shared" si="105"/>
        <v>4.7350337521651598E-7</v>
      </c>
      <c r="AO74" s="260">
        <f t="shared" si="109"/>
        <v>4.1756141105028406E-3</v>
      </c>
      <c r="AP74" s="261">
        <f t="shared" si="110"/>
        <v>8.9732216976835741E-2</v>
      </c>
      <c r="AQ74" s="262">
        <f t="shared" si="111"/>
        <v>0.63632324262805762</v>
      </c>
      <c r="AR74" s="263">
        <f t="shared" si="112"/>
        <v>1.0726692175519447E-5</v>
      </c>
      <c r="AS74" s="260">
        <f t="shared" si="113"/>
        <v>2.5574806642016335E-9</v>
      </c>
      <c r="AT74" s="260">
        <f t="shared" si="108"/>
        <v>0.99999999744251933</v>
      </c>
    </row>
    <row r="75" spans="7:46" ht="12" customHeight="1">
      <c r="G75" s="218">
        <f t="shared" si="106"/>
        <v>14.765372168284788</v>
      </c>
      <c r="H75" s="215">
        <f t="shared" si="107"/>
        <v>3041.6666666666665</v>
      </c>
      <c r="I75" s="92">
        <v>73000</v>
      </c>
      <c r="J75" s="93">
        <f t="shared" si="75"/>
        <v>0.61129289042140778</v>
      </c>
      <c r="K75" s="93">
        <f t="shared" si="76"/>
        <v>5.2179038102740043E-2</v>
      </c>
      <c r="L75" s="93">
        <f t="shared" si="77"/>
        <v>0.12131814563532911</v>
      </c>
      <c r="M75" s="93">
        <f t="shared" si="78"/>
        <v>0.61129289042140778</v>
      </c>
      <c r="N75" s="93">
        <f t="shared" si="79"/>
        <v>2.4938486104626404E-2</v>
      </c>
      <c r="O75" s="93">
        <f t="shared" si="80"/>
        <v>1.4961002245870155E-13</v>
      </c>
      <c r="P75" s="93">
        <f t="shared" si="81"/>
        <v>0.61129289042140778</v>
      </c>
      <c r="Q75" s="93">
        <f t="shared" si="82"/>
        <v>0.2284273147036931</v>
      </c>
      <c r="R75" s="93">
        <f t="shared" si="83"/>
        <v>0.61129289042140778</v>
      </c>
      <c r="S75" s="93">
        <f t="shared" si="84"/>
        <v>5.2179038102740043E-2</v>
      </c>
      <c r="T75" s="93">
        <f t="shared" si="85"/>
        <v>0.4779407020789222</v>
      </c>
      <c r="U75" s="93">
        <f t="shared" si="86"/>
        <v>0.2284273147036931</v>
      </c>
      <c r="V75" s="93">
        <f t="shared" si="87"/>
        <v>1.4961002245870155E-13</v>
      </c>
      <c r="W75" s="93">
        <f t="shared" si="88"/>
        <v>7.2860718230765573E-3</v>
      </c>
      <c r="X75" s="93">
        <f t="shared" si="89"/>
        <v>0.2284273147036931</v>
      </c>
      <c r="Y75" s="93">
        <f t="shared" si="90"/>
        <v>0.2284273147036931</v>
      </c>
      <c r="Z75" s="93">
        <f t="shared" si="91"/>
        <v>0.2284273147036931</v>
      </c>
      <c r="AA75" s="93">
        <f t="shared" si="92"/>
        <v>0.2284273147036931</v>
      </c>
      <c r="AB75" s="93">
        <f t="shared" si="93"/>
        <v>5.2179038102740043E-2</v>
      </c>
      <c r="AC75" s="93">
        <f t="shared" si="94"/>
        <v>5.2179038102740043E-2</v>
      </c>
      <c r="AD75" s="93">
        <f t="shared" si="95"/>
        <v>0.2284273147036931</v>
      </c>
      <c r="AE75" s="93">
        <f t="shared" si="96"/>
        <v>6.2192808919064434E-4</v>
      </c>
      <c r="AF75" s="93">
        <f t="shared" si="97"/>
        <v>6.2192808919064434E-4</v>
      </c>
      <c r="AG75" s="93">
        <f t="shared" si="98"/>
        <v>5.2179038102740043E-2</v>
      </c>
      <c r="AH75" s="93">
        <f t="shared" si="99"/>
        <v>5.2179038102740043E-2</v>
      </c>
      <c r="AI75" s="93">
        <f t="shared" si="100"/>
        <v>0.61129289042140778</v>
      </c>
      <c r="AJ75" s="93">
        <f t="shared" si="101"/>
        <v>5.2179038102740043E-2</v>
      </c>
      <c r="AK75" s="93">
        <f t="shared" si="102"/>
        <v>3.8679454812432603E-7</v>
      </c>
      <c r="AL75" s="93">
        <f t="shared" si="103"/>
        <v>6.2192808919064434E-4</v>
      </c>
      <c r="AM75" s="93">
        <f t="shared" si="104"/>
        <v>5.2179038102740043E-2</v>
      </c>
      <c r="AN75" s="93">
        <f t="shared" si="105"/>
        <v>3.8679454812432603E-7</v>
      </c>
      <c r="AO75" s="260">
        <f t="shared" si="109"/>
        <v>3.8696726537904113E-3</v>
      </c>
      <c r="AP75" s="261">
        <f t="shared" si="110"/>
        <v>8.6712088811421992E-2</v>
      </c>
      <c r="AQ75" s="262">
        <f t="shared" si="111"/>
        <v>0.6315752535029151</v>
      </c>
      <c r="AR75" s="263">
        <f t="shared" si="112"/>
        <v>9.0628241779376441E-6</v>
      </c>
      <c r="AS75" s="260">
        <f t="shared" si="113"/>
        <v>1.920624816779275E-9</v>
      </c>
      <c r="AT75" s="260">
        <f t="shared" si="108"/>
        <v>0.99999999807937523</v>
      </c>
    </row>
    <row r="76" spans="7:46" ht="12" customHeight="1">
      <c r="G76" s="226">
        <f t="shared" si="106"/>
        <v>14.967637540453076</v>
      </c>
      <c r="H76" s="227">
        <f t="shared" si="107"/>
        <v>3083.3333333333335</v>
      </c>
      <c r="I76" s="228">
        <v>74000</v>
      </c>
      <c r="J76" s="93">
        <f t="shared" si="75"/>
        <v>0.60718530688032113</v>
      </c>
      <c r="K76" s="93">
        <f t="shared" si="76"/>
        <v>5.0110359887297978E-2</v>
      </c>
      <c r="L76" s="93">
        <f t="shared" si="77"/>
        <v>0.1178628127886205</v>
      </c>
      <c r="M76" s="93">
        <f t="shared" si="78"/>
        <v>0.60718530688032113</v>
      </c>
      <c r="N76" s="93">
        <f t="shared" si="79"/>
        <v>2.3708790673639582E-2</v>
      </c>
      <c r="O76" s="93">
        <f t="shared" si="80"/>
        <v>9.983325198089419E-14</v>
      </c>
      <c r="P76" s="93">
        <f t="shared" si="81"/>
        <v>0.60718530688032113</v>
      </c>
      <c r="Q76" s="93">
        <f t="shared" si="82"/>
        <v>0.22385343394126878</v>
      </c>
      <c r="R76" s="93">
        <f t="shared" si="83"/>
        <v>0.60718530688032113</v>
      </c>
      <c r="S76" s="93">
        <f t="shared" si="84"/>
        <v>5.0110359887297978E-2</v>
      </c>
      <c r="T76" s="93">
        <f t="shared" si="85"/>
        <v>0.47313151865128239</v>
      </c>
      <c r="U76" s="93">
        <f t="shared" si="86"/>
        <v>0.22385343394126878</v>
      </c>
      <c r="V76" s="93">
        <f t="shared" si="87"/>
        <v>9.983325198089419E-14</v>
      </c>
      <c r="W76" s="93">
        <f t="shared" si="88"/>
        <v>6.8110259720176114E-3</v>
      </c>
      <c r="X76" s="93">
        <f t="shared" si="89"/>
        <v>0.22385343394126878</v>
      </c>
      <c r="Y76" s="93">
        <f t="shared" si="90"/>
        <v>0.22385343394126878</v>
      </c>
      <c r="Z76" s="93">
        <f t="shared" si="91"/>
        <v>0.22385343394126878</v>
      </c>
      <c r="AA76" s="93">
        <f t="shared" si="92"/>
        <v>0.22385343394126878</v>
      </c>
      <c r="AB76" s="93">
        <f t="shared" si="93"/>
        <v>5.0110359887297978E-2</v>
      </c>
      <c r="AC76" s="93">
        <f t="shared" si="94"/>
        <v>5.0110359887297978E-2</v>
      </c>
      <c r="AD76" s="93">
        <f t="shared" si="95"/>
        <v>0.22385343394126878</v>
      </c>
      <c r="AE76" s="93">
        <f t="shared" si="96"/>
        <v>5.6210675520645926E-4</v>
      </c>
      <c r="AF76" s="93">
        <f t="shared" si="97"/>
        <v>5.6210675520645926E-4</v>
      </c>
      <c r="AG76" s="93">
        <f t="shared" si="98"/>
        <v>5.0110359887297978E-2</v>
      </c>
      <c r="AH76" s="93">
        <f t="shared" si="99"/>
        <v>5.0110359887297978E-2</v>
      </c>
      <c r="AI76" s="93">
        <f t="shared" si="100"/>
        <v>0.60718530688032113</v>
      </c>
      <c r="AJ76" s="93">
        <f t="shared" si="101"/>
        <v>5.0110359887297978E-2</v>
      </c>
      <c r="AK76" s="93">
        <f t="shared" si="102"/>
        <v>3.1596400424873429E-7</v>
      </c>
      <c r="AL76" s="93">
        <f t="shared" si="103"/>
        <v>5.6210675520645926E-4</v>
      </c>
      <c r="AM76" s="93">
        <f t="shared" si="104"/>
        <v>5.0110359887297978E-2</v>
      </c>
      <c r="AN76" s="93">
        <f t="shared" si="105"/>
        <v>3.1596400424873429E-7</v>
      </c>
      <c r="AO76" s="260">
        <f t="shared" si="109"/>
        <v>3.586147744058397E-3</v>
      </c>
      <c r="AP76" s="261">
        <f t="shared" si="110"/>
        <v>8.3794789902768452E-2</v>
      </c>
      <c r="AQ76" s="262">
        <f t="shared" si="111"/>
        <v>0.6268693925215667</v>
      </c>
      <c r="AR76" s="263">
        <f t="shared" si="112"/>
        <v>7.6570465640269378E-6</v>
      </c>
      <c r="AS76" s="260">
        <f t="shared" si="113"/>
        <v>1.4423928069920623E-9</v>
      </c>
      <c r="AT76" s="260">
        <f t="shared" si="108"/>
        <v>0.99999999855760724</v>
      </c>
    </row>
    <row r="77" spans="7:46" ht="12" customHeight="1">
      <c r="G77" s="218">
        <f t="shared" si="106"/>
        <v>15.169902912621358</v>
      </c>
      <c r="H77" s="215">
        <f t="shared" si="107"/>
        <v>3125</v>
      </c>
      <c r="I77" s="92">
        <v>75000</v>
      </c>
      <c r="J77" s="93">
        <f t="shared" si="75"/>
        <v>0.60310532425331587</v>
      </c>
      <c r="K77" s="93">
        <f t="shared" si="76"/>
        <v>4.81236960154438E-2</v>
      </c>
      <c r="L77" s="93">
        <f t="shared" si="77"/>
        <v>0.11450589329153098</v>
      </c>
      <c r="M77" s="93">
        <f t="shared" si="78"/>
        <v>0.60310532425331587</v>
      </c>
      <c r="N77" s="93">
        <f t="shared" si="79"/>
        <v>2.2539730473141333E-2</v>
      </c>
      <c r="O77" s="93">
        <f t="shared" si="80"/>
        <v>6.6617717431544123E-14</v>
      </c>
      <c r="P77" s="93">
        <f t="shared" si="81"/>
        <v>0.60310532425331587</v>
      </c>
      <c r="Q77" s="93">
        <f t="shared" si="82"/>
        <v>0.21937113760803587</v>
      </c>
      <c r="R77" s="93">
        <f t="shared" si="83"/>
        <v>0.60310532425331587</v>
      </c>
      <c r="S77" s="93">
        <f t="shared" si="84"/>
        <v>4.81236960154438E-2</v>
      </c>
      <c r="T77" s="93">
        <f t="shared" si="85"/>
        <v>0.46837072667710122</v>
      </c>
      <c r="U77" s="93">
        <f t="shared" si="86"/>
        <v>0.21937113760803587</v>
      </c>
      <c r="V77" s="93">
        <f t="shared" si="87"/>
        <v>6.6617717431544123E-14</v>
      </c>
      <c r="W77" s="93">
        <f t="shared" si="88"/>
        <v>6.3669527171789746E-3</v>
      </c>
      <c r="X77" s="93">
        <f t="shared" si="89"/>
        <v>0.21937113760803587</v>
      </c>
      <c r="Y77" s="93">
        <f t="shared" si="90"/>
        <v>0.21937113760803587</v>
      </c>
      <c r="Z77" s="93">
        <f t="shared" si="91"/>
        <v>0.21937113760803587</v>
      </c>
      <c r="AA77" s="93">
        <f t="shared" si="92"/>
        <v>0.21937113760803587</v>
      </c>
      <c r="AB77" s="93">
        <f t="shared" si="93"/>
        <v>4.81236960154438E-2</v>
      </c>
      <c r="AC77" s="93">
        <f t="shared" si="94"/>
        <v>4.81236960154438E-2</v>
      </c>
      <c r="AD77" s="93">
        <f t="shared" si="95"/>
        <v>0.21937113760803587</v>
      </c>
      <c r="AE77" s="93">
        <f t="shared" si="96"/>
        <v>5.0803944980185609E-4</v>
      </c>
      <c r="AF77" s="93">
        <f t="shared" si="97"/>
        <v>5.0803944980185609E-4</v>
      </c>
      <c r="AG77" s="93">
        <f t="shared" si="98"/>
        <v>4.81236960154438E-2</v>
      </c>
      <c r="AH77" s="93">
        <f t="shared" si="99"/>
        <v>4.81236960154438E-2</v>
      </c>
      <c r="AI77" s="93">
        <f t="shared" si="100"/>
        <v>0.60310532425331587</v>
      </c>
      <c r="AJ77" s="93">
        <f t="shared" si="101"/>
        <v>4.81236960154438E-2</v>
      </c>
      <c r="AK77" s="93">
        <f t="shared" si="102"/>
        <v>2.581040825549726E-7</v>
      </c>
      <c r="AL77" s="93">
        <f t="shared" si="103"/>
        <v>5.0803944980185609E-4</v>
      </c>
      <c r="AM77" s="93">
        <f t="shared" si="104"/>
        <v>4.81236960154438E-2</v>
      </c>
      <c r="AN77" s="93">
        <f t="shared" si="105"/>
        <v>2.581040825549726E-7</v>
      </c>
      <c r="AO77" s="260">
        <f t="shared" si="109"/>
        <v>3.3233967712013664E-3</v>
      </c>
      <c r="AP77" s="261">
        <f t="shared" si="110"/>
        <v>8.0976764498860584E-2</v>
      </c>
      <c r="AQ77" s="262">
        <f t="shared" si="111"/>
        <v>0.62220536297909734</v>
      </c>
      <c r="AR77" s="263">
        <f t="shared" si="112"/>
        <v>6.4693257402072798E-6</v>
      </c>
      <c r="AS77" s="260">
        <f t="shared" si="113"/>
        <v>1.08326667487675E-9</v>
      </c>
      <c r="AT77" s="260">
        <f t="shared" si="108"/>
        <v>0.9999999989167333</v>
      </c>
    </row>
    <row r="78" spans="7:46" ht="12" customHeight="1"/>
    <row r="79" spans="7:46" ht="12" customHeight="1"/>
  </sheetData>
  <phoneticPr fontId="2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3F8E-10E2-4EED-8BFA-785E24C4ECB3}">
  <dimension ref="B1:AT79"/>
  <sheetViews>
    <sheetView zoomScale="80" zoomScaleNormal="80" workbookViewId="0">
      <pane xSplit="4" ySplit="1" topLeftCell="AI2" activePane="bottomRight" state="frozenSplit"/>
      <selection pane="topRight" activeCell="C1" sqref="C1"/>
      <selection pane="bottomLeft" activeCell="A37" sqref="A37"/>
      <selection pane="bottomRight" activeCell="AT25" sqref="AT25"/>
    </sheetView>
  </sheetViews>
  <sheetFormatPr baseColWidth="10" defaultRowHeight="14.4"/>
  <cols>
    <col min="1" max="1" width="2.109375" customWidth="1"/>
    <col min="2" max="2" width="9" bestFit="1" customWidth="1"/>
    <col min="3" max="3" width="45.33203125" bestFit="1" customWidth="1"/>
    <col min="4" max="4" width="8.109375" customWidth="1"/>
    <col min="5" max="5" width="14.21875" customWidth="1"/>
    <col min="6" max="6" width="6.6640625" customWidth="1"/>
    <col min="14" max="14" width="13.109375" customWidth="1"/>
    <col min="15" max="15" width="11.44140625" customWidth="1"/>
    <col min="17" max="17" width="13.21875" customWidth="1"/>
    <col min="19" max="19" width="14.109375" customWidth="1"/>
    <col min="21" max="21" width="15.5546875" customWidth="1"/>
    <col min="22" max="22" width="12.5546875" customWidth="1"/>
    <col min="23" max="23" width="13.33203125" customWidth="1"/>
    <col min="24" max="24" width="15" customWidth="1"/>
    <col min="25" max="25" width="13.88671875" customWidth="1"/>
    <col min="26" max="26" width="13" customWidth="1"/>
    <col min="27" max="27" width="17.33203125" customWidth="1"/>
    <col min="28" max="28" width="11.44140625" bestFit="1" customWidth="1"/>
    <col min="29" max="29" width="14.109375" customWidth="1"/>
    <col min="30" max="30" width="13.33203125" customWidth="1"/>
    <col min="31" max="31" width="15.5546875" customWidth="1"/>
    <col min="32" max="32" width="17.5546875" customWidth="1"/>
    <col min="34" max="34" width="15.33203125" customWidth="1"/>
    <col min="35" max="35" width="13" customWidth="1"/>
    <col min="36" max="36" width="14.44140625" customWidth="1"/>
    <col min="37" max="37" width="16.77734375" customWidth="1"/>
    <col min="39" max="39" width="13.44140625" customWidth="1"/>
    <col min="44" max="44" width="12" bestFit="1" customWidth="1"/>
    <col min="45" max="45" width="12.5546875" bestFit="1" customWidth="1"/>
  </cols>
  <sheetData>
    <row r="1" spans="2:46" ht="49.8" customHeight="1" thickBot="1">
      <c r="B1" s="76" t="s">
        <v>56</v>
      </c>
      <c r="C1" s="95" t="s">
        <v>55</v>
      </c>
      <c r="D1" s="37" t="s">
        <v>239</v>
      </c>
      <c r="E1" s="272" t="s">
        <v>515</v>
      </c>
      <c r="F1" s="223"/>
      <c r="G1" s="76" t="s">
        <v>444</v>
      </c>
      <c r="H1" s="76" t="s">
        <v>443</v>
      </c>
      <c r="I1" s="76" t="s">
        <v>371</v>
      </c>
      <c r="J1" s="204" t="s">
        <v>28</v>
      </c>
      <c r="K1" s="76" t="s">
        <v>20</v>
      </c>
      <c r="L1" s="76" t="s">
        <v>64</v>
      </c>
      <c r="M1" s="76" t="s">
        <v>51</v>
      </c>
      <c r="N1" s="76" t="s">
        <v>70</v>
      </c>
      <c r="O1" s="101" t="s">
        <v>73</v>
      </c>
      <c r="P1" s="189" t="s">
        <v>25</v>
      </c>
      <c r="Q1" s="76" t="s">
        <v>31</v>
      </c>
      <c r="R1" s="76" t="s">
        <v>32</v>
      </c>
      <c r="S1" s="255" t="s">
        <v>26</v>
      </c>
      <c r="T1" s="161" t="s">
        <v>27</v>
      </c>
      <c r="U1" s="76" t="s">
        <v>88</v>
      </c>
      <c r="V1" s="101" t="s">
        <v>46</v>
      </c>
      <c r="W1" s="76" t="s">
        <v>47</v>
      </c>
      <c r="X1" s="224" t="s">
        <v>33</v>
      </c>
      <c r="Y1" s="224" t="s">
        <v>34</v>
      </c>
      <c r="Z1" s="224" t="s">
        <v>53</v>
      </c>
      <c r="AA1" s="224" t="s">
        <v>35</v>
      </c>
      <c r="AB1" s="224" t="s">
        <v>36</v>
      </c>
      <c r="AC1" s="224" t="s">
        <v>101</v>
      </c>
      <c r="AD1" s="224" t="s">
        <v>37</v>
      </c>
      <c r="AE1" s="224" t="s">
        <v>106</v>
      </c>
      <c r="AF1" s="224" t="s">
        <v>110</v>
      </c>
      <c r="AG1" s="224" t="s">
        <v>113</v>
      </c>
      <c r="AH1" s="224" t="s">
        <v>115</v>
      </c>
      <c r="AI1" s="225" t="s">
        <v>42</v>
      </c>
      <c r="AJ1" s="224" t="s">
        <v>43</v>
      </c>
      <c r="AK1" s="224" t="s">
        <v>49</v>
      </c>
      <c r="AL1" s="224" t="s">
        <v>44</v>
      </c>
      <c r="AM1" s="224" t="s">
        <v>45</v>
      </c>
      <c r="AN1" s="224" t="s">
        <v>48</v>
      </c>
      <c r="AO1" s="272" t="s">
        <v>131</v>
      </c>
      <c r="AP1" s="272" t="s">
        <v>135</v>
      </c>
      <c r="AQ1" s="272" t="s">
        <v>141</v>
      </c>
      <c r="AR1" s="272" t="s">
        <v>142</v>
      </c>
      <c r="AS1" s="272" t="s">
        <v>516</v>
      </c>
      <c r="AT1" s="344" t="s">
        <v>603</v>
      </c>
    </row>
    <row r="2" spans="2:46" ht="12" customHeight="1">
      <c r="B2" s="79">
        <v>1</v>
      </c>
      <c r="C2" s="96" t="s">
        <v>28</v>
      </c>
      <c r="D2" s="49" t="s">
        <v>211</v>
      </c>
      <c r="E2" s="282">
        <f>CM!N3</f>
        <v>6.2897299168468388E-6</v>
      </c>
      <c r="F2" s="216"/>
      <c r="G2" s="218">
        <f>H2/206</f>
        <v>0</v>
      </c>
      <c r="H2" s="215">
        <f>I2/24</f>
        <v>0</v>
      </c>
      <c r="I2" s="92">
        <v>0</v>
      </c>
      <c r="J2" s="93">
        <f t="shared" ref="J2:J33" si="0">EXP(-($E$2*$I2))</f>
        <v>1</v>
      </c>
      <c r="K2" s="93">
        <f t="shared" ref="K2:K33" si="1">EXP(-($E$3*$I2))</f>
        <v>1</v>
      </c>
      <c r="L2" s="93">
        <f t="shared" ref="L2:L33" si="2">EXP(-($E$4*$I2))</f>
        <v>1</v>
      </c>
      <c r="M2" s="93">
        <f t="shared" ref="M2:M33" si="3">EXP(-($E$5*$I2))</f>
        <v>1</v>
      </c>
      <c r="N2" s="93">
        <f t="shared" ref="N2:N33" si="4">EXP(-($E$6*$I2))</f>
        <v>1</v>
      </c>
      <c r="O2" s="93">
        <f t="shared" ref="O2:O33" si="5">EXP(-($E$7*$I2))</f>
        <v>1</v>
      </c>
      <c r="P2" s="93">
        <f t="shared" ref="P2:P33" si="6">EXP(-($E$8*$I2))</f>
        <v>1</v>
      </c>
      <c r="Q2" s="93">
        <f t="shared" ref="Q2:Q33" si="7">EXP(-($E$9*$I2))</f>
        <v>1</v>
      </c>
      <c r="R2" s="93">
        <f t="shared" ref="R2:R33" si="8">EXP(-($E$10*$I2))</f>
        <v>1</v>
      </c>
      <c r="S2" s="93">
        <f t="shared" ref="S2:S33" si="9">EXP(-($E$11*$I2))</f>
        <v>1</v>
      </c>
      <c r="T2" s="93">
        <f t="shared" ref="T2:T33" si="10">EXP(-($E$12*$I2))</f>
        <v>1</v>
      </c>
      <c r="U2" s="93">
        <f t="shared" ref="U2:U33" si="11">EXP(-($E$13*$I2))</f>
        <v>1</v>
      </c>
      <c r="V2" s="93">
        <f t="shared" ref="V2:V33" si="12">EXP(-($E$14*$I2))</f>
        <v>1</v>
      </c>
      <c r="W2" s="93">
        <f t="shared" ref="W2:W33" si="13">EXP(-($E$15*$I2))</f>
        <v>1</v>
      </c>
      <c r="X2" s="93">
        <f t="shared" ref="X2:X33" si="14">EXP(-($E$16*$I2))</f>
        <v>1</v>
      </c>
      <c r="Y2" s="93">
        <f t="shared" ref="Y2:Y33" si="15">EXP(-($E$17*$I2))</f>
        <v>1</v>
      </c>
      <c r="Z2" s="93">
        <f t="shared" ref="Z2:Z33" si="16">EXP(-($E$18*$I2))</f>
        <v>1</v>
      </c>
      <c r="AA2" s="93">
        <f t="shared" ref="AA2:AA33" si="17">EXP(-($E$19*$I2))</f>
        <v>1</v>
      </c>
      <c r="AB2" s="93">
        <f t="shared" ref="AB2:AB33" si="18">EXP(-($E$20*$I2))</f>
        <v>1</v>
      </c>
      <c r="AC2" s="93">
        <f t="shared" ref="AC2:AC33" si="19">EXP(-($E$21*$I2))</f>
        <v>1</v>
      </c>
      <c r="AD2" s="93">
        <f t="shared" ref="AD2:AD33" si="20">EXP(-($E$22*$I2))</f>
        <v>1</v>
      </c>
      <c r="AE2" s="93">
        <f t="shared" ref="AE2:AE33" si="21">EXP(-($E$23*$I2))</f>
        <v>1</v>
      </c>
      <c r="AF2" s="93">
        <f t="shared" ref="AF2:AF33" si="22">EXP(-($E$24*$I2))</f>
        <v>1</v>
      </c>
      <c r="AG2" s="93">
        <f t="shared" ref="AG2:AG33" si="23">EXP(-($E$25*$I2))</f>
        <v>1</v>
      </c>
      <c r="AH2" s="93">
        <f t="shared" ref="AH2:AH33" si="24">EXP(-($E$26*$I2))</f>
        <v>1</v>
      </c>
      <c r="AI2" s="93">
        <f t="shared" ref="AI2:AI33" si="25">EXP(-($E$27*$I2))</f>
        <v>1</v>
      </c>
      <c r="AJ2" s="93">
        <f t="shared" ref="AJ2:AJ33" si="26">EXP(-($E$28*$I2))</f>
        <v>1</v>
      </c>
      <c r="AK2" s="93">
        <f t="shared" ref="AK2:AK33" si="27">EXP(-($E$29*$I2))</f>
        <v>1</v>
      </c>
      <c r="AL2" s="93">
        <f t="shared" ref="AL2:AL33" si="28">EXP(-($E$30*$I2))</f>
        <v>1</v>
      </c>
      <c r="AM2" s="93">
        <f t="shared" ref="AM2:AM33" si="29">EXP(-($E$31*$I2))</f>
        <v>1</v>
      </c>
      <c r="AN2" s="93">
        <f t="shared" ref="AN2:AN33" si="30">EXP(-($E$32*$I2))</f>
        <v>1</v>
      </c>
      <c r="AO2" s="260">
        <f t="shared" ref="AO2:AO6" si="31">J2*(1-(1-K2)*(1-AK2))*L2</f>
        <v>1</v>
      </c>
      <c r="AP2" s="261">
        <f t="shared" ref="AP2:AP6" si="32">M2*(1-(1-N2)*(1-O2)*(1-P2))*(Q2)</f>
        <v>1</v>
      </c>
      <c r="AQ2" s="262">
        <f t="shared" ref="AQ2:AQ6" si="33">1-((1-(1-(1-S2)*(1-AL2)*(1-AM2))*T2*U2*V2*W2)*(1-R2)*(1-AJ2))</f>
        <v>1</v>
      </c>
      <c r="AR2" s="263">
        <f t="shared" ref="AR2:AR6" si="34">X2*Y2*Z2*(1-(1-(AA2*AB2*AC2*AD2*AG2*AH2))*(1-AE2)*(1-AF2))*(1-(1-AI2)*(1-AN2))</f>
        <v>1</v>
      </c>
      <c r="AS2" s="260">
        <f t="shared" ref="AS2:AS6" si="35">AO2*AP2*AQ2*AR2</f>
        <v>1</v>
      </c>
      <c r="AT2" s="260">
        <f>1-AS2</f>
        <v>0</v>
      </c>
    </row>
    <row r="3" spans="2:46" ht="12" customHeight="1">
      <c r="B3" s="79">
        <v>2</v>
      </c>
      <c r="C3" s="96" t="s">
        <v>20</v>
      </c>
      <c r="D3" s="50" t="s">
        <v>212</v>
      </c>
      <c r="E3" s="282">
        <f>CM!N4</f>
        <v>2.9497995825985724E-5</v>
      </c>
      <c r="F3" s="216"/>
      <c r="G3" s="218">
        <f t="shared" ref="G3:G66" si="36">H3/206</f>
        <v>0.20226537216828477</v>
      </c>
      <c r="H3" s="215">
        <f t="shared" ref="H3:H66" si="37">I3/24</f>
        <v>41.666666666666664</v>
      </c>
      <c r="I3" s="92">
        <v>1000</v>
      </c>
      <c r="J3" s="93">
        <f t="shared" si="0"/>
        <v>0.99373000902847275</v>
      </c>
      <c r="K3" s="93">
        <f t="shared" si="1"/>
        <v>0.97093282355757882</v>
      </c>
      <c r="L3" s="93">
        <f t="shared" si="2"/>
        <v>0.97385192376388541</v>
      </c>
      <c r="M3" s="93">
        <f t="shared" si="3"/>
        <v>0.99345261748751568</v>
      </c>
      <c r="N3" s="93">
        <f t="shared" si="4"/>
        <v>0.96604584190249065</v>
      </c>
      <c r="O3" s="93">
        <f t="shared" si="5"/>
        <v>0.91751708387277331</v>
      </c>
      <c r="P3" s="93">
        <f t="shared" si="6"/>
        <v>0.99340771257594795</v>
      </c>
      <c r="Q3" s="93">
        <f t="shared" si="7"/>
        <v>0.98055534827069168</v>
      </c>
      <c r="R3" s="93">
        <f t="shared" si="8"/>
        <v>0.99366541306944889</v>
      </c>
      <c r="S3" s="93">
        <f t="shared" si="9"/>
        <v>0.96836332705676509</v>
      </c>
      <c r="T3" s="93">
        <f t="shared" si="10"/>
        <v>0.99097638064447813</v>
      </c>
      <c r="U3" s="93">
        <f t="shared" si="11"/>
        <v>0.98025501964780848</v>
      </c>
      <c r="V3" s="93">
        <f t="shared" si="12"/>
        <v>0.6896678780091785</v>
      </c>
      <c r="W3" s="93">
        <f t="shared" si="13"/>
        <v>0.94031367453308412</v>
      </c>
      <c r="X3" s="93">
        <f t="shared" si="14"/>
        <v>0.98053974517999243</v>
      </c>
      <c r="Y3" s="93">
        <f t="shared" si="15"/>
        <v>0.98053584444611219</v>
      </c>
      <c r="Z3" s="93">
        <f t="shared" si="16"/>
        <v>0.98053974517999243</v>
      </c>
      <c r="AA3" s="93">
        <f t="shared" si="17"/>
        <v>0.98054364592939047</v>
      </c>
      <c r="AB3" s="93">
        <f t="shared" si="18"/>
        <v>0.96247418501452564</v>
      </c>
      <c r="AC3" s="93">
        <f t="shared" si="19"/>
        <v>0.96246673307064157</v>
      </c>
      <c r="AD3" s="93">
        <f t="shared" si="20"/>
        <v>0.98086674853377764</v>
      </c>
      <c r="AE3" s="93">
        <f t="shared" si="21"/>
        <v>0.92117442284640638</v>
      </c>
      <c r="AF3" s="93">
        <f t="shared" si="22"/>
        <v>0.92117442284640638</v>
      </c>
      <c r="AG3" s="93">
        <f t="shared" si="23"/>
        <v>0.9629810525792738</v>
      </c>
      <c r="AH3" s="93">
        <f t="shared" si="24"/>
        <v>0.96245928118445401</v>
      </c>
      <c r="AI3" s="93">
        <f t="shared" si="25"/>
        <v>0.99342998907482327</v>
      </c>
      <c r="AJ3" s="93">
        <f t="shared" si="26"/>
        <v>0.96250399336703663</v>
      </c>
      <c r="AK3" s="93">
        <f t="shared" si="27"/>
        <v>0.93152644956916297</v>
      </c>
      <c r="AL3" s="93">
        <f t="shared" si="28"/>
        <v>0.92118973346622501</v>
      </c>
      <c r="AM3" s="93">
        <f t="shared" si="29"/>
        <v>0.97116494670039866</v>
      </c>
      <c r="AN3" s="93">
        <f t="shared" si="30"/>
        <v>0.87080088800166733</v>
      </c>
      <c r="AO3" s="260">
        <f t="shared" si="31"/>
        <v>0.96581974465235865</v>
      </c>
      <c r="AP3" s="261">
        <f t="shared" si="32"/>
        <v>0.97411729225070276</v>
      </c>
      <c r="AQ3" s="262">
        <f t="shared" si="33"/>
        <v>0.99991209744993059</v>
      </c>
      <c r="AR3" s="263">
        <f t="shared" si="34"/>
        <v>0.94092417768320813</v>
      </c>
      <c r="AS3" s="260">
        <f t="shared" si="35"/>
        <v>0.88516408300735894</v>
      </c>
      <c r="AT3" s="260">
        <f t="shared" ref="AT3:AT66" si="38">1-AS3</f>
        <v>0.11483591699264106</v>
      </c>
    </row>
    <row r="4" spans="2:46" ht="12" customHeight="1">
      <c r="B4" s="79">
        <v>3</v>
      </c>
      <c r="C4" s="96" t="s">
        <v>64</v>
      </c>
      <c r="D4" s="49" t="s">
        <v>422</v>
      </c>
      <c r="E4" s="282">
        <f>CM!N5</f>
        <v>2.6496015887030937E-5</v>
      </c>
      <c r="F4" s="216"/>
      <c r="G4" s="218">
        <f t="shared" si="36"/>
        <v>0.40453074433656955</v>
      </c>
      <c r="H4" s="215">
        <f t="shared" si="37"/>
        <v>83.333333333333329</v>
      </c>
      <c r="I4" s="92">
        <v>2000</v>
      </c>
      <c r="J4" s="93">
        <f t="shared" si="0"/>
        <v>0.98749933084372854</v>
      </c>
      <c r="K4" s="93">
        <f t="shared" si="1"/>
        <v>0.94271054786149255</v>
      </c>
      <c r="L4" s="93">
        <f t="shared" si="2"/>
        <v>0.94838756941862046</v>
      </c>
      <c r="M4" s="93">
        <f t="shared" si="3"/>
        <v>0.98694810319279613</v>
      </c>
      <c r="N4" s="93">
        <f t="shared" si="4"/>
        <v>0.93324456865709204</v>
      </c>
      <c r="O4" s="93">
        <f t="shared" si="5"/>
        <v>0.84183759919839773</v>
      </c>
      <c r="P4" s="93">
        <f t="shared" si="6"/>
        <v>0.98685888340537731</v>
      </c>
      <c r="Q4" s="93">
        <f t="shared" si="7"/>
        <v>0.96148879102225737</v>
      </c>
      <c r="R4" s="93">
        <f t="shared" si="8"/>
        <v>0.98737095313047851</v>
      </c>
      <c r="S4" s="93">
        <f t="shared" si="9"/>
        <v>0.93772753318844737</v>
      </c>
      <c r="T4" s="93">
        <f t="shared" si="10"/>
        <v>0.9820341869952296</v>
      </c>
      <c r="U4" s="93">
        <f t="shared" si="11"/>
        <v>0.96089990354472532</v>
      </c>
      <c r="V4" s="93">
        <f t="shared" si="12"/>
        <v>0.47564178195768309</v>
      </c>
      <c r="W4" s="93">
        <f t="shared" si="13"/>
        <v>0.88418980651391077</v>
      </c>
      <c r="X4" s="93">
        <f t="shared" si="14"/>
        <v>0.96145819187764447</v>
      </c>
      <c r="Y4" s="93">
        <f t="shared" si="15"/>
        <v>0.96145054224365034</v>
      </c>
      <c r="Z4" s="93">
        <f t="shared" si="16"/>
        <v>0.96145819187764447</v>
      </c>
      <c r="AA4" s="93">
        <f t="shared" si="17"/>
        <v>0.96146584157250181</v>
      </c>
      <c r="AB4" s="93">
        <f t="shared" si="18"/>
        <v>0.92635655681937523</v>
      </c>
      <c r="AC4" s="93">
        <f t="shared" si="19"/>
        <v>0.92634221226767355</v>
      </c>
      <c r="AD4" s="93">
        <f t="shared" si="20"/>
        <v>0.96209957837922488</v>
      </c>
      <c r="AE4" s="93">
        <f t="shared" si="21"/>
        <v>0.84856231730640996</v>
      </c>
      <c r="AF4" s="93">
        <f t="shared" si="22"/>
        <v>0.84856231730640996</v>
      </c>
      <c r="AG4" s="93">
        <f t="shared" si="23"/>
        <v>0.92733250762668618</v>
      </c>
      <c r="AH4" s="93">
        <f t="shared" si="24"/>
        <v>0.92632786793809585</v>
      </c>
      <c r="AI4" s="93">
        <f t="shared" si="25"/>
        <v>0.98690314319320349</v>
      </c>
      <c r="AJ4" s="93">
        <f t="shared" si="26"/>
        <v>0.92641393724749255</v>
      </c>
      <c r="AK4" s="93">
        <f t="shared" si="27"/>
        <v>0.86774152624693035</v>
      </c>
      <c r="AL4" s="93">
        <f t="shared" si="28"/>
        <v>0.84859052504357479</v>
      </c>
      <c r="AM4" s="93">
        <f t="shared" si="29"/>
        <v>0.9431613536995882</v>
      </c>
      <c r="AN4" s="93">
        <f t="shared" si="30"/>
        <v>0.75829418654449243</v>
      </c>
      <c r="AO4" s="260">
        <f t="shared" si="31"/>
        <v>0.92943597201598371</v>
      </c>
      <c r="AP4" s="261">
        <f t="shared" si="32"/>
        <v>0.94880787647442111</v>
      </c>
      <c r="AQ4" s="262">
        <f t="shared" si="33"/>
        <v>0.99943928517762315</v>
      </c>
      <c r="AR4" s="263">
        <f t="shared" si="34"/>
        <v>0.87948953372202854</v>
      </c>
      <c r="AS4" s="260">
        <f t="shared" si="35"/>
        <v>0.77514839154193205</v>
      </c>
      <c r="AT4" s="260">
        <f t="shared" si="38"/>
        <v>0.22485160845806795</v>
      </c>
    </row>
    <row r="5" spans="2:46" ht="12" customHeight="1">
      <c r="B5" s="79">
        <v>4</v>
      </c>
      <c r="C5" s="96" t="s">
        <v>51</v>
      </c>
      <c r="D5" s="51" t="s">
        <v>240</v>
      </c>
      <c r="E5" s="282">
        <f>CM!N6</f>
        <v>6.5689106414137831E-6</v>
      </c>
      <c r="F5" s="216"/>
      <c r="G5" s="218">
        <f t="shared" si="36"/>
        <v>0.60679611650485432</v>
      </c>
      <c r="H5" s="215">
        <f t="shared" si="37"/>
        <v>125</v>
      </c>
      <c r="I5" s="92">
        <v>3000</v>
      </c>
      <c r="J5" s="93">
        <f t="shared" si="0"/>
        <v>0.98130771895494917</v>
      </c>
      <c r="K5" s="93">
        <f t="shared" si="1"/>
        <v>0.91530861403267105</v>
      </c>
      <c r="L5" s="93">
        <f t="shared" si="2"/>
        <v>0.92358905895207899</v>
      </c>
      <c r="M5" s="93">
        <f t="shared" si="3"/>
        <v>0.98048617644122205</v>
      </c>
      <c r="N5" s="93">
        <f t="shared" si="4"/>
        <v>0.90155703502926721</v>
      </c>
      <c r="O5" s="93">
        <f t="shared" si="5"/>
        <v>0.77240037911097037</v>
      </c>
      <c r="P5" s="93">
        <f t="shared" si="6"/>
        <v>0.98035322599899</v>
      </c>
      <c r="Q5" s="93">
        <f t="shared" si="7"/>
        <v>0.9427929763391959</v>
      </c>
      <c r="R5" s="93">
        <f t="shared" si="8"/>
        <v>0.98111636599517238</v>
      </c>
      <c r="S5" s="93">
        <f t="shared" si="9"/>
        <v>0.90806095391109809</v>
      </c>
      <c r="T5" s="93">
        <f t="shared" si="10"/>
        <v>0.97317268429767523</v>
      </c>
      <c r="U5" s="93">
        <f t="shared" si="11"/>
        <v>0.94192695382881197</v>
      </c>
      <c r="V5" s="93">
        <f t="shared" si="12"/>
        <v>0.3280348584552597</v>
      </c>
      <c r="W5" s="93">
        <f t="shared" si="13"/>
        <v>0.8314157659477921</v>
      </c>
      <c r="X5" s="93">
        <f t="shared" si="14"/>
        <v>0.94274797046492176</v>
      </c>
      <c r="Y5" s="93">
        <f t="shared" si="15"/>
        <v>0.94273671933205005</v>
      </c>
      <c r="Z5" s="93">
        <f t="shared" si="16"/>
        <v>0.94274797046492176</v>
      </c>
      <c r="AA5" s="93">
        <f t="shared" si="17"/>
        <v>0.94275922173207061</v>
      </c>
      <c r="AB5" s="93">
        <f t="shared" si="18"/>
        <v>0.89159427205759023</v>
      </c>
      <c r="AC5" s="93">
        <f t="shared" si="19"/>
        <v>0.89157356274669841</v>
      </c>
      <c r="AD5" s="93">
        <f t="shared" si="20"/>
        <v>0.94369148521054869</v>
      </c>
      <c r="AE5" s="93">
        <f t="shared" si="21"/>
        <v>0.78167390289394134</v>
      </c>
      <c r="AF5" s="93">
        <f t="shared" si="22"/>
        <v>0.78167390289394134</v>
      </c>
      <c r="AG5" s="93">
        <f t="shared" si="23"/>
        <v>0.8930036342853237</v>
      </c>
      <c r="AH5" s="93">
        <f t="shared" si="24"/>
        <v>0.89155285391682759</v>
      </c>
      <c r="AI5" s="93">
        <f t="shared" si="25"/>
        <v>0.98041917876033291</v>
      </c>
      <c r="AJ5" s="93">
        <f t="shared" si="26"/>
        <v>0.8916771141115909</v>
      </c>
      <c r="AK5" s="93">
        <f t="shared" si="27"/>
        <v>0.80832418308852971</v>
      </c>
      <c r="AL5" s="93">
        <f t="shared" si="28"/>
        <v>0.78171287958685465</v>
      </c>
      <c r="AM5" s="93">
        <f t="shared" si="29"/>
        <v>0.91596524579553651</v>
      </c>
      <c r="AN5" s="93">
        <f t="shared" si="30"/>
        <v>0.660323251009446</v>
      </c>
      <c r="AO5" s="260">
        <f t="shared" si="31"/>
        <v>0.89161243441740912</v>
      </c>
      <c r="AP5" s="261">
        <f t="shared" si="32"/>
        <v>0.92398856406284358</v>
      </c>
      <c r="AQ5" s="262">
        <f t="shared" si="33"/>
        <v>0.99846499657583632</v>
      </c>
      <c r="AR5" s="263">
        <f t="shared" si="34"/>
        <v>0.8149721122876199</v>
      </c>
      <c r="AS5" s="260">
        <f t="shared" si="35"/>
        <v>0.67037576368831697</v>
      </c>
      <c r="AT5" s="260">
        <f t="shared" si="38"/>
        <v>0.32962423631168303</v>
      </c>
    </row>
    <row r="6" spans="2:46" ht="12" customHeight="1">
      <c r="B6" s="79">
        <v>5</v>
      </c>
      <c r="C6" s="96" t="s">
        <v>70</v>
      </c>
      <c r="D6" s="51" t="s">
        <v>214</v>
      </c>
      <c r="E6" s="282">
        <f>CM!N7</f>
        <v>3.4543990509989138E-5</v>
      </c>
      <c r="F6" s="216"/>
      <c r="G6" s="218">
        <f t="shared" si="36"/>
        <v>0.8090614886731391</v>
      </c>
      <c r="H6" s="215">
        <f t="shared" si="37"/>
        <v>166.66666666666666</v>
      </c>
      <c r="I6" s="92">
        <v>4000</v>
      </c>
      <c r="J6" s="93">
        <f t="shared" si="0"/>
        <v>0.97515492841681173</v>
      </c>
      <c r="K6" s="93">
        <f t="shared" si="1"/>
        <v>0.88870317704931545</v>
      </c>
      <c r="L6" s="93">
        <f t="shared" si="2"/>
        <v>0.89943898182775872</v>
      </c>
      <c r="M6" s="93">
        <f t="shared" si="3"/>
        <v>0.97406655839585821</v>
      </c>
      <c r="N6" s="93">
        <f t="shared" si="4"/>
        <v>0.87094542492796168</v>
      </c>
      <c r="O6" s="93">
        <f t="shared" si="5"/>
        <v>0.70869054342412219</v>
      </c>
      <c r="P6" s="93">
        <f t="shared" si="6"/>
        <v>0.973890455756108</v>
      </c>
      <c r="Q6" s="93">
        <f t="shared" si="7"/>
        <v>0.92446069526144214</v>
      </c>
      <c r="R6" s="93">
        <f t="shared" si="8"/>
        <v>0.97490139908578965</v>
      </c>
      <c r="S6" s="93">
        <f t="shared" si="9"/>
        <v>0.87933292649969075</v>
      </c>
      <c r="T6" s="93">
        <f t="shared" si="10"/>
        <v>0.9643911444273815</v>
      </c>
      <c r="U6" s="93">
        <f t="shared" si="11"/>
        <v>0.9233286246322624</v>
      </c>
      <c r="V6" s="93">
        <f t="shared" si="12"/>
        <v>0.22623510474388017</v>
      </c>
      <c r="W6" s="93">
        <f t="shared" si="13"/>
        <v>0.78179161394310703</v>
      </c>
      <c r="X6" s="93">
        <f t="shared" si="14"/>
        <v>0.92440185472862946</v>
      </c>
      <c r="Y6" s="93">
        <f t="shared" si="15"/>
        <v>0.92438714518060916</v>
      </c>
      <c r="Z6" s="93">
        <f t="shared" si="16"/>
        <v>0.92440185472862946</v>
      </c>
      <c r="AA6" s="93">
        <f t="shared" si="17"/>
        <v>0.92441656451071907</v>
      </c>
      <c r="AB6" s="93">
        <f t="shared" si="18"/>
        <v>0.85813647036224838</v>
      </c>
      <c r="AC6" s="93">
        <f t="shared" si="19"/>
        <v>0.85810989422896744</v>
      </c>
      <c r="AD6" s="93">
        <f t="shared" si="20"/>
        <v>0.92563559871748236</v>
      </c>
      <c r="AE6" s="93">
        <f t="shared" si="21"/>
        <v>0.72005800635242434</v>
      </c>
      <c r="AF6" s="93">
        <f t="shared" si="22"/>
        <v>0.72005800635242434</v>
      </c>
      <c r="AG6" s="93">
        <f t="shared" si="23"/>
        <v>0.85994557970119789</v>
      </c>
      <c r="AH6" s="93">
        <f t="shared" si="24"/>
        <v>0.85808331891873846</v>
      </c>
      <c r="AI6" s="93">
        <f t="shared" si="25"/>
        <v>0.97397781404462469</v>
      </c>
      <c r="AJ6" s="93">
        <f t="shared" si="26"/>
        <v>0.85824278312640112</v>
      </c>
      <c r="AK6" s="93">
        <f t="shared" si="27"/>
        <v>0.75297535637335211</v>
      </c>
      <c r="AL6" s="93">
        <f t="shared" si="28"/>
        <v>0.72010587919372993</v>
      </c>
      <c r="AM6" s="93">
        <f t="shared" si="29"/>
        <v>0.88955333911243972</v>
      </c>
      <c r="AN6" s="93">
        <f t="shared" si="30"/>
        <v>0.57501007334717347</v>
      </c>
      <c r="AO6" s="260">
        <f t="shared" si="31"/>
        <v>0.85297840490338139</v>
      </c>
      <c r="AP6" s="261">
        <f t="shared" si="32"/>
        <v>0.89960234530205663</v>
      </c>
      <c r="AQ6" s="262">
        <f t="shared" si="33"/>
        <v>0.9970003465955839</v>
      </c>
      <c r="AR6" s="263">
        <f t="shared" si="34"/>
        <v>0.74841565785058883</v>
      </c>
      <c r="AS6" s="260">
        <f t="shared" si="35"/>
        <v>0.57256762702607833</v>
      </c>
      <c r="AT6" s="260">
        <f t="shared" si="38"/>
        <v>0.42743237297392167</v>
      </c>
    </row>
    <row r="7" spans="2:46" ht="12" customHeight="1">
      <c r="B7" s="79">
        <v>6</v>
      </c>
      <c r="C7" s="97" t="s">
        <v>73</v>
      </c>
      <c r="D7" s="51" t="s">
        <v>215</v>
      </c>
      <c r="E7" s="282">
        <f>CM!N8</f>
        <v>8.6084079201941187E-5</v>
      </c>
      <c r="F7" s="216"/>
      <c r="G7" s="219">
        <f t="shared" si="36"/>
        <v>1.0113268608414241</v>
      </c>
      <c r="H7" s="220">
        <f t="shared" si="37"/>
        <v>208.33333333333334</v>
      </c>
      <c r="I7" s="221">
        <v>5000</v>
      </c>
      <c r="J7" s="222">
        <f t="shared" si="0"/>
        <v>0.969040715819798</v>
      </c>
      <c r="K7" s="222">
        <f t="shared" si="1"/>
        <v>0.86287108499708287</v>
      </c>
      <c r="L7" s="222">
        <f t="shared" si="2"/>
        <v>0.87592038276119322</v>
      </c>
      <c r="M7" s="222">
        <f t="shared" si="3"/>
        <v>0.96768897204542137</v>
      </c>
      <c r="N7" s="222">
        <f t="shared" si="4"/>
        <v>0.84137320627565526</v>
      </c>
      <c r="O7" s="222">
        <f t="shared" si="5"/>
        <v>0.65023568077071159</v>
      </c>
      <c r="P7" s="222">
        <f t="shared" si="6"/>
        <v>0.96747028995222273</v>
      </c>
      <c r="Q7" s="222">
        <f t="shared" si="7"/>
        <v>0.90648487900464914</v>
      </c>
      <c r="R7" s="222">
        <f t="shared" si="8"/>
        <v>0.96872580142456477</v>
      </c>
      <c r="S7" s="222">
        <f t="shared" si="9"/>
        <v>0.85151375829580245</v>
      </c>
      <c r="T7" s="222">
        <f t="shared" si="10"/>
        <v>0.95568884583023272</v>
      </c>
      <c r="U7" s="222">
        <f t="shared" si="11"/>
        <v>0.90509751908028235</v>
      </c>
      <c r="V7" s="222">
        <f t="shared" si="12"/>
        <v>0.15602708461989606</v>
      </c>
      <c r="W7" s="222">
        <f t="shared" si="13"/>
        <v>0.73512934522599327</v>
      </c>
      <c r="X7" s="222">
        <f t="shared" si="14"/>
        <v>0.90641275907952268</v>
      </c>
      <c r="Y7" s="222">
        <f t="shared" si="15"/>
        <v>0.90639472999479953</v>
      </c>
      <c r="Z7" s="222">
        <f t="shared" si="16"/>
        <v>0.90641275907952268</v>
      </c>
      <c r="AA7" s="222">
        <f t="shared" si="17"/>
        <v>0.90643078852286207</v>
      </c>
      <c r="AB7" s="222">
        <f t="shared" si="18"/>
        <v>0.82593419994314665</v>
      </c>
      <c r="AC7" s="222">
        <f t="shared" si="19"/>
        <v>0.82590222651414802</v>
      </c>
      <c r="AD7" s="222">
        <f t="shared" si="20"/>
        <v>0.90792518004113343</v>
      </c>
      <c r="AE7" s="222">
        <f t="shared" si="21"/>
        <v>0.66329901841762851</v>
      </c>
      <c r="AF7" s="222">
        <f t="shared" si="22"/>
        <v>0.66329901841762851</v>
      </c>
      <c r="AG7" s="222">
        <f t="shared" si="23"/>
        <v>0.82811129950155338</v>
      </c>
      <c r="AH7" s="222">
        <f t="shared" si="24"/>
        <v>0.82587025432289962</v>
      </c>
      <c r="AI7" s="222">
        <f t="shared" si="25"/>
        <v>0.96757876916547181</v>
      </c>
      <c r="AJ7" s="222">
        <f t="shared" si="26"/>
        <v>0.82606210603760066</v>
      </c>
      <c r="AK7" s="222">
        <f t="shared" si="27"/>
        <v>0.70141646033554395</v>
      </c>
      <c r="AL7" s="222">
        <f t="shared" si="28"/>
        <v>0.66335414292193373</v>
      </c>
      <c r="AM7" s="222">
        <f t="shared" si="29"/>
        <v>0.86390302116629425</v>
      </c>
      <c r="AN7" s="222">
        <f t="shared" si="30"/>
        <v>0.50071928248062259</v>
      </c>
      <c r="AO7" s="264">
        <f>J7*(1-(1-K7)*(1-AK7))*L7</f>
        <v>0.81404877376565765</v>
      </c>
      <c r="AP7" s="265">
        <f>M7*(1-(1-N7)*(1-O7)*(1-P7))*(Q7)</f>
        <v>0.87561224692624018</v>
      </c>
      <c r="AQ7" s="266">
        <f>1-((1-(1-(1-S7)*(1-AL7)*(1-AM7))*T7*U7*V7*W7)*(1-R7)*(1-AJ7))</f>
        <v>0.99509626459431333</v>
      </c>
      <c r="AR7" s="267">
        <f>X7*Y7*Z7*(1-(1-(AA7*AB7*AC7*AD7*AG7*AH7))*(1-AE7)*(1-AF7))*(1-(1-AI7)*(1-AN7))</f>
        <v>0.68145741754840261</v>
      </c>
      <c r="AS7" s="264">
        <f>AO7*AP7*AQ7*AR7</f>
        <v>0.48335484126094597</v>
      </c>
      <c r="AT7" s="260">
        <f t="shared" si="38"/>
        <v>0.51664515873905403</v>
      </c>
    </row>
    <row r="8" spans="2:46" ht="12" customHeight="1">
      <c r="B8" s="79">
        <v>7</v>
      </c>
      <c r="C8" s="96" t="s">
        <v>25</v>
      </c>
      <c r="D8" s="51" t="s">
        <v>216</v>
      </c>
      <c r="E8" s="282">
        <f>CM!N9</f>
        <v>6.6141125218840914E-6</v>
      </c>
      <c r="F8" s="216"/>
      <c r="G8" s="218">
        <f t="shared" si="36"/>
        <v>1.2135922330097086</v>
      </c>
      <c r="H8" s="215">
        <f t="shared" si="37"/>
        <v>250</v>
      </c>
      <c r="I8" s="92">
        <v>6000</v>
      </c>
      <c r="J8" s="93">
        <f t="shared" si="0"/>
        <v>0.96296483928056564</v>
      </c>
      <c r="K8" s="93">
        <f t="shared" si="1"/>
        <v>0.83778985892240931</v>
      </c>
      <c r="L8" s="93">
        <f t="shared" si="2"/>
        <v>0.85301674981598685</v>
      </c>
      <c r="M8" s="93">
        <f t="shared" si="3"/>
        <v>0.96135314219232726</v>
      </c>
      <c r="N8" s="93">
        <f t="shared" si="4"/>
        <v>0.81280508741076329</v>
      </c>
      <c r="O8" s="93">
        <f t="shared" si="5"/>
        <v>0.59660234565077075</v>
      </c>
      <c r="P8" s="93">
        <f t="shared" si="6"/>
        <v>0.96109244772662672</v>
      </c>
      <c r="Q8" s="93">
        <f t="shared" si="7"/>
        <v>0.88885859623451957</v>
      </c>
      <c r="R8" s="93">
        <f t="shared" si="8"/>
        <v>0.96258932362357308</v>
      </c>
      <c r="S8" s="93">
        <f t="shared" si="9"/>
        <v>0.82457469601793332</v>
      </c>
      <c r="T8" s="93">
        <f t="shared" si="10"/>
        <v>0.94706507346314261</v>
      </c>
      <c r="U8" s="93">
        <f t="shared" si="11"/>
        <v>0.88722638634922479</v>
      </c>
      <c r="V8" s="93">
        <f t="shared" si="12"/>
        <v>0.10760686836176225</v>
      </c>
      <c r="W8" s="93">
        <f t="shared" si="13"/>
        <v>0.69125217586655385</v>
      </c>
      <c r="X8" s="93">
        <f t="shared" si="14"/>
        <v>0.88877373581572905</v>
      </c>
      <c r="Y8" s="93">
        <f t="shared" si="15"/>
        <v>0.88875252197695664</v>
      </c>
      <c r="Z8" s="93">
        <f t="shared" si="16"/>
        <v>0.88877373581572905</v>
      </c>
      <c r="AA8" s="93">
        <f t="shared" si="17"/>
        <v>0.88879495016085941</v>
      </c>
      <c r="AB8" s="93">
        <f t="shared" si="18"/>
        <v>0.79494034596590435</v>
      </c>
      <c r="AC8" s="93">
        <f t="shared" si="19"/>
        <v>0.79490341778884099</v>
      </c>
      <c r="AD8" s="93">
        <f t="shared" si="20"/>
        <v>0.89055361925889109</v>
      </c>
      <c r="AE8" s="93">
        <f t="shared" si="21"/>
        <v>0.61101409046544686</v>
      </c>
      <c r="AF8" s="93">
        <f t="shared" si="22"/>
        <v>0.61101409046544686</v>
      </c>
      <c r="AG8" s="93">
        <f t="shared" si="23"/>
        <v>0.79745549084679612</v>
      </c>
      <c r="AH8" s="93">
        <f t="shared" si="24"/>
        <v>0.79486649132724019</v>
      </c>
      <c r="AI8" s="93">
        <f t="shared" si="25"/>
        <v>0.96122176608108567</v>
      </c>
      <c r="AJ8" s="93">
        <f t="shared" si="26"/>
        <v>0.79508807583037511</v>
      </c>
      <c r="AK8" s="93">
        <f t="shared" si="27"/>
        <v>0.65338798496573891</v>
      </c>
      <c r="AL8" s="93">
        <f t="shared" si="28"/>
        <v>0.61107502611197229</v>
      </c>
      <c r="AM8" s="93">
        <f t="shared" si="29"/>
        <v>0.83899233150527752</v>
      </c>
      <c r="AN8" s="93">
        <f t="shared" si="30"/>
        <v>0.43602679582368387</v>
      </c>
      <c r="AO8" s="260">
        <f t="shared" ref="AO8:AO71" si="39">J8*(1-(1-K8)*(1-AK8))*L8</f>
        <v>0.77524134372508702</v>
      </c>
      <c r="AP8" s="261">
        <f t="shared" ref="AP8:AP71" si="40">M8*(1-(1-N8)*(1-O8)*(1-P8))*(Q8)</f>
        <v>0.85199640779362773</v>
      </c>
      <c r="AQ8" s="262">
        <f t="shared" ref="AQ8:AQ71" si="41">1-((1-(1-(1-S8)*(1-AL8)*(1-AM8))*T8*U8*V8*W8)*(1-R8)*(1-AJ8))</f>
        <v>0.99280797324029602</v>
      </c>
      <c r="AR8" s="263">
        <f t="shared" ref="AR8:AR71" si="42">X8*Y8*Z8*(1-(1-(AA8*AB8*AC8*AD8*AG8*AH8))*(1-AE8)*(1-AF8))*(1-(1-AI8)*(1-AN8))</f>
        <v>0.61572696333514576</v>
      </c>
      <c r="AS8" s="260">
        <f t="shared" ref="AS8:AS71" si="43">AO8*AP8*AQ8*AR8</f>
        <v>0.40376448685902472</v>
      </c>
      <c r="AT8" s="260">
        <f t="shared" si="38"/>
        <v>0.59623551314097534</v>
      </c>
    </row>
    <row r="9" spans="2:46" ht="12" customHeight="1">
      <c r="B9" s="79">
        <v>8</v>
      </c>
      <c r="C9" s="96" t="s">
        <v>31</v>
      </c>
      <c r="D9" s="51" t="s">
        <v>217</v>
      </c>
      <c r="E9" s="282">
        <f>CM!N10</f>
        <v>1.9636185912209885E-5</v>
      </c>
      <c r="F9" s="216"/>
      <c r="G9" s="218">
        <f t="shared" si="36"/>
        <v>1.4158576051779936</v>
      </c>
      <c r="H9" s="215">
        <f t="shared" si="37"/>
        <v>291.66666666666669</v>
      </c>
      <c r="I9" s="92">
        <v>7000</v>
      </c>
      <c r="J9" s="93">
        <f t="shared" si="0"/>
        <v>0.95692705843237835</v>
      </c>
      <c r="K9" s="93">
        <f t="shared" si="1"/>
        <v>0.81343767327144045</v>
      </c>
      <c r="L9" s="93">
        <f t="shared" si="2"/>
        <v>0.83071200281111579</v>
      </c>
      <c r="M9" s="93">
        <f t="shared" si="3"/>
        <v>0.9550587954408154</v>
      </c>
      <c r="N9" s="93">
        <f t="shared" si="4"/>
        <v>0.78520697497035841</v>
      </c>
      <c r="O9" s="93">
        <f t="shared" si="5"/>
        <v>0.54739284441315161</v>
      </c>
      <c r="P9" s="93">
        <f t="shared" si="6"/>
        <v>0.954756650070127</v>
      </c>
      <c r="Q9" s="93">
        <f t="shared" si="7"/>
        <v>0.87157505039413741</v>
      </c>
      <c r="R9" s="93">
        <f t="shared" si="8"/>
        <v>0.95649171787465914</v>
      </c>
      <c r="S9" s="93">
        <f t="shared" si="9"/>
        <v>0.79848789604274661</v>
      </c>
      <c r="T9" s="93">
        <f t="shared" si="10"/>
        <v>0.93851911873530192</v>
      </c>
      <c r="U9" s="93">
        <f t="shared" si="11"/>
        <v>0.86970811878281351</v>
      </c>
      <c r="V9" s="93">
        <f t="shared" si="12"/>
        <v>7.4213000562269565E-2</v>
      </c>
      <c r="W9" s="93">
        <f t="shared" si="13"/>
        <v>0.64999387351806892</v>
      </c>
      <c r="X9" s="93">
        <f t="shared" si="14"/>
        <v>0.87147797243942482</v>
      </c>
      <c r="Y9" s="93">
        <f t="shared" si="15"/>
        <v>0.87145370464028704</v>
      </c>
      <c r="Z9" s="93">
        <f t="shared" si="16"/>
        <v>0.87147797243942482</v>
      </c>
      <c r="AA9" s="93">
        <f t="shared" si="17"/>
        <v>0.8715022409143599</v>
      </c>
      <c r="AB9" s="93">
        <f t="shared" si="18"/>
        <v>0.7651095616186987</v>
      </c>
      <c r="AC9" s="93">
        <f t="shared" si="19"/>
        <v>0.76506809562591316</v>
      </c>
      <c r="AD9" s="93">
        <f t="shared" si="20"/>
        <v>0.87351443291745634</v>
      </c>
      <c r="AE9" s="93">
        <f t="shared" si="21"/>
        <v>0.56285055213552992</v>
      </c>
      <c r="AF9" s="93">
        <f t="shared" si="22"/>
        <v>0.56285055213552992</v>
      </c>
      <c r="AG9" s="93">
        <f t="shared" si="23"/>
        <v>0.76793452796076911</v>
      </c>
      <c r="AH9" s="93">
        <f t="shared" si="24"/>
        <v>0.76502663188042463</v>
      </c>
      <c r="AI9" s="93">
        <f t="shared" si="25"/>
        <v>0.95490652857641523</v>
      </c>
      <c r="AJ9" s="93">
        <f t="shared" si="26"/>
        <v>0.76527544806524928</v>
      </c>
      <c r="AK9" s="93">
        <f t="shared" si="27"/>
        <v>0.60864818982628444</v>
      </c>
      <c r="AL9" s="93">
        <f t="shared" si="28"/>
        <v>0.56291604043195431</v>
      </c>
      <c r="AM9" s="93">
        <f t="shared" si="29"/>
        <v>0.8147999429083661</v>
      </c>
      <c r="AN9" s="93">
        <f t="shared" si="30"/>
        <v>0.37969252099578565</v>
      </c>
      <c r="AO9" s="260">
        <f t="shared" si="39"/>
        <v>0.73689170024412853</v>
      </c>
      <c r="AP9" s="261">
        <f t="shared" si="40"/>
        <v>0.82874415210766006</v>
      </c>
      <c r="AQ9" s="262">
        <f t="shared" si="41"/>
        <v>0.9901830809994876</v>
      </c>
      <c r="AR9" s="263">
        <f t="shared" si="42"/>
        <v>0.55257790906260862</v>
      </c>
      <c r="AS9" s="260">
        <f t="shared" si="43"/>
        <v>0.33414361131147896</v>
      </c>
      <c r="AT9" s="260">
        <f t="shared" si="38"/>
        <v>0.66585638868852104</v>
      </c>
    </row>
    <row r="10" spans="2:46" ht="12" customHeight="1">
      <c r="B10" s="79">
        <v>9</v>
      </c>
      <c r="C10" s="96" t="s">
        <v>32</v>
      </c>
      <c r="D10" s="52" t="s">
        <v>218</v>
      </c>
      <c r="E10" s="282">
        <f>CM!N11</f>
        <v>6.3547355602415778E-6</v>
      </c>
      <c r="F10" s="216"/>
      <c r="G10" s="218">
        <f t="shared" si="36"/>
        <v>1.6181229773462782</v>
      </c>
      <c r="H10" s="215">
        <f t="shared" si="37"/>
        <v>333.33333333333331</v>
      </c>
      <c r="I10" s="92">
        <v>8000</v>
      </c>
      <c r="J10" s="93">
        <f t="shared" si="0"/>
        <v>0.95092713441559718</v>
      </c>
      <c r="K10" s="93">
        <f t="shared" si="1"/>
        <v>0.78979333689754705</v>
      </c>
      <c r="L10" s="93">
        <f t="shared" si="2"/>
        <v>0.80899048203135526</v>
      </c>
      <c r="M10" s="93">
        <f t="shared" si="3"/>
        <v>0.94880566018515189</v>
      </c>
      <c r="N10" s="93">
        <f t="shared" si="4"/>
        <v>0.75854593320294772</v>
      </c>
      <c r="O10" s="93">
        <f t="shared" si="5"/>
        <v>0.50224228633877754</v>
      </c>
      <c r="P10" s="93">
        <f t="shared" si="6"/>
        <v>0.94846261981283975</v>
      </c>
      <c r="Q10" s="93">
        <f t="shared" si="7"/>
        <v>0.85462757708326909</v>
      </c>
      <c r="R10" s="93">
        <f t="shared" si="8"/>
        <v>0.95043273793943006</v>
      </c>
      <c r="S10" s="93">
        <f t="shared" si="9"/>
        <v>0.77322639562651052</v>
      </c>
      <c r="T10" s="93">
        <f t="shared" si="10"/>
        <v>0.93005027944995466</v>
      </c>
      <c r="U10" s="93">
        <f t="shared" si="11"/>
        <v>0.85253574906530538</v>
      </c>
      <c r="V10" s="93">
        <f t="shared" si="12"/>
        <v>5.1182322618474427E-2</v>
      </c>
      <c r="W10" s="93">
        <f t="shared" si="13"/>
        <v>0.61119812763176806</v>
      </c>
      <c r="X10" s="93">
        <f t="shared" si="14"/>
        <v>0.85451878902573009</v>
      </c>
      <c r="Y10" s="93">
        <f t="shared" si="15"/>
        <v>0.85449159417515663</v>
      </c>
      <c r="Z10" s="93">
        <f t="shared" si="16"/>
        <v>0.85451878902573009</v>
      </c>
      <c r="AA10" s="93">
        <f t="shared" si="17"/>
        <v>0.85454598474180044</v>
      </c>
      <c r="AB10" s="93">
        <f t="shared" si="18"/>
        <v>0.73639820176577808</v>
      </c>
      <c r="AC10" s="93">
        <f t="shared" si="19"/>
        <v>0.73635259057364977</v>
      </c>
      <c r="AD10" s="93">
        <f t="shared" si="20"/>
        <v>0.85680126161307191</v>
      </c>
      <c r="AE10" s="93">
        <f t="shared" si="21"/>
        <v>0.51848353251222801</v>
      </c>
      <c r="AF10" s="93">
        <f t="shared" si="22"/>
        <v>0.51848353251222801</v>
      </c>
      <c r="AG10" s="93">
        <f t="shared" si="23"/>
        <v>0.73950640004762924</v>
      </c>
      <c r="AH10" s="93">
        <f t="shared" si="24"/>
        <v>0.7363069822065974</v>
      </c>
      <c r="AI10" s="93">
        <f t="shared" si="25"/>
        <v>0.94863278225114556</v>
      </c>
      <c r="AJ10" s="93">
        <f t="shared" si="26"/>
        <v>0.73658067478855072</v>
      </c>
      <c r="AK10" s="93">
        <f t="shared" si="27"/>
        <v>0.56697188730557668</v>
      </c>
      <c r="AL10" s="93">
        <f t="shared" si="28"/>
        <v>0.5185524772493747</v>
      </c>
      <c r="AM10" s="93">
        <f t="shared" si="29"/>
        <v>0.79130514312609124</v>
      </c>
      <c r="AN10" s="93">
        <f t="shared" si="30"/>
        <v>0.33063658445072186</v>
      </c>
      <c r="AO10" s="260">
        <f t="shared" si="39"/>
        <v>0.69926598393392303</v>
      </c>
      <c r="AP10" s="261">
        <f t="shared" si="40"/>
        <v>0.80585287741288025</v>
      </c>
      <c r="AQ10" s="262">
        <f t="shared" si="41"/>
        <v>0.98725951063356354</v>
      </c>
      <c r="AR10" s="263">
        <f t="shared" si="42"/>
        <v>0.49300316449506837</v>
      </c>
      <c r="AS10" s="260">
        <f t="shared" si="43"/>
        <v>0.2742705619724839</v>
      </c>
      <c r="AT10" s="260">
        <f t="shared" si="38"/>
        <v>0.7257294380275161</v>
      </c>
    </row>
    <row r="11" spans="2:46" ht="12" customHeight="1">
      <c r="B11" s="79">
        <v>10</v>
      </c>
      <c r="C11" s="97" t="s">
        <v>26</v>
      </c>
      <c r="D11" s="52" t="s">
        <v>219</v>
      </c>
      <c r="E11" s="282">
        <f>CM!N12</f>
        <v>3.2147924258638119E-5</v>
      </c>
      <c r="F11" s="216"/>
      <c r="G11" s="218">
        <f t="shared" si="36"/>
        <v>1.8203883495145632</v>
      </c>
      <c r="H11" s="215">
        <f t="shared" si="37"/>
        <v>375</v>
      </c>
      <c r="I11" s="92">
        <v>9000</v>
      </c>
      <c r="J11" s="93">
        <f t="shared" si="0"/>
        <v>0.94496482986823116</v>
      </c>
      <c r="K11" s="93">
        <f t="shared" si="1"/>
        <v>0.76683627462089743</v>
      </c>
      <c r="L11" s="93">
        <f t="shared" si="2"/>
        <v>0.78783693723290826</v>
      </c>
      <c r="M11" s="93">
        <f t="shared" si="3"/>
        <v>0.94259346659790944</v>
      </c>
      <c r="N11" s="93">
        <f t="shared" si="4"/>
        <v>0.73279014466275216</v>
      </c>
      <c r="O11" s="93">
        <f t="shared" si="5"/>
        <v>0.46081587795914952</v>
      </c>
      <c r="P11" s="93">
        <f t="shared" si="6"/>
        <v>0.9422100816120641</v>
      </c>
      <c r="Q11" s="93">
        <f t="shared" si="7"/>
        <v>0.83800964148862223</v>
      </c>
      <c r="R11" s="93">
        <f t="shared" si="8"/>
        <v>0.94441213913931099</v>
      </c>
      <c r="S11" s="93">
        <f t="shared" si="9"/>
        <v>0.74876408503699821</v>
      </c>
      <c r="T11" s="93">
        <f t="shared" si="10"/>
        <v>0.92165785974670156</v>
      </c>
      <c r="U11" s="93">
        <f t="shared" si="11"/>
        <v>0.83570244745046995</v>
      </c>
      <c r="V11" s="93">
        <f t="shared" si="12"/>
        <v>3.5298803831864428E-2</v>
      </c>
      <c r="W11" s="93">
        <f t="shared" si="13"/>
        <v>0.5747179572611687</v>
      </c>
      <c r="X11" s="93">
        <f t="shared" si="14"/>
        <v>0.83788963564280505</v>
      </c>
      <c r="Y11" s="93">
        <f t="shared" si="15"/>
        <v>0.83785963686664178</v>
      </c>
      <c r="Z11" s="93">
        <f t="shared" si="16"/>
        <v>0.83788963564280505</v>
      </c>
      <c r="AA11" s="93">
        <f t="shared" si="17"/>
        <v>0.83791963549304627</v>
      </c>
      <c r="AB11" s="93">
        <f t="shared" si="18"/>
        <v>0.70876425909067942</v>
      </c>
      <c r="AC11" s="93">
        <f t="shared" si="19"/>
        <v>0.70871487223752427</v>
      </c>
      <c r="AD11" s="93">
        <f t="shared" si="20"/>
        <v>0.84040786761805242</v>
      </c>
      <c r="AE11" s="93">
        <f t="shared" si="21"/>
        <v>0.47761376881731754</v>
      </c>
      <c r="AF11" s="93">
        <f t="shared" si="22"/>
        <v>0.47761376881731754</v>
      </c>
      <c r="AG11" s="93">
        <f t="shared" si="23"/>
        <v>0.71213065150697563</v>
      </c>
      <c r="AH11" s="93">
        <f t="shared" si="24"/>
        <v>0.70866548882565628</v>
      </c>
      <c r="AI11" s="93">
        <f t="shared" si="25"/>
        <v>0.94240025450777476</v>
      </c>
      <c r="AJ11" s="93">
        <f t="shared" si="26"/>
        <v>0.70896184092096659</v>
      </c>
      <c r="AK11" s="93">
        <f t="shared" si="27"/>
        <v>0.52814930918729142</v>
      </c>
      <c r="AL11" s="93">
        <f t="shared" si="28"/>
        <v>0.47768521830560223</v>
      </c>
      <c r="AM11" s="93">
        <f t="shared" si="29"/>
        <v>0.76848781714780168</v>
      </c>
      <c r="AN11" s="93">
        <f t="shared" si="30"/>
        <v>0.28791863134552687</v>
      </c>
      <c r="AO11" s="260">
        <f t="shared" si="39"/>
        <v>0.66257184893706811</v>
      </c>
      <c r="AP11" s="261">
        <f t="shared" si="40"/>
        <v>0.78332560615396341</v>
      </c>
      <c r="AQ11" s="262">
        <f t="shared" si="41"/>
        <v>0.98406692502645265</v>
      </c>
      <c r="AR11" s="263">
        <f t="shared" si="42"/>
        <v>0.43764387782533876</v>
      </c>
      <c r="AS11" s="260">
        <f t="shared" si="43"/>
        <v>0.22352226829251226</v>
      </c>
      <c r="AT11" s="260">
        <f t="shared" si="38"/>
        <v>0.77647773170748779</v>
      </c>
    </row>
    <row r="12" spans="2:46" ht="12" customHeight="1">
      <c r="B12" s="79">
        <v>11</v>
      </c>
      <c r="C12" s="98" t="s">
        <v>27</v>
      </c>
      <c r="D12" s="52" t="s">
        <v>223</v>
      </c>
      <c r="E12" s="282">
        <f>CM!N13</f>
        <v>9.0645787964442867E-6</v>
      </c>
      <c r="F12" s="216"/>
      <c r="G12" s="226">
        <f t="shared" si="36"/>
        <v>2.0226537216828482</v>
      </c>
      <c r="H12" s="227">
        <f t="shared" si="37"/>
        <v>416.66666666666669</v>
      </c>
      <c r="I12" s="228">
        <v>10000</v>
      </c>
      <c r="J12" s="93">
        <f t="shared" si="0"/>
        <v>0.93903990891654654</v>
      </c>
      <c r="K12" s="93">
        <f t="shared" si="1"/>
        <v>0.74454650932404298</v>
      </c>
      <c r="L12" s="93">
        <f t="shared" si="2"/>
        <v>0.76723651693651518</v>
      </c>
      <c r="M12" s="93">
        <f t="shared" si="3"/>
        <v>0.93642194661832434</v>
      </c>
      <c r="N12" s="93">
        <f t="shared" si="4"/>
        <v>0.70790887223857635</v>
      </c>
      <c r="O12" s="93">
        <f t="shared" si="5"/>
        <v>0.42280644054735067</v>
      </c>
      <c r="P12" s="93">
        <f t="shared" si="6"/>
        <v>0.93599876194023779</v>
      </c>
      <c r="Q12" s="93">
        <f t="shared" si="7"/>
        <v>0.82171483586407346</v>
      </c>
      <c r="R12" s="93">
        <f t="shared" si="8"/>
        <v>0.93842967834566526</v>
      </c>
      <c r="S12" s="93">
        <f t="shared" si="9"/>
        <v>0.72507568056704219</v>
      </c>
      <c r="T12" s="93">
        <f t="shared" si="10"/>
        <v>0.91334117004432236</v>
      </c>
      <c r="U12" s="93">
        <f t="shared" si="11"/>
        <v>0.81920151904528205</v>
      </c>
      <c r="V12" s="93">
        <f t="shared" si="12"/>
        <v>2.4344451134984204E-2</v>
      </c>
      <c r="W12" s="93">
        <f t="shared" si="13"/>
        <v>0.5404151542123975</v>
      </c>
      <c r="X12" s="93">
        <f t="shared" si="14"/>
        <v>0.82158408982215281</v>
      </c>
      <c r="Y12" s="93">
        <f t="shared" si="15"/>
        <v>0.8215514065623456</v>
      </c>
      <c r="Z12" s="93">
        <f t="shared" si="16"/>
        <v>0.82158408982215281</v>
      </c>
      <c r="AA12" s="93">
        <f t="shared" si="17"/>
        <v>0.82161677438217751</v>
      </c>
      <c r="AB12" s="93">
        <f t="shared" si="18"/>
        <v>0.68216730263572578</v>
      </c>
      <c r="AC12" s="93">
        <f t="shared" si="19"/>
        <v>0.68211448776102712</v>
      </c>
      <c r="AD12" s="93">
        <f t="shared" si="20"/>
        <v>0.82432813255272452</v>
      </c>
      <c r="AE12" s="93">
        <f t="shared" si="21"/>
        <v>0.43996558783378947</v>
      </c>
      <c r="AF12" s="93">
        <f t="shared" si="22"/>
        <v>0.43996558783378947</v>
      </c>
      <c r="AG12" s="93">
        <f t="shared" si="23"/>
        <v>0.6857683243621514</v>
      </c>
      <c r="AH12" s="93">
        <f t="shared" si="24"/>
        <v>0.68206167697537079</v>
      </c>
      <c r="AI12" s="93">
        <f t="shared" si="25"/>
        <v>0.93620867453976941</v>
      </c>
      <c r="AJ12" s="93">
        <f t="shared" si="26"/>
        <v>0.68237860303127618</v>
      </c>
      <c r="AK12" s="93">
        <f t="shared" si="27"/>
        <v>0.49198505082964367</v>
      </c>
      <c r="AL12" s="93">
        <f t="shared" si="28"/>
        <v>0.44003871893169327</v>
      </c>
      <c r="AM12" s="93">
        <f t="shared" si="29"/>
        <v>0.74632842998025062</v>
      </c>
      <c r="AN12" s="93">
        <f t="shared" si="30"/>
        <v>0.25071979984790949</v>
      </c>
      <c r="AO12" s="260">
        <f t="shared" si="39"/>
        <v>0.62696785367627461</v>
      </c>
      <c r="AP12" s="261">
        <f t="shared" si="40"/>
        <v>0.76116907590341243</v>
      </c>
      <c r="AQ12" s="262">
        <f t="shared" si="41"/>
        <v>0.98062893165684251</v>
      </c>
      <c r="AR12" s="263">
        <f t="shared" si="42"/>
        <v>0.3868400614052705</v>
      </c>
      <c r="AS12" s="260">
        <f t="shared" si="43"/>
        <v>0.18103500382403578</v>
      </c>
      <c r="AT12" s="260">
        <f t="shared" si="38"/>
        <v>0.81896499617596419</v>
      </c>
    </row>
    <row r="13" spans="2:46" ht="12" customHeight="1">
      <c r="B13" s="79">
        <v>12</v>
      </c>
      <c r="C13" s="96" t="s">
        <v>88</v>
      </c>
      <c r="D13" s="52" t="s">
        <v>439</v>
      </c>
      <c r="E13" s="282">
        <f>CM!N14</f>
        <v>1.9942517039529012E-5</v>
      </c>
      <c r="F13" s="216"/>
      <c r="G13" s="218">
        <f t="shared" si="36"/>
        <v>2.2249190938511325</v>
      </c>
      <c r="H13" s="215">
        <f t="shared" si="37"/>
        <v>458.33333333333331</v>
      </c>
      <c r="I13" s="92">
        <v>11000</v>
      </c>
      <c r="J13" s="93">
        <f t="shared" si="0"/>
        <v>0.93315213716573608</v>
      </c>
      <c r="K13" s="93">
        <f t="shared" si="1"/>
        <v>0.72290464456793224</v>
      </c>
      <c r="L13" s="93">
        <f t="shared" si="2"/>
        <v>0.74717475800052813</v>
      </c>
      <c r="M13" s="93">
        <f t="shared" si="3"/>
        <v>0.93029083394072898</v>
      </c>
      <c r="N13" s="93">
        <f t="shared" si="4"/>
        <v>0.68387242247195812</v>
      </c>
      <c r="O13" s="93">
        <f t="shared" si="5"/>
        <v>0.38793213237363233</v>
      </c>
      <c r="P13" s="93">
        <f t="shared" si="6"/>
        <v>0.92982838907297094</v>
      </c>
      <c r="Q13" s="93">
        <f t="shared" si="7"/>
        <v>0.80573687705989072</v>
      </c>
      <c r="R13" s="93">
        <f t="shared" si="8"/>
        <v>0.93248511396997558</v>
      </c>
      <c r="S13" s="93">
        <f t="shared" si="9"/>
        <v>0.70213669840184922</v>
      </c>
      <c r="T13" s="93">
        <f t="shared" si="10"/>
        <v>0.90509952698411533</v>
      </c>
      <c r="U13" s="93">
        <f t="shared" si="11"/>
        <v>0.80302640114724744</v>
      </c>
      <c r="V13" s="93">
        <f t="shared" si="12"/>
        <v>1.6789585955562687E-2</v>
      </c>
      <c r="W13" s="93">
        <f t="shared" si="13"/>
        <v>0.50815975943082281</v>
      </c>
      <c r="X13" s="93">
        <f t="shared" si="14"/>
        <v>0.80559585407814971</v>
      </c>
      <c r="Y13" s="93">
        <f t="shared" si="15"/>
        <v>0.80556060218950076</v>
      </c>
      <c r="Z13" s="93">
        <f t="shared" si="16"/>
        <v>0.80559585407814971</v>
      </c>
      <c r="AA13" s="93">
        <f t="shared" si="17"/>
        <v>0.80563110750944567</v>
      </c>
      <c r="AB13" s="93">
        <f t="shared" si="18"/>
        <v>0.65656841864787741</v>
      </c>
      <c r="AC13" s="93">
        <f t="shared" si="19"/>
        <v>0.65651250261550986</v>
      </c>
      <c r="AD13" s="93">
        <f t="shared" si="20"/>
        <v>0.80855605510191175</v>
      </c>
      <c r="AE13" s="93">
        <f t="shared" si="21"/>
        <v>0.40528504644507096</v>
      </c>
      <c r="AF13" s="93">
        <f t="shared" si="22"/>
        <v>0.40528504644507096</v>
      </c>
      <c r="AG13" s="93">
        <f t="shared" si="23"/>
        <v>0.66038190281978937</v>
      </c>
      <c r="AH13" s="93">
        <f t="shared" si="24"/>
        <v>0.65645659134517864</v>
      </c>
      <c r="AI13" s="93">
        <f t="shared" si="25"/>
        <v>0.93005777331979789</v>
      </c>
      <c r="AJ13" s="93">
        <f t="shared" si="26"/>
        <v>0.65679213040582318</v>
      </c>
      <c r="AK13" s="93">
        <f t="shared" si="27"/>
        <v>0.45829708764044219</v>
      </c>
      <c r="AL13" s="93">
        <f t="shared" si="28"/>
        <v>0.40535915020750563</v>
      </c>
      <c r="AM13" s="93">
        <f t="shared" si="29"/>
        <v>0.72480800992276229</v>
      </c>
      <c r="AN13" s="93">
        <f t="shared" si="30"/>
        <v>0.21832702434715989</v>
      </c>
      <c r="AO13" s="260">
        <f t="shared" si="39"/>
        <v>0.59257149774311801</v>
      </c>
      <c r="AP13" s="261">
        <f t="shared" si="40"/>
        <v>0.73939226528595459</v>
      </c>
      <c r="AQ13" s="262">
        <f t="shared" si="41"/>
        <v>0.97696504494006808</v>
      </c>
      <c r="AR13" s="263">
        <f t="shared" si="42"/>
        <v>0.3406942693113596</v>
      </c>
      <c r="AS13" s="260">
        <f t="shared" si="43"/>
        <v>0.14583424424591501</v>
      </c>
      <c r="AT13" s="260">
        <f t="shared" si="38"/>
        <v>0.85416575575408493</v>
      </c>
    </row>
    <row r="14" spans="2:46" ht="12" customHeight="1">
      <c r="B14" s="79">
        <v>13</v>
      </c>
      <c r="C14" s="97" t="s">
        <v>46</v>
      </c>
      <c r="D14" s="52" t="s">
        <v>440</v>
      </c>
      <c r="E14" s="282">
        <f>CM!N15</f>
        <v>3.715451334888777E-4</v>
      </c>
      <c r="F14" s="216"/>
      <c r="G14" s="218">
        <f t="shared" si="36"/>
        <v>2.4271844660194173</v>
      </c>
      <c r="H14" s="215">
        <f t="shared" si="37"/>
        <v>500</v>
      </c>
      <c r="I14" s="92">
        <v>12000</v>
      </c>
      <c r="J14" s="93">
        <f t="shared" si="0"/>
        <v>0.92730128169064552</v>
      </c>
      <c r="K14" s="93">
        <f t="shared" si="1"/>
        <v>0.70189184771323043</v>
      </c>
      <c r="L14" s="93">
        <f t="shared" si="2"/>
        <v>0.72763757546662988</v>
      </c>
      <c r="M14" s="93">
        <f t="shared" si="3"/>
        <v>0.92419986400306098</v>
      </c>
      <c r="N14" s="93">
        <f t="shared" si="4"/>
        <v>0.66065211012081859</v>
      </c>
      <c r="O14" s="93">
        <f t="shared" si="5"/>
        <v>0.35593435883600177</v>
      </c>
      <c r="P14" s="93">
        <f t="shared" si="6"/>
        <v>0.92369869307715857</v>
      </c>
      <c r="Q14" s="93">
        <f t="shared" si="7"/>
        <v>0.79006960410000071</v>
      </c>
      <c r="R14" s="93">
        <f t="shared" si="8"/>
        <v>0.92657820595408791</v>
      </c>
      <c r="S14" s="93">
        <f t="shared" si="9"/>
        <v>0.67992342931306715</v>
      </c>
      <c r="T14" s="93">
        <f t="shared" si="10"/>
        <v>0.89693225337374782</v>
      </c>
      <c r="U14" s="93">
        <f t="shared" si="11"/>
        <v>0.78717066063430396</v>
      </c>
      <c r="V14" s="93">
        <f t="shared" si="12"/>
        <v>1.1579238118625631E-2</v>
      </c>
      <c r="W14" s="93">
        <f t="shared" si="13"/>
        <v>0.47782957064024506</v>
      </c>
      <c r="X14" s="93">
        <f t="shared" si="14"/>
        <v>0.78991875347584728</v>
      </c>
      <c r="Y14" s="93">
        <f t="shared" si="15"/>
        <v>0.78988104532040071</v>
      </c>
      <c r="Z14" s="93">
        <f t="shared" si="16"/>
        <v>0.78991875347584728</v>
      </c>
      <c r="AA14" s="93">
        <f t="shared" si="17"/>
        <v>0.78995646343144454</v>
      </c>
      <c r="AB14" s="93">
        <f t="shared" si="18"/>
        <v>0.63193015364439165</v>
      </c>
      <c r="AC14" s="93">
        <f t="shared" si="19"/>
        <v>0.63187144361238079</v>
      </c>
      <c r="AD14" s="93">
        <f t="shared" si="20"/>
        <v>0.79308574877511007</v>
      </c>
      <c r="AE14" s="93">
        <f t="shared" si="21"/>
        <v>0.37333821874731726</v>
      </c>
      <c r="AF14" s="93">
        <f t="shared" si="22"/>
        <v>0.37333821874731726</v>
      </c>
      <c r="AG14" s="93">
        <f t="shared" si="23"/>
        <v>0.63593525988170452</v>
      </c>
      <c r="AH14" s="93">
        <f t="shared" si="24"/>
        <v>0.63181273903487756</v>
      </c>
      <c r="AI14" s="93">
        <f t="shared" si="25"/>
        <v>0.92394728358804123</v>
      </c>
      <c r="AJ14" s="93">
        <f t="shared" si="26"/>
        <v>0.6321650483276483</v>
      </c>
      <c r="AK14" s="93">
        <f t="shared" si="27"/>
        <v>0.42691585889758865</v>
      </c>
      <c r="AL14" s="93">
        <f t="shared" si="28"/>
        <v>0.37341268753774759</v>
      </c>
      <c r="AM14" s="93">
        <f t="shared" si="29"/>
        <v>0.70390813232466154</v>
      </c>
      <c r="AN14" s="93">
        <f t="shared" si="30"/>
        <v>0.1901193666762685</v>
      </c>
      <c r="AO14" s="260">
        <f t="shared" si="39"/>
        <v>0.55946609033288508</v>
      </c>
      <c r="AP14" s="261">
        <f t="shared" si="40"/>
        <v>0.71800527086857868</v>
      </c>
      <c r="AQ14" s="262">
        <f t="shared" si="41"/>
        <v>0.97309213464778566</v>
      </c>
      <c r="AR14" s="263">
        <f t="shared" si="42"/>
        <v>0.29913369347401481</v>
      </c>
      <c r="AS14" s="260">
        <f t="shared" si="43"/>
        <v>0.11692858569652122</v>
      </c>
      <c r="AT14" s="260">
        <f t="shared" si="38"/>
        <v>0.8830714143034788</v>
      </c>
    </row>
    <row r="15" spans="2:46" ht="12" customHeight="1">
      <c r="B15" s="79">
        <v>14</v>
      </c>
      <c r="C15" s="96" t="s">
        <v>47</v>
      </c>
      <c r="D15" s="52" t="s">
        <v>441</v>
      </c>
      <c r="E15" s="282">
        <f>CM!N16</f>
        <v>6.1541763070527188E-5</v>
      </c>
      <c r="F15" s="216"/>
      <c r="G15" s="218">
        <f t="shared" si="36"/>
        <v>2.6294498381877021</v>
      </c>
      <c r="H15" s="215">
        <f t="shared" si="37"/>
        <v>541.66666666666663</v>
      </c>
      <c r="I15" s="92">
        <v>13000</v>
      </c>
      <c r="J15" s="93">
        <f t="shared" si="0"/>
        <v>0.92148711102655956</v>
      </c>
      <c r="K15" s="93">
        <f t="shared" si="1"/>
        <v>0.68148983353225301</v>
      </c>
      <c r="L15" s="93">
        <f t="shared" si="2"/>
        <v>0.70861125267106684</v>
      </c>
      <c r="M15" s="93">
        <f t="shared" si="3"/>
        <v>0.91814877397544703</v>
      </c>
      <c r="N15" s="93">
        <f t="shared" si="4"/>
        <v>0.63822022392632316</v>
      </c>
      <c r="O15" s="93">
        <f t="shared" si="5"/>
        <v>0.32657585496933361</v>
      </c>
      <c r="P15" s="93">
        <f t="shared" si="6"/>
        <v>0.91760940579917272</v>
      </c>
      <c r="Q15" s="93">
        <f t="shared" si="7"/>
        <v>0.77470697580636361</v>
      </c>
      <c r="R15" s="93">
        <f t="shared" si="8"/>
        <v>0.92070871576051772</v>
      </c>
      <c r="S15" s="93">
        <f t="shared" si="9"/>
        <v>0.65841291415344694</v>
      </c>
      <c r="T15" s="93">
        <f t="shared" si="10"/>
        <v>0.88883867813161255</v>
      </c>
      <c r="U15" s="93">
        <f t="shared" si="11"/>
        <v>0.77162799140625793</v>
      </c>
      <c r="V15" s="93">
        <f t="shared" si="12"/>
        <v>7.9858285822355293E-3</v>
      </c>
      <c r="W15" s="93">
        <f t="shared" si="13"/>
        <v>0.44930967936929467</v>
      </c>
      <c r="X15" s="93">
        <f t="shared" si="14"/>
        <v>0.77454673324610457</v>
      </c>
      <c r="Y15" s="93">
        <f t="shared" si="15"/>
        <v>0.77450667778521698</v>
      </c>
      <c r="Z15" s="93">
        <f t="shared" si="16"/>
        <v>0.77454673324610457</v>
      </c>
      <c r="AA15" s="93">
        <f t="shared" si="17"/>
        <v>0.77458679077855586</v>
      </c>
      <c r="AB15" s="93">
        <f t="shared" si="18"/>
        <v>0.60821645961498971</v>
      </c>
      <c r="AC15" s="93">
        <f t="shared" si="19"/>
        <v>0.60815524405423815</v>
      </c>
      <c r="AD15" s="93">
        <f t="shared" si="20"/>
        <v>0.77791143970951859</v>
      </c>
      <c r="AE15" s="93">
        <f t="shared" si="21"/>
        <v>0.34390961818106536</v>
      </c>
      <c r="AF15" s="93">
        <f t="shared" si="22"/>
        <v>0.34390961818106536</v>
      </c>
      <c r="AG15" s="93">
        <f t="shared" si="23"/>
        <v>0.61239360593315784</v>
      </c>
      <c r="AH15" s="93">
        <f t="shared" si="24"/>
        <v>0.60809403465468925</v>
      </c>
      <c r="AI15" s="93">
        <f t="shared" si="25"/>
        <v>0.9178769398405805</v>
      </c>
      <c r="AJ15" s="93">
        <f t="shared" si="26"/>
        <v>0.60846138348242718</v>
      </c>
      <c r="AK15" s="93">
        <f t="shared" si="27"/>
        <v>0.39768341430364051</v>
      </c>
      <c r="AL15" s="93">
        <f t="shared" si="28"/>
        <v>0.34398393410580452</v>
      </c>
      <c r="AM15" s="93">
        <f t="shared" si="29"/>
        <v>0.68361090381105705</v>
      </c>
      <c r="AN15" s="93">
        <f t="shared" si="30"/>
        <v>0.16555611332800924</v>
      </c>
      <c r="AO15" s="260">
        <f t="shared" si="39"/>
        <v>0.52770661096390159</v>
      </c>
      <c r="AP15" s="261">
        <f t="shared" si="40"/>
        <v>0.69701846544413393</v>
      </c>
      <c r="AQ15" s="262">
        <f t="shared" si="41"/>
        <v>0.969025384167988</v>
      </c>
      <c r="AR15" s="263">
        <f t="shared" si="42"/>
        <v>0.26196412932997715</v>
      </c>
      <c r="AS15" s="260">
        <f t="shared" si="43"/>
        <v>9.3371384795951112E-2</v>
      </c>
      <c r="AT15" s="260">
        <f t="shared" si="38"/>
        <v>0.90662861520404892</v>
      </c>
    </row>
    <row r="16" spans="2:46" ht="12" customHeight="1">
      <c r="B16" s="79">
        <v>15</v>
      </c>
      <c r="C16" s="96" t="s">
        <v>33</v>
      </c>
      <c r="D16" s="53" t="s">
        <v>224</v>
      </c>
      <c r="E16" s="282">
        <f>CM!N17</f>
        <v>1.9652098542608759E-5</v>
      </c>
      <c r="F16" s="216"/>
      <c r="G16" s="218">
        <f t="shared" si="36"/>
        <v>2.8317152103559873</v>
      </c>
      <c r="H16" s="215">
        <f t="shared" si="37"/>
        <v>583.33333333333337</v>
      </c>
      <c r="I16" s="92">
        <v>14000</v>
      </c>
      <c r="J16" s="93">
        <f t="shared" si="0"/>
        <v>0.91570939516004435</v>
      </c>
      <c r="K16" s="93">
        <f t="shared" si="1"/>
        <v>0.66168084829725471</v>
      </c>
      <c r="L16" s="93">
        <f t="shared" si="2"/>
        <v>0.69008243161445515</v>
      </c>
      <c r="M16" s="93">
        <f t="shared" si="3"/>
        <v>0.91213730274886129</v>
      </c>
      <c r="N16" s="93">
        <f t="shared" si="4"/>
        <v>0.61654999354210094</v>
      </c>
      <c r="O16" s="93">
        <f t="shared" si="5"/>
        <v>0.29963892611472076</v>
      </c>
      <c r="P16" s="93">
        <f t="shared" si="6"/>
        <v>0.91156026085313102</v>
      </c>
      <c r="Q16" s="93">
        <f t="shared" si="7"/>
        <v>0.75964306846954321</v>
      </c>
      <c r="R16" s="93">
        <f t="shared" si="8"/>
        <v>0.91487640636281664</v>
      </c>
      <c r="S16" s="93">
        <f t="shared" si="9"/>
        <v>0.6375829201267722</v>
      </c>
      <c r="T16" s="93">
        <f t="shared" si="10"/>
        <v>0.8808181362316877</v>
      </c>
      <c r="U16" s="93">
        <f t="shared" si="11"/>
        <v>0.75639221187674044</v>
      </c>
      <c r="V16" s="93">
        <f t="shared" si="12"/>
        <v>5.5075694524554224E-3</v>
      </c>
      <c r="W16" s="93">
        <f t="shared" si="13"/>
        <v>0.42249203561102333</v>
      </c>
      <c r="X16" s="93">
        <f t="shared" si="14"/>
        <v>0.75947385644713095</v>
      </c>
      <c r="Y16" s="93">
        <f t="shared" si="15"/>
        <v>0.75943155933128059</v>
      </c>
      <c r="Z16" s="93">
        <f t="shared" si="16"/>
        <v>0.75947385644713095</v>
      </c>
      <c r="AA16" s="93">
        <f t="shared" si="17"/>
        <v>0.7595161559187511</v>
      </c>
      <c r="AB16" s="93">
        <f t="shared" si="18"/>
        <v>0.5853926412803574</v>
      </c>
      <c r="AC16" s="93">
        <f t="shared" si="19"/>
        <v>0.58532919094466129</v>
      </c>
      <c r="AD16" s="93">
        <f t="shared" si="20"/>
        <v>0.76302746451510528</v>
      </c>
      <c r="AE16" s="93">
        <f t="shared" si="21"/>
        <v>0.31680074403927094</v>
      </c>
      <c r="AF16" s="93">
        <f t="shared" si="22"/>
        <v>0.31680074403927094</v>
      </c>
      <c r="AG16" s="93">
        <f t="shared" si="23"/>
        <v>0.58972343923432935</v>
      </c>
      <c r="AH16" s="93">
        <f t="shared" si="24"/>
        <v>0.58526574748630666</v>
      </c>
      <c r="AI16" s="93">
        <f t="shared" si="25"/>
        <v>0.91184647831786014</v>
      </c>
      <c r="AJ16" s="93">
        <f t="shared" si="26"/>
        <v>0.58564651141146806</v>
      </c>
      <c r="AK16" s="93">
        <f t="shared" si="27"/>
        <v>0.37045261897881271</v>
      </c>
      <c r="AL16" s="93">
        <f t="shared" si="28"/>
        <v>0.3168744685755896</v>
      </c>
      <c r="AM16" s="93">
        <f t="shared" si="29"/>
        <v>0.66389894696347662</v>
      </c>
      <c r="AN16" s="93">
        <f t="shared" si="30"/>
        <v>0.14416641050013512</v>
      </c>
      <c r="AO16" s="260">
        <f t="shared" si="39"/>
        <v>0.49732470177551891</v>
      </c>
      <c r="AP16" s="261">
        <f t="shared" si="40"/>
        <v>0.67644188071770506</v>
      </c>
      <c r="AQ16" s="262">
        <f t="shared" si="41"/>
        <v>0.96477887254600836</v>
      </c>
      <c r="AR16" s="263">
        <f t="shared" si="42"/>
        <v>0.22891371350093459</v>
      </c>
      <c r="AS16" s="260">
        <f t="shared" si="43"/>
        <v>7.4296800923337625E-2</v>
      </c>
      <c r="AT16" s="260">
        <f t="shared" si="38"/>
        <v>0.92570319907666243</v>
      </c>
    </row>
    <row r="17" spans="2:46" ht="12" customHeight="1">
      <c r="B17" s="79">
        <v>16</v>
      </c>
      <c r="C17" s="96" t="s">
        <v>34</v>
      </c>
      <c r="D17" s="53" t="s">
        <v>225</v>
      </c>
      <c r="E17" s="282">
        <f>CM!N18</f>
        <v>1.9656076700208477E-5</v>
      </c>
      <c r="F17" s="216"/>
      <c r="G17" s="226">
        <f t="shared" si="36"/>
        <v>3.0339805825242721</v>
      </c>
      <c r="H17" s="227">
        <f t="shared" si="37"/>
        <v>625</v>
      </c>
      <c r="I17" s="228">
        <v>15000</v>
      </c>
      <c r="J17" s="93">
        <f t="shared" si="0"/>
        <v>0.90996790551984819</v>
      </c>
      <c r="K17" s="93">
        <f t="shared" si="1"/>
        <v>0.64244765433122752</v>
      </c>
      <c r="L17" s="93">
        <f t="shared" si="2"/>
        <v>0.67203810358339711</v>
      </c>
      <c r="M17" s="93">
        <f t="shared" si="3"/>
        <v>0.90616519092385872</v>
      </c>
      <c r="N17" s="93">
        <f t="shared" si="4"/>
        <v>0.59561555758635409</v>
      </c>
      <c r="O17" s="93">
        <f t="shared" si="5"/>
        <v>0.27492383370354795</v>
      </c>
      <c r="P17" s="93">
        <f t="shared" si="6"/>
        <v>0.90555099360924329</v>
      </c>
      <c r="Q17" s="93">
        <f t="shared" si="7"/>
        <v>0.74487207356456975</v>
      </c>
      <c r="R17" s="93">
        <f t="shared" si="8"/>
        <v>0.90908104223600117</v>
      </c>
      <c r="S17" s="93">
        <f t="shared" si="9"/>
        <v>0.61741191780852878</v>
      </c>
      <c r="T17" s="93">
        <f t="shared" si="10"/>
        <v>0.87286996864889266</v>
      </c>
      <c r="U17" s="93">
        <f t="shared" si="11"/>
        <v>0.74145726251468347</v>
      </c>
      <c r="V17" s="93">
        <f t="shared" si="12"/>
        <v>3.7983937372631032E-3</v>
      </c>
      <c r="W17" s="93">
        <f t="shared" si="13"/>
        <v>0.39727503846636397</v>
      </c>
      <c r="X17" s="93">
        <f t="shared" si="14"/>
        <v>0.74469430167153583</v>
      </c>
      <c r="Y17" s="93">
        <f t="shared" si="15"/>
        <v>0.74464986532792499</v>
      </c>
      <c r="Z17" s="93">
        <f t="shared" si="16"/>
        <v>0.74469430167153583</v>
      </c>
      <c r="AA17" s="93">
        <f t="shared" si="17"/>
        <v>0.74473874066684753</v>
      </c>
      <c r="AB17" s="93">
        <f t="shared" si="18"/>
        <v>0.5634253053298125</v>
      </c>
      <c r="AC17" s="93">
        <f t="shared" si="19"/>
        <v>0.56335987417938993</v>
      </c>
      <c r="AD17" s="93">
        <f t="shared" si="20"/>
        <v>0.74842826816090369</v>
      </c>
      <c r="AE17" s="93">
        <f t="shared" si="21"/>
        <v>0.29182874254768748</v>
      </c>
      <c r="AF17" s="93">
        <f t="shared" si="22"/>
        <v>0.29182874254768748</v>
      </c>
      <c r="AG17" s="93">
        <f t="shared" si="23"/>
        <v>0.56789249824454391</v>
      </c>
      <c r="AH17" s="93">
        <f t="shared" si="24"/>
        <v>0.5632944506275529</v>
      </c>
      <c r="AI17" s="93">
        <f t="shared" si="25"/>
        <v>0.90585563699322791</v>
      </c>
      <c r="AJ17" s="93">
        <f t="shared" si="26"/>
        <v>0.56368710593501181</v>
      </c>
      <c r="AK17" s="93">
        <f t="shared" si="27"/>
        <v>0.34508641289093139</v>
      </c>
      <c r="AL17" s="93">
        <f t="shared" si="28"/>
        <v>0.29190150724939912</v>
      </c>
      <c r="AM17" s="93">
        <f t="shared" si="29"/>
        <v>0.64475538544223554</v>
      </c>
      <c r="AN17" s="93">
        <f t="shared" si="30"/>
        <v>0.12554023828353053</v>
      </c>
      <c r="AO17" s="260">
        <f t="shared" si="39"/>
        <v>0.46833291206193539</v>
      </c>
      <c r="AP17" s="261">
        <f t="shared" si="40"/>
        <v>0.65628476783214407</v>
      </c>
      <c r="AQ17" s="262">
        <f t="shared" si="41"/>
        <v>0.96036589969824104</v>
      </c>
      <c r="AR17" s="263">
        <f t="shared" si="42"/>
        <v>0.19966661923878953</v>
      </c>
      <c r="AS17" s="260">
        <f t="shared" si="43"/>
        <v>5.8937159199546882E-2</v>
      </c>
      <c r="AT17" s="260">
        <f t="shared" si="38"/>
        <v>0.9410628408004531</v>
      </c>
    </row>
    <row r="18" spans="2:46" ht="12" customHeight="1">
      <c r="B18" s="79">
        <v>17</v>
      </c>
      <c r="C18" s="96" t="s">
        <v>53</v>
      </c>
      <c r="D18" s="53" t="s">
        <v>226</v>
      </c>
      <c r="E18" s="282">
        <f>CM!N19</f>
        <v>1.9652098542608759E-5</v>
      </c>
      <c r="F18" s="216"/>
      <c r="G18" s="218">
        <f t="shared" si="36"/>
        <v>3.2362459546925564</v>
      </c>
      <c r="H18" s="215">
        <f t="shared" si="37"/>
        <v>666.66666666666663</v>
      </c>
      <c r="I18" s="92">
        <v>16000</v>
      </c>
      <c r="J18" s="93">
        <f t="shared" si="0"/>
        <v>0.9042624149678592</v>
      </c>
      <c r="K18" s="93">
        <f t="shared" si="1"/>
        <v>0.62377351500776224</v>
      </c>
      <c r="L18" s="93">
        <f t="shared" si="2"/>
        <v>0.65446560001732457</v>
      </c>
      <c r="M18" s="93">
        <f t="shared" si="3"/>
        <v>0.90023218079938183</v>
      </c>
      <c r="N18" s="93">
        <f t="shared" si="4"/>
        <v>0.57539193277873091</v>
      </c>
      <c r="O18" s="93">
        <f t="shared" si="5"/>
        <v>0.25224731418680263</v>
      </c>
      <c r="P18" s="93">
        <f t="shared" si="6"/>
        <v>0.89958134118223532</v>
      </c>
      <c r="Q18" s="93">
        <f t="shared" si="7"/>
        <v>0.73038829551121898</v>
      </c>
      <c r="R18" s="93">
        <f t="shared" si="8"/>
        <v>0.90332238934704123</v>
      </c>
      <c r="S18" s="93">
        <f t="shared" si="9"/>
        <v>0.59787905889356496</v>
      </c>
      <c r="T18" s="93">
        <f t="shared" si="10"/>
        <v>0.86499352230493876</v>
      </c>
      <c r="U18" s="93">
        <f t="shared" si="11"/>
        <v>0.72681720343434131</v>
      </c>
      <c r="V18" s="93">
        <f t="shared" si="12"/>
        <v>2.6196301486215989E-3</v>
      </c>
      <c r="W18" s="93">
        <f t="shared" si="13"/>
        <v>0.37356315122057904</v>
      </c>
      <c r="X18" s="93">
        <f t="shared" si="14"/>
        <v>0.73020236079800016</v>
      </c>
      <c r="Y18" s="93">
        <f t="shared" si="15"/>
        <v>0.73015588451600066</v>
      </c>
      <c r="Z18" s="93">
        <f t="shared" si="16"/>
        <v>0.73020236079800016</v>
      </c>
      <c r="AA18" s="93">
        <f t="shared" si="17"/>
        <v>0.73024884003833346</v>
      </c>
      <c r="AB18" s="93">
        <f t="shared" si="18"/>
        <v>0.54228231156387152</v>
      </c>
      <c r="AC18" s="93">
        <f t="shared" si="19"/>
        <v>0.542215137644525</v>
      </c>
      <c r="AD18" s="93">
        <f t="shared" si="20"/>
        <v>0.73410840190175175</v>
      </c>
      <c r="AE18" s="93">
        <f t="shared" si="21"/>
        <v>0.26882517348635859</v>
      </c>
      <c r="AF18" s="93">
        <f t="shared" si="22"/>
        <v>0.26882517348635859</v>
      </c>
      <c r="AG18" s="93">
        <f t="shared" si="23"/>
        <v>0.5468697157114043</v>
      </c>
      <c r="AH18" s="93">
        <f t="shared" si="24"/>
        <v>0.54214797204618648</v>
      </c>
      <c r="AI18" s="93">
        <f t="shared" si="25"/>
        <v>0.89990415556154946</v>
      </c>
      <c r="AJ18" s="93">
        <f t="shared" si="26"/>
        <v>0.54255109047195671</v>
      </c>
      <c r="AK18" s="93">
        <f t="shared" si="27"/>
        <v>0.32145712099484752</v>
      </c>
      <c r="AL18" s="93">
        <f t="shared" si="28"/>
        <v>0.2688966716614633</v>
      </c>
      <c r="AM18" s="93">
        <f t="shared" si="29"/>
        <v>0.6261638295378037</v>
      </c>
      <c r="AN18" s="93">
        <f t="shared" si="30"/>
        <v>0.10932055097723933</v>
      </c>
      <c r="AO18" s="260">
        <f t="shared" si="39"/>
        <v>0.44072829950635606</v>
      </c>
      <c r="AP18" s="261">
        <f t="shared" si="40"/>
        <v>0.63655529779790743</v>
      </c>
      <c r="AQ18" s="262">
        <f t="shared" si="41"/>
        <v>0.95579915091837575</v>
      </c>
      <c r="AR18" s="263">
        <f t="shared" si="42"/>
        <v>0.17388792795407798</v>
      </c>
      <c r="AS18" s="260">
        <f t="shared" si="43"/>
        <v>4.6627609170682489E-2</v>
      </c>
      <c r="AT18" s="260">
        <f t="shared" si="38"/>
        <v>0.95337239082931746</v>
      </c>
    </row>
    <row r="19" spans="2:46" ht="12" customHeight="1">
      <c r="B19" s="79">
        <v>18</v>
      </c>
      <c r="C19" s="96" t="s">
        <v>35</v>
      </c>
      <c r="D19" s="53" t="s">
        <v>227</v>
      </c>
      <c r="E19" s="282">
        <f>CM!N20</f>
        <v>1.9648120385009042E-5</v>
      </c>
      <c r="F19" s="216"/>
      <c r="G19" s="218">
        <f t="shared" si="36"/>
        <v>3.4385113268608416</v>
      </c>
      <c r="H19" s="215">
        <f t="shared" si="37"/>
        <v>708.33333333333337</v>
      </c>
      <c r="I19" s="92">
        <v>17000</v>
      </c>
      <c r="J19" s="93">
        <f t="shared" si="0"/>
        <v>0.8985926977901193</v>
      </c>
      <c r="K19" s="93">
        <f t="shared" si="1"/>
        <v>0.60564218018692229</v>
      </c>
      <c r="L19" s="93">
        <f t="shared" si="2"/>
        <v>0.63735258361415703</v>
      </c>
      <c r="M19" s="93">
        <f t="shared" si="3"/>
        <v>0.89433801636164034</v>
      </c>
      <c r="N19" s="93">
        <f t="shared" si="4"/>
        <v>0.55585498412513046</v>
      </c>
      <c r="O19" s="93">
        <f t="shared" si="5"/>
        <v>0.23144122012741436</v>
      </c>
      <c r="P19" s="93">
        <f t="shared" si="6"/>
        <v>0.89365104241984783</v>
      </c>
      <c r="Q19" s="93">
        <f t="shared" si="7"/>
        <v>0.71618614947784021</v>
      </c>
      <c r="R19" s="93">
        <f t="shared" si="8"/>
        <v>0.89760021514540922</v>
      </c>
      <c r="S19" s="93">
        <f t="shared" si="9"/>
        <v>0.57896415464774009</v>
      </c>
      <c r="T19" s="93">
        <f t="shared" si="10"/>
        <v>0.85718815001466686</v>
      </c>
      <c r="U19" s="93">
        <f t="shared" si="11"/>
        <v>0.7124662120328954</v>
      </c>
      <c r="V19" s="93">
        <f t="shared" si="12"/>
        <v>1.8066747657687265E-3</v>
      </c>
      <c r="W19" s="93">
        <f t="shared" si="13"/>
        <v>0.35126653939438085</v>
      </c>
      <c r="X19" s="93">
        <f t="shared" si="14"/>
        <v>0.71599243678669999</v>
      </c>
      <c r="Y19" s="93">
        <f t="shared" si="15"/>
        <v>0.71594401680119468</v>
      </c>
      <c r="Z19" s="93">
        <f t="shared" si="16"/>
        <v>0.71599243678669999</v>
      </c>
      <c r="AA19" s="93">
        <f t="shared" si="17"/>
        <v>0.71604086004689571</v>
      </c>
      <c r="AB19" s="93">
        <f t="shared" si="18"/>
        <v>0.52193272587023032</v>
      </c>
      <c r="AC19" s="93">
        <f t="shared" si="19"/>
        <v>0.52186403215017418</v>
      </c>
      <c r="AD19" s="93">
        <f t="shared" si="20"/>
        <v>0.72006252124469883</v>
      </c>
      <c r="AE19" s="93">
        <f t="shared" si="21"/>
        <v>0.2476348740328814</v>
      </c>
      <c r="AF19" s="93">
        <f t="shared" si="22"/>
        <v>0.2476348740328814</v>
      </c>
      <c r="AG19" s="93">
        <f t="shared" si="23"/>
        <v>0.52662517445949641</v>
      </c>
      <c r="AH19" s="93">
        <f t="shared" si="24"/>
        <v>0.52179534747118206</v>
      </c>
      <c r="AI19" s="93">
        <f t="shared" si="25"/>
        <v>0.89399177542789809</v>
      </c>
      <c r="AJ19" s="93">
        <f t="shared" si="26"/>
        <v>0.52220759118489868</v>
      </c>
      <c r="AK19" s="93">
        <f t="shared" si="27"/>
        <v>0.29944581060905512</v>
      </c>
      <c r="AL19" s="93">
        <f t="shared" si="28"/>
        <v>0.24770485329777842</v>
      </c>
      <c r="AM19" s="93">
        <f t="shared" si="29"/>
        <v>0.60810836213879871</v>
      </c>
      <c r="AN19" s="93">
        <f t="shared" si="30"/>
        <v>9.5196432867811528E-2</v>
      </c>
      <c r="AO19" s="260">
        <f t="shared" si="39"/>
        <v>0.41449547851526242</v>
      </c>
      <c r="AP19" s="261">
        <f t="shared" si="40"/>
        <v>0.61726037102111153</v>
      </c>
      <c r="AQ19" s="262">
        <f t="shared" si="41"/>
        <v>0.95109076883136057</v>
      </c>
      <c r="AR19" s="263">
        <f t="shared" si="42"/>
        <v>0.15124123827730412</v>
      </c>
      <c r="AS19" s="260">
        <f t="shared" si="43"/>
        <v>3.6802759526374774E-2</v>
      </c>
      <c r="AT19" s="260">
        <f t="shared" si="38"/>
        <v>0.9631972404736252</v>
      </c>
    </row>
    <row r="20" spans="2:46" ht="12" customHeight="1">
      <c r="B20" s="79">
        <v>19</v>
      </c>
      <c r="C20" s="96" t="s">
        <v>36</v>
      </c>
      <c r="D20" s="53" t="s">
        <v>228</v>
      </c>
      <c r="E20" s="282">
        <f>CM!N21</f>
        <v>3.8248033944010136E-5</v>
      </c>
      <c r="F20" s="216"/>
      <c r="G20" s="218">
        <f t="shared" si="36"/>
        <v>3.6407766990291264</v>
      </c>
      <c r="H20" s="215">
        <f t="shared" si="37"/>
        <v>750</v>
      </c>
      <c r="I20" s="92">
        <v>18000</v>
      </c>
      <c r="J20" s="93">
        <f t="shared" si="0"/>
        <v>0.89295852968789502</v>
      </c>
      <c r="K20" s="93">
        <f t="shared" si="1"/>
        <v>0.58803787207445646</v>
      </c>
      <c r="L20" s="93">
        <f t="shared" si="2"/>
        <v>0.62068703966852945</v>
      </c>
      <c r="M20" s="93">
        <f t="shared" si="3"/>
        <v>0.88848244327306425</v>
      </c>
      <c r="N20" s="93">
        <f t="shared" si="4"/>
        <v>0.53698139611485718</v>
      </c>
      <c r="O20" s="93">
        <f t="shared" si="5"/>
        <v>0.2123512733792618</v>
      </c>
      <c r="P20" s="93">
        <f t="shared" si="6"/>
        <v>0.88775983789141244</v>
      </c>
      <c r="Q20" s="93">
        <f t="shared" si="7"/>
        <v>0.7022601592278892</v>
      </c>
      <c r="R20" s="93">
        <f t="shared" si="8"/>
        <v>0.89191428855368926</v>
      </c>
      <c r="S20" s="93">
        <f t="shared" si="9"/>
        <v>0.5606476550412931</v>
      </c>
      <c r="T20" s="93">
        <f t="shared" si="10"/>
        <v>0.84945321043287059</v>
      </c>
      <c r="U20" s="93">
        <f t="shared" si="11"/>
        <v>0.6983985806747055</v>
      </c>
      <c r="V20" s="93">
        <f t="shared" si="12"/>
        <v>1.2460055519604469E-3</v>
      </c>
      <c r="W20" s="93">
        <f t="shared" si="13"/>
        <v>0.33030073039845054</v>
      </c>
      <c r="X20" s="93">
        <f t="shared" si="14"/>
        <v>0.70205904151763265</v>
      </c>
      <c r="Y20" s="93">
        <f t="shared" si="15"/>
        <v>0.70200877109030091</v>
      </c>
      <c r="Z20" s="93">
        <f t="shared" si="16"/>
        <v>0.70205904151763265</v>
      </c>
      <c r="AA20" s="93">
        <f t="shared" si="17"/>
        <v>0.70210931554479961</v>
      </c>
      <c r="AB20" s="93">
        <f t="shared" si="18"/>
        <v>0.50234677496435975</v>
      </c>
      <c r="AC20" s="93">
        <f t="shared" si="19"/>
        <v>0.50227677013065042</v>
      </c>
      <c r="AD20" s="93">
        <f t="shared" si="20"/>
        <v>0.70628538395432194</v>
      </c>
      <c r="AE20" s="93">
        <f t="shared" si="21"/>
        <v>0.22811491216388205</v>
      </c>
      <c r="AF20" s="93">
        <f t="shared" si="22"/>
        <v>0.22811491216388205</v>
      </c>
      <c r="AG20" s="93">
        <f t="shared" si="23"/>
        <v>0.50713006481574952</v>
      </c>
      <c r="AH20" s="93">
        <f t="shared" si="24"/>
        <v>0.50220677505250633</v>
      </c>
      <c r="AI20" s="93">
        <f t="shared" si="25"/>
        <v>0.88811823969631876</v>
      </c>
      <c r="AJ20" s="93">
        <f t="shared" si="26"/>
        <v>0.5026268918820459</v>
      </c>
      <c r="AK20" s="93">
        <f t="shared" si="27"/>
        <v>0.27894169279501319</v>
      </c>
      <c r="AL20" s="93">
        <f t="shared" si="28"/>
        <v>0.22818316778767089</v>
      </c>
      <c r="AM20" s="93">
        <f t="shared" si="29"/>
        <v>0.59057352510459316</v>
      </c>
      <c r="AN20" s="93">
        <f t="shared" si="30"/>
        <v>8.289713827588141E-2</v>
      </c>
      <c r="AO20" s="260">
        <f t="shared" si="39"/>
        <v>0.38960919383994042</v>
      </c>
      <c r="AP20" s="261">
        <f t="shared" si="40"/>
        <v>0.59840551100278627</v>
      </c>
      <c r="AQ20" s="262">
        <f t="shared" si="41"/>
        <v>0.94625237714211186</v>
      </c>
      <c r="AR20" s="263">
        <f t="shared" si="42"/>
        <v>0.13140056194317468</v>
      </c>
      <c r="AS20" s="260">
        <f t="shared" si="43"/>
        <v>2.8988716510327115E-2</v>
      </c>
      <c r="AT20" s="260">
        <f t="shared" si="38"/>
        <v>0.97101128348967292</v>
      </c>
    </row>
    <row r="21" spans="2:46" ht="12" customHeight="1">
      <c r="B21" s="79">
        <v>20</v>
      </c>
      <c r="C21" s="96" t="s">
        <v>101</v>
      </c>
      <c r="D21" s="53" t="s">
        <v>229</v>
      </c>
      <c r="E21" s="282">
        <f>CM!N22</f>
        <v>3.8255776461002853E-5</v>
      </c>
      <c r="F21" s="216"/>
      <c r="G21" s="218">
        <f t="shared" si="36"/>
        <v>3.8430420711974107</v>
      </c>
      <c r="H21" s="215">
        <f t="shared" si="37"/>
        <v>791.66666666666663</v>
      </c>
      <c r="I21" s="92">
        <v>19000</v>
      </c>
      <c r="J21" s="93">
        <f t="shared" si="0"/>
        <v>0.8873596877688037</v>
      </c>
      <c r="K21" s="93">
        <f t="shared" si="1"/>
        <v>0.57094527149204233</v>
      </c>
      <c r="L21" s="93">
        <f t="shared" si="2"/>
        <v>0.60445726763650853</v>
      </c>
      <c r="M21" s="93">
        <f t="shared" si="3"/>
        <v>0.88266520886132882</v>
      </c>
      <c r="N21" s="93">
        <f t="shared" si="4"/>
        <v>0.51874864489575201</v>
      </c>
      <c r="O21" s="93">
        <f t="shared" si="5"/>
        <v>0.19483592110761039</v>
      </c>
      <c r="P21" s="93">
        <f t="shared" si="6"/>
        <v>0.88190746987650248</v>
      </c>
      <c r="Q21" s="93">
        <f t="shared" si="7"/>
        <v>0.6886049550083343</v>
      </c>
      <c r="R21" s="93">
        <f t="shared" si="8"/>
        <v>0.88626437995824536</v>
      </c>
      <c r="S21" s="93">
        <f t="shared" si="9"/>
        <v>0.54291062854236016</v>
      </c>
      <c r="T21" s="93">
        <f t="shared" si="10"/>
        <v>0.84178806800159833</v>
      </c>
      <c r="U21" s="93">
        <f t="shared" si="11"/>
        <v>0.68460871442128501</v>
      </c>
      <c r="V21" s="93">
        <f t="shared" si="12"/>
        <v>8.5933000500821709E-4</v>
      </c>
      <c r="W21" s="93">
        <f t="shared" si="13"/>
        <v>0.31058629350192862</v>
      </c>
      <c r="X21" s="93">
        <f t="shared" si="14"/>
        <v>0.68839679367100926</v>
      </c>
      <c r="Y21" s="93">
        <f t="shared" si="15"/>
        <v>0.68834476316960569</v>
      </c>
      <c r="Z21" s="93">
        <f t="shared" si="16"/>
        <v>0.68839679367100926</v>
      </c>
      <c r="AA21" s="93">
        <f t="shared" si="17"/>
        <v>0.68844882810528663</v>
      </c>
      <c r="AB21" s="93">
        <f t="shared" si="18"/>
        <v>0.48349580282849741</v>
      </c>
      <c r="AC21" s="93">
        <f t="shared" si="19"/>
        <v>0.48342468204492067</v>
      </c>
      <c r="AD21" s="93">
        <f t="shared" si="20"/>
        <v>0.69277184809620651</v>
      </c>
      <c r="AE21" s="93">
        <f t="shared" si="21"/>
        <v>0.21013362255522278</v>
      </c>
      <c r="AF21" s="93">
        <f t="shared" si="22"/>
        <v>0.21013362255522278</v>
      </c>
      <c r="AG21" s="93">
        <f t="shared" si="23"/>
        <v>0.48835664361086578</v>
      </c>
      <c r="AH21" s="93">
        <f t="shared" si="24"/>
        <v>0.48335357172299803</v>
      </c>
      <c r="AI21" s="93">
        <f t="shared" si="25"/>
        <v>0.88228329315866516</v>
      </c>
      <c r="AJ21" s="93">
        <f t="shared" si="26"/>
        <v>0.48378039061013101</v>
      </c>
      <c r="AK21" s="93">
        <f t="shared" si="27"/>
        <v>0.25984156472615078</v>
      </c>
      <c r="AL21" s="93">
        <f t="shared" si="28"/>
        <v>0.21019999151580346</v>
      </c>
      <c r="AM21" s="93">
        <f t="shared" si="29"/>
        <v>0.57354430603086881</v>
      </c>
      <c r="AN21" s="93">
        <f t="shared" si="30"/>
        <v>7.2186901623434566E-2</v>
      </c>
      <c r="AO21" s="260">
        <f t="shared" si="39"/>
        <v>0.36603648707152514</v>
      </c>
      <c r="AP21" s="261">
        <f t="shared" si="40"/>
        <v>0.57999482212129905</v>
      </c>
      <c r="AQ21" s="262">
        <f t="shared" si="41"/>
        <v>0.94129508297991016</v>
      </c>
      <c r="AR21" s="263">
        <f t="shared" si="42"/>
        <v>0.11405788095042188</v>
      </c>
      <c r="AS21" s="260">
        <f t="shared" si="43"/>
        <v>2.2792899935665006E-2</v>
      </c>
      <c r="AT21" s="260">
        <f t="shared" si="38"/>
        <v>0.97720710006433498</v>
      </c>
    </row>
    <row r="22" spans="2:46" ht="12" customHeight="1">
      <c r="B22" s="79">
        <v>21</v>
      </c>
      <c r="C22" s="96" t="s">
        <v>37</v>
      </c>
      <c r="D22" s="53" t="s">
        <v>230</v>
      </c>
      <c r="E22" s="282">
        <f>CM!N23</f>
        <v>1.931866092234706E-5</v>
      </c>
      <c r="F22" s="216"/>
      <c r="G22" s="226">
        <f t="shared" si="36"/>
        <v>4.0453074433656964</v>
      </c>
      <c r="H22" s="227">
        <f t="shared" si="37"/>
        <v>833.33333333333337</v>
      </c>
      <c r="I22" s="228">
        <v>20000</v>
      </c>
      <c r="J22" s="93">
        <f t="shared" si="0"/>
        <v>0.88179595053799609</v>
      </c>
      <c r="K22" s="93">
        <f t="shared" si="1"/>
        <v>0.55434950454661713</v>
      </c>
      <c r="L22" s="93">
        <f t="shared" si="2"/>
        <v>0.58865187292087551</v>
      </c>
      <c r="M22" s="93">
        <f t="shared" si="3"/>
        <v>0.87688606210845188</v>
      </c>
      <c r="N22" s="93">
        <f t="shared" si="4"/>
        <v>0.50113497139409291</v>
      </c>
      <c r="O22" s="93">
        <f t="shared" si="5"/>
        <v>0.17876528616832038</v>
      </c>
      <c r="P22" s="93">
        <f t="shared" si="6"/>
        <v>0.87609368235365803</v>
      </c>
      <c r="Q22" s="93">
        <f t="shared" si="7"/>
        <v>0.67521527147912119</v>
      </c>
      <c r="R22" s="93">
        <f t="shared" si="8"/>
        <v>0.88065026119994883</v>
      </c>
      <c r="S22" s="93">
        <f t="shared" si="9"/>
        <v>0.52573474254975938</v>
      </c>
      <c r="T22" s="93">
        <f t="shared" si="10"/>
        <v>0.83419209289793173</v>
      </c>
      <c r="U22" s="93">
        <f t="shared" si="11"/>
        <v>0.67109112880609756</v>
      </c>
      <c r="V22" s="93">
        <f t="shared" si="12"/>
        <v>5.9265230106363359E-4</v>
      </c>
      <c r="W22" s="93">
        <f t="shared" si="13"/>
        <v>0.29204853890240939</v>
      </c>
      <c r="X22" s="93">
        <f t="shared" si="14"/>
        <v>0.67500041664889521</v>
      </c>
      <c r="Y22" s="93">
        <f t="shared" si="15"/>
        <v>0.67494671362456837</v>
      </c>
      <c r="Z22" s="93">
        <f t="shared" si="16"/>
        <v>0.67500041664889521</v>
      </c>
      <c r="AA22" s="93">
        <f t="shared" si="17"/>
        <v>0.67505412394617392</v>
      </c>
      <c r="AB22" s="93">
        <f t="shared" si="18"/>
        <v>0.46535222878530186</v>
      </c>
      <c r="AC22" s="93">
        <f t="shared" si="19"/>
        <v>0.4652801744134884</v>
      </c>
      <c r="AD22" s="93">
        <f t="shared" si="20"/>
        <v>0.6795168701178621</v>
      </c>
      <c r="AE22" s="93">
        <f t="shared" si="21"/>
        <v>0.19356971847793192</v>
      </c>
      <c r="AF22" s="93">
        <f t="shared" si="22"/>
        <v>0.19356971847793192</v>
      </c>
      <c r="AG22" s="93">
        <f t="shared" si="23"/>
        <v>0.47027819469847287</v>
      </c>
      <c r="AH22" s="93">
        <f t="shared" si="24"/>
        <v>0.46520813119845511</v>
      </c>
      <c r="AI22" s="93">
        <f t="shared" si="25"/>
        <v>0.87648668228351179</v>
      </c>
      <c r="AJ22" s="93">
        <f t="shared" si="26"/>
        <v>0.46564055787491593</v>
      </c>
      <c r="AK22" s="93">
        <f t="shared" si="27"/>
        <v>0.24204929023984709</v>
      </c>
      <c r="AL22" s="93">
        <f t="shared" si="28"/>
        <v>0.19363407415904574</v>
      </c>
      <c r="AM22" s="93">
        <f t="shared" si="29"/>
        <v>0.55700612539678585</v>
      </c>
      <c r="AN22" s="93">
        <f t="shared" si="30"/>
        <v>6.28604180357758E-2</v>
      </c>
      <c r="AO22" s="260">
        <f t="shared" si="39"/>
        <v>0.34373851439713787</v>
      </c>
      <c r="AP22" s="261">
        <f t="shared" si="40"/>
        <v>0.56203099538442802</v>
      </c>
      <c r="AQ22" s="262">
        <f t="shared" si="41"/>
        <v>0.93622947280830915</v>
      </c>
      <c r="AR22" s="263">
        <f t="shared" si="42"/>
        <v>9.8927509293577229E-2</v>
      </c>
      <c r="AS22" s="260">
        <f t="shared" si="43"/>
        <v>1.7893193003146228E-2</v>
      </c>
      <c r="AT22" s="260">
        <f t="shared" si="38"/>
        <v>0.98210680699685382</v>
      </c>
    </row>
    <row r="23" spans="2:46" ht="12" customHeight="1">
      <c r="B23" s="79">
        <v>22</v>
      </c>
      <c r="C23" s="96" t="s">
        <v>106</v>
      </c>
      <c r="D23" s="53" t="s">
        <v>231</v>
      </c>
      <c r="E23" s="282">
        <f>CM!N24</f>
        <v>8.2105876459701041E-5</v>
      </c>
      <c r="F23" s="216"/>
      <c r="G23" s="218">
        <f t="shared" si="36"/>
        <v>4.2475728155339807</v>
      </c>
      <c r="H23" s="215">
        <f t="shared" si="37"/>
        <v>875</v>
      </c>
      <c r="I23" s="92">
        <v>21000</v>
      </c>
      <c r="J23" s="93">
        <f t="shared" si="0"/>
        <v>0.8762670978893935</v>
      </c>
      <c r="K23" s="93">
        <f t="shared" si="1"/>
        <v>0.53823612968719181</v>
      </c>
      <c r="L23" s="93">
        <f t="shared" si="2"/>
        <v>0.57325975887120884</v>
      </c>
      <c r="M23" s="93">
        <f t="shared" si="3"/>
        <v>0.8711447536399618</v>
      </c>
      <c r="N23" s="93">
        <f t="shared" si="4"/>
        <v>0.48411935534718714</v>
      </c>
      <c r="O23" s="93">
        <f t="shared" si="5"/>
        <v>0.16402020406283915</v>
      </c>
      <c r="P23" s="93">
        <f t="shared" si="6"/>
        <v>0.87031822098918654</v>
      </c>
      <c r="Q23" s="93">
        <f t="shared" si="7"/>
        <v>0.66208594568289925</v>
      </c>
      <c r="R23" s="93">
        <f t="shared" si="8"/>
        <v>0.87507170556496527</v>
      </c>
      <c r="S23" s="93">
        <f t="shared" si="9"/>
        <v>0.50910224444481678</v>
      </c>
      <c r="T23" s="93">
        <f t="shared" si="10"/>
        <v>0.82666466098223457</v>
      </c>
      <c r="U23" s="93">
        <f t="shared" si="11"/>
        <v>0.65784044765329108</v>
      </c>
      <c r="V23" s="93">
        <f t="shared" si="12"/>
        <v>4.0873325487181288E-4</v>
      </c>
      <c r="W23" s="93">
        <f t="shared" si="13"/>
        <v>0.2746172347573429</v>
      </c>
      <c r="X23" s="93">
        <f t="shared" si="14"/>
        <v>0.66186473653729649</v>
      </c>
      <c r="Y23" s="93">
        <f t="shared" si="15"/>
        <v>0.66180944579999446</v>
      </c>
      <c r="Z23" s="93">
        <f t="shared" si="16"/>
        <v>0.66186473653729649</v>
      </c>
      <c r="AA23" s="93">
        <f t="shared" si="17"/>
        <v>0.66192003189385196</v>
      </c>
      <c r="AB23" s="93">
        <f t="shared" si="18"/>
        <v>0.44788950714482639</v>
      </c>
      <c r="AC23" s="93">
        <f t="shared" si="19"/>
        <v>0.44781668943028846</v>
      </c>
      <c r="AD23" s="93">
        <f t="shared" si="20"/>
        <v>0.66651550296635675</v>
      </c>
      <c r="AE23" s="93">
        <f t="shared" si="21"/>
        <v>0.17831147369945033</v>
      </c>
      <c r="AF23" s="93">
        <f t="shared" si="22"/>
        <v>0.17831147369945033</v>
      </c>
      <c r="AG23" s="93">
        <f t="shared" si="23"/>
        <v>0.45286899093581606</v>
      </c>
      <c r="AH23" s="93">
        <f t="shared" si="24"/>
        <v>0.44774388355442823</v>
      </c>
      <c r="AI23" s="93">
        <f t="shared" si="25"/>
        <v>0.87072815520513724</v>
      </c>
      <c r="AJ23" s="93">
        <f t="shared" si="26"/>
        <v>0.44818089642826131</v>
      </c>
      <c r="AK23" s="93">
        <f t="shared" si="27"/>
        <v>0.22547531595786061</v>
      </c>
      <c r="AL23" s="93">
        <f t="shared" si="28"/>
        <v>0.17837372116455061</v>
      </c>
      <c r="AM23" s="93">
        <f t="shared" si="29"/>
        <v>0.54094482408276512</v>
      </c>
      <c r="AN23" s="93">
        <f t="shared" si="30"/>
        <v>5.473890784570961E-2</v>
      </c>
      <c r="AO23" s="260">
        <f t="shared" si="39"/>
        <v>0.32267206602566401</v>
      </c>
      <c r="AP23" s="261">
        <f t="shared" si="40"/>
        <v>0.54451534929441703</v>
      </c>
      <c r="AQ23" s="262">
        <f t="shared" si="41"/>
        <v>0.93106560942738859</v>
      </c>
      <c r="AR23" s="263">
        <f t="shared" si="42"/>
        <v>8.5748170184758596E-2</v>
      </c>
      <c r="AS23" s="260">
        <f t="shared" si="43"/>
        <v>1.4027382615069721E-2</v>
      </c>
      <c r="AT23" s="260">
        <f t="shared" si="38"/>
        <v>0.98597261738493025</v>
      </c>
    </row>
    <row r="24" spans="2:46" ht="12" customHeight="1">
      <c r="B24" s="79">
        <v>23</v>
      </c>
      <c r="C24" s="96" t="s">
        <v>110</v>
      </c>
      <c r="D24" s="53" t="s">
        <v>232</v>
      </c>
      <c r="E24" s="282">
        <f>CM!N25</f>
        <v>8.2105876459701041E-5</v>
      </c>
      <c r="F24" s="216"/>
      <c r="G24" s="218">
        <f t="shared" si="36"/>
        <v>4.449838187702265</v>
      </c>
      <c r="H24" s="215">
        <f t="shared" si="37"/>
        <v>916.66666666666663</v>
      </c>
      <c r="I24" s="92">
        <v>22000</v>
      </c>
      <c r="J24" s="93">
        <f t="shared" si="0"/>
        <v>0.87077291109698074</v>
      </c>
      <c r="K24" s="93">
        <f t="shared" si="1"/>
        <v>0.52259112513788841</v>
      </c>
      <c r="L24" s="93">
        <f t="shared" si="2"/>
        <v>0.55827011899314782</v>
      </c>
      <c r="M24" s="93">
        <f t="shared" si="3"/>
        <v>0.865441035714137</v>
      </c>
      <c r="N24" s="93">
        <f t="shared" si="4"/>
        <v>0.46768149021766442</v>
      </c>
      <c r="O24" s="93">
        <f t="shared" si="5"/>
        <v>0.15049133932795339</v>
      </c>
      <c r="P24" s="93">
        <f t="shared" si="6"/>
        <v>0.86458083312603617</v>
      </c>
      <c r="Q24" s="93">
        <f t="shared" si="7"/>
        <v>0.64921191505422549</v>
      </c>
      <c r="R24" s="93">
        <f t="shared" si="8"/>
        <v>0.86952848777559832</v>
      </c>
      <c r="S24" s="93">
        <f t="shared" si="9"/>
        <v>0.49299594324264934</v>
      </c>
      <c r="T24" s="93">
        <f t="shared" si="10"/>
        <v>0.81920515374686931</v>
      </c>
      <c r="U24" s="93">
        <f t="shared" si="11"/>
        <v>0.6448514009395</v>
      </c>
      <c r="V24" s="93">
        <f t="shared" si="12"/>
        <v>2.8189019655922785E-4</v>
      </c>
      <c r="W24" s="93">
        <f t="shared" si="13"/>
        <v>0.25822634110479176</v>
      </c>
      <c r="X24" s="93">
        <f t="shared" si="14"/>
        <v>0.64898468010790344</v>
      </c>
      <c r="Y24" s="93">
        <f t="shared" si="15"/>
        <v>0.64892788379991106</v>
      </c>
      <c r="Z24" s="93">
        <f t="shared" si="16"/>
        <v>0.64898468010790344</v>
      </c>
      <c r="AA24" s="93">
        <f t="shared" si="17"/>
        <v>0.64904148138689599</v>
      </c>
      <c r="AB24" s="93">
        <f t="shared" si="18"/>
        <v>0.43108208836577433</v>
      </c>
      <c r="AC24" s="93">
        <f t="shared" si="19"/>
        <v>0.43100866609047983</v>
      </c>
      <c r="AD24" s="93">
        <f t="shared" si="20"/>
        <v>0.65376289424196565</v>
      </c>
      <c r="AE24" s="93">
        <f t="shared" si="21"/>
        <v>0.16425596887198332</v>
      </c>
      <c r="AF24" s="93">
        <f t="shared" si="22"/>
        <v>0.16425596887198332</v>
      </c>
      <c r="AG24" s="93">
        <f t="shared" si="23"/>
        <v>0.43610425757188576</v>
      </c>
      <c r="AH24" s="93">
        <f t="shared" si="24"/>
        <v>0.43093525632053092</v>
      </c>
      <c r="AI24" s="93">
        <f t="shared" si="25"/>
        <v>0.86500746171258058</v>
      </c>
      <c r="AJ24" s="93">
        <f t="shared" si="26"/>
        <v>0.43137590256301978</v>
      </c>
      <c r="AK24" s="93">
        <f t="shared" si="27"/>
        <v>0.21003622053971116</v>
      </c>
      <c r="AL24" s="93">
        <f t="shared" si="28"/>
        <v>0.16431604065695113</v>
      </c>
      <c r="AM24" s="93">
        <f t="shared" si="29"/>
        <v>0.52534665124819513</v>
      </c>
      <c r="AN24" s="93">
        <f t="shared" si="30"/>
        <v>4.7666689560285351E-2</v>
      </c>
      <c r="AO24" s="260">
        <f t="shared" si="39"/>
        <v>0.30279083077331226</v>
      </c>
      <c r="AP24" s="261">
        <f t="shared" si="40"/>
        <v>0.52744789563128058</v>
      </c>
      <c r="AQ24" s="262">
        <f t="shared" si="41"/>
        <v>0.92581303321128439</v>
      </c>
      <c r="AR24" s="263">
        <f t="shared" si="42"/>
        <v>7.4283491636517124E-2</v>
      </c>
      <c r="AS24" s="260">
        <f t="shared" si="43"/>
        <v>1.0983427383018029E-2</v>
      </c>
      <c r="AT24" s="260">
        <f t="shared" si="38"/>
        <v>0.98901657261698195</v>
      </c>
    </row>
    <row r="25" spans="2:46" ht="12" customHeight="1">
      <c r="B25" s="79">
        <v>24</v>
      </c>
      <c r="C25" s="96" t="s">
        <v>113</v>
      </c>
      <c r="D25" s="53" t="s">
        <v>233</v>
      </c>
      <c r="E25" s="282">
        <f>CM!N26</f>
        <v>3.7721542788505548E-5</v>
      </c>
      <c r="F25" s="216"/>
      <c r="G25" s="218">
        <f t="shared" si="36"/>
        <v>4.6521035598705502</v>
      </c>
      <c r="H25" s="215">
        <f t="shared" si="37"/>
        <v>958.33333333333337</v>
      </c>
      <c r="I25" s="92">
        <v>23000</v>
      </c>
      <c r="J25" s="93">
        <f t="shared" si="0"/>
        <v>0.86531317280615216</v>
      </c>
      <c r="K25" s="93">
        <f t="shared" si="1"/>
        <v>0.50740087669626199</v>
      </c>
      <c r="L25" s="93">
        <f t="shared" si="2"/>
        <v>0.54367242936137028</v>
      </c>
      <c r="M25" s="93">
        <f t="shared" si="3"/>
        <v>0.85977466221131593</v>
      </c>
      <c r="N25" s="93">
        <f t="shared" si="4"/>
        <v>0.45180175895953512</v>
      </c>
      <c r="O25" s="93">
        <f t="shared" si="5"/>
        <v>0.13807837480829177</v>
      </c>
      <c r="P25" s="93">
        <f t="shared" si="6"/>
        <v>0.85888126777274298</v>
      </c>
      <c r="Q25" s="93">
        <f t="shared" si="7"/>
        <v>0.63658821546747879</v>
      </c>
      <c r="R25" s="93">
        <f t="shared" si="8"/>
        <v>0.86402038398119319</v>
      </c>
      <c r="S25" s="93">
        <f t="shared" si="9"/>
        <v>0.47739919182394003</v>
      </c>
      <c r="T25" s="93">
        <f t="shared" si="10"/>
        <v>0.81181295826537581</v>
      </c>
      <c r="U25" s="93">
        <f t="shared" si="11"/>
        <v>0.63211882269786634</v>
      </c>
      <c r="V25" s="93">
        <f t="shared" si="12"/>
        <v>1.9441061369259284E-4</v>
      </c>
      <c r="W25" s="93">
        <f t="shared" si="13"/>
        <v>0.24281375966548027</v>
      </c>
      <c r="X25" s="93">
        <f t="shared" si="14"/>
        <v>0.63635527285872251</v>
      </c>
      <c r="Y25" s="93">
        <f t="shared" si="15"/>
        <v>0.63629705052637431</v>
      </c>
      <c r="Z25" s="93">
        <f t="shared" si="16"/>
        <v>0.63635527285872251</v>
      </c>
      <c r="AA25" s="93">
        <f t="shared" si="17"/>
        <v>0.63641350051851964</v>
      </c>
      <c r="AB25" s="93">
        <f t="shared" si="18"/>
        <v>0.41490538167420837</v>
      </c>
      <c r="AC25" s="93">
        <f t="shared" si="19"/>
        <v>0.41483150277723913</v>
      </c>
      <c r="AD25" s="93">
        <f t="shared" si="20"/>
        <v>0.64125428438714882</v>
      </c>
      <c r="AE25" s="93">
        <f t="shared" si="21"/>
        <v>0.15130839732472656</v>
      </c>
      <c r="AF25" s="93">
        <f t="shared" si="22"/>
        <v>0.15130839732472656</v>
      </c>
      <c r="AG25" s="93">
        <f t="shared" si="23"/>
        <v>0.41996013699087731</v>
      </c>
      <c r="AH25" s="93">
        <f t="shared" si="24"/>
        <v>0.41475763703529661</v>
      </c>
      <c r="AI25" s="93">
        <f t="shared" si="25"/>
        <v>0.85932435323876954</v>
      </c>
      <c r="AJ25" s="93">
        <f t="shared" si="26"/>
        <v>0.41520102885921623</v>
      </c>
      <c r="AK25" s="93">
        <f t="shared" si="27"/>
        <v>0.19565429480028285</v>
      </c>
      <c r="AL25" s="93">
        <f t="shared" si="28"/>
        <v>0.15136624969700221</v>
      </c>
      <c r="AM25" s="93">
        <f t="shared" si="29"/>
        <v>0.51019825255868634</v>
      </c>
      <c r="AN25" s="93">
        <f t="shared" si="30"/>
        <v>4.1508195597196297E-2</v>
      </c>
      <c r="AO25" s="260">
        <f t="shared" si="39"/>
        <v>0.28404644330276296</v>
      </c>
      <c r="AP25" s="261">
        <f t="shared" si="40"/>
        <v>0.51082742212914523</v>
      </c>
      <c r="AQ25" s="262">
        <f t="shared" si="41"/>
        <v>0.92048076833015569</v>
      </c>
      <c r="AR25" s="263">
        <f t="shared" si="42"/>
        <v>6.432144876866068E-2</v>
      </c>
      <c r="AS25" s="260">
        <f t="shared" si="43"/>
        <v>8.5908096354969637E-3</v>
      </c>
      <c r="AT25" s="260">
        <f t="shared" si="38"/>
        <v>0.99140919036450303</v>
      </c>
    </row>
    <row r="26" spans="2:46" ht="12" customHeight="1">
      <c r="B26" s="79">
        <v>25</v>
      </c>
      <c r="C26" s="96" t="s">
        <v>115</v>
      </c>
      <c r="D26" s="53" t="s">
        <v>234</v>
      </c>
      <c r="E26" s="282">
        <f>CM!N27</f>
        <v>3.8263518977995571E-5</v>
      </c>
      <c r="F26" s="216"/>
      <c r="G26" s="218">
        <f t="shared" si="36"/>
        <v>4.8543689320388346</v>
      </c>
      <c r="H26" s="215">
        <f t="shared" si="37"/>
        <v>1000</v>
      </c>
      <c r="I26" s="92">
        <v>24000</v>
      </c>
      <c r="J26" s="93">
        <f t="shared" si="0"/>
        <v>0.85988766702511399</v>
      </c>
      <c r="K26" s="93">
        <f t="shared" si="1"/>
        <v>0.49265216588629263</v>
      </c>
      <c r="L26" s="93">
        <f t="shared" si="2"/>
        <v>0.52945644123095548</v>
      </c>
      <c r="M26" s="93">
        <f t="shared" si="3"/>
        <v>0.85414538862327649</v>
      </c>
      <c r="N26" s="93">
        <f t="shared" si="4"/>
        <v>0.4364612106070902</v>
      </c>
      <c r="O26" s="93">
        <f t="shared" si="5"/>
        <v>0.1266892677999957</v>
      </c>
      <c r="P26" s="93">
        <f t="shared" si="6"/>
        <v>0.85321927559245092</v>
      </c>
      <c r="Q26" s="93">
        <f t="shared" si="7"/>
        <v>0.62420997932273181</v>
      </c>
      <c r="R26" s="93">
        <f t="shared" si="8"/>
        <v>0.85854717174909623</v>
      </c>
      <c r="S26" s="93">
        <f t="shared" si="9"/>
        <v>0.4622958697288414</v>
      </c>
      <c r="T26" s="93">
        <f t="shared" si="10"/>
        <v>0.80448746714210895</v>
      </c>
      <c r="U26" s="93">
        <f t="shared" si="11"/>
        <v>0.61963764896344653</v>
      </c>
      <c r="V26" s="93">
        <f t="shared" si="12"/>
        <v>1.3407875540783284E-4</v>
      </c>
      <c r="W26" s="93">
        <f t="shared" si="13"/>
        <v>0.22832109857824093</v>
      </c>
      <c r="X26" s="93">
        <f t="shared" si="14"/>
        <v>0.62397163709283643</v>
      </c>
      <c r="Y26" s="93">
        <f t="shared" si="15"/>
        <v>0.62391206575644897</v>
      </c>
      <c r="Z26" s="93">
        <f t="shared" si="16"/>
        <v>0.62397163709283643</v>
      </c>
      <c r="AA26" s="93">
        <f t="shared" si="17"/>
        <v>0.62403121411711526</v>
      </c>
      <c r="AB26" s="93">
        <f t="shared" si="18"/>
        <v>0.39933571908502441</v>
      </c>
      <c r="AC26" s="93">
        <f t="shared" si="19"/>
        <v>0.39926152125279407</v>
      </c>
      <c r="AD26" s="93">
        <f t="shared" si="20"/>
        <v>0.62898500491017695</v>
      </c>
      <c r="AE26" s="93">
        <f t="shared" si="21"/>
        <v>0.1393814255774197</v>
      </c>
      <c r="AF26" s="93">
        <f t="shared" si="22"/>
        <v>0.1393814255774197</v>
      </c>
      <c r="AG26" s="93">
        <f t="shared" si="23"/>
        <v>0.40441365476081104</v>
      </c>
      <c r="AH26" s="93">
        <f t="shared" si="24"/>
        <v>0.39918733720675426</v>
      </c>
      <c r="AI26" s="93">
        <f t="shared" si="25"/>
        <v>0.85367858284972042</v>
      </c>
      <c r="AJ26" s="93">
        <f t="shared" si="26"/>
        <v>0.39963264832709788</v>
      </c>
      <c r="AK26" s="93">
        <f t="shared" si="27"/>
        <v>0.1822571505782658</v>
      </c>
      <c r="AL26" s="93">
        <f t="shared" si="28"/>
        <v>0.13943703521416353</v>
      </c>
      <c r="AM26" s="93">
        <f t="shared" si="29"/>
        <v>0.49548665875279313</v>
      </c>
      <c r="AN26" s="93">
        <f t="shared" si="30"/>
        <v>3.6145373585385429E-2</v>
      </c>
      <c r="AO26" s="260">
        <f t="shared" si="39"/>
        <v>0.26638934631480155</v>
      </c>
      <c r="AP26" s="261">
        <f t="shared" si="40"/>
        <v>0.4946515857830025</v>
      </c>
      <c r="AQ26" s="262">
        <f t="shared" si="41"/>
        <v>0.91507733353161558</v>
      </c>
      <c r="AR26" s="263">
        <f t="shared" si="42"/>
        <v>5.5673140927221115E-2</v>
      </c>
      <c r="AS26" s="260">
        <f t="shared" si="43"/>
        <v>6.7130484182127258E-3</v>
      </c>
      <c r="AT26" s="260">
        <f t="shared" si="38"/>
        <v>0.99328695158178726</v>
      </c>
    </row>
    <row r="27" spans="2:46" ht="12" customHeight="1">
      <c r="B27" s="79">
        <v>26</v>
      </c>
      <c r="C27" s="97" t="s">
        <v>42</v>
      </c>
      <c r="D27" s="254" t="s">
        <v>235</v>
      </c>
      <c r="E27" s="282">
        <f>CM!N28</f>
        <v>6.5916884468247777E-6</v>
      </c>
      <c r="F27" s="216"/>
      <c r="G27" s="226">
        <f t="shared" si="36"/>
        <v>5.0566343042071198</v>
      </c>
      <c r="H27" s="227">
        <f t="shared" si="37"/>
        <v>1041.6666666666667</v>
      </c>
      <c r="I27" s="228">
        <v>25000</v>
      </c>
      <c r="J27" s="93">
        <f t="shared" si="0"/>
        <v>0.85449617911633891</v>
      </c>
      <c r="K27" s="93">
        <f t="shared" si="1"/>
        <v>0.47833215845573479</v>
      </c>
      <c r="L27" s="93">
        <f t="shared" si="2"/>
        <v>0.51561217384194657</v>
      </c>
      <c r="M27" s="93">
        <f t="shared" si="3"/>
        <v>0.84855297204268532</v>
      </c>
      <c r="N27" s="93">
        <f t="shared" si="4"/>
        <v>0.42164153765870671</v>
      </c>
      <c r="O27" s="93">
        <f t="shared" si="5"/>
        <v>0.11623956754982891</v>
      </c>
      <c r="P27" s="93">
        <f t="shared" si="6"/>
        <v>0.847594608892004</v>
      </c>
      <c r="Q27" s="93">
        <f t="shared" si="7"/>
        <v>0.61207243366884256</v>
      </c>
      <c r="R27" s="93">
        <f t="shared" si="8"/>
        <v>0.85310863005567272</v>
      </c>
      <c r="S27" s="93">
        <f t="shared" si="9"/>
        <v>0.44767036649522174</v>
      </c>
      <c r="T27" s="93">
        <f t="shared" si="10"/>
        <v>0.79722807846233057</v>
      </c>
      <c r="U27" s="93">
        <f t="shared" si="11"/>
        <v>0.60740291575918515</v>
      </c>
      <c r="V27" s="93">
        <f t="shared" si="12"/>
        <v>9.2469810728231712E-5</v>
      </c>
      <c r="W27" s="93">
        <f t="shared" si="13"/>
        <v>0.21469345117753624</v>
      </c>
      <c r="X27" s="93">
        <f t="shared" si="14"/>
        <v>0.61182899003455249</v>
      </c>
      <c r="Y27" s="93">
        <f t="shared" si="15"/>
        <v>0.61176814425661796</v>
      </c>
      <c r="Z27" s="93">
        <f t="shared" si="16"/>
        <v>0.61182899003455249</v>
      </c>
      <c r="AA27" s="93">
        <f t="shared" si="17"/>
        <v>0.6118898418641403</v>
      </c>
      <c r="AB27" s="93">
        <f t="shared" si="18"/>
        <v>0.38435032077354836</v>
      </c>
      <c r="AC27" s="93">
        <f t="shared" si="19"/>
        <v>0.38427593200099119</v>
      </c>
      <c r="AD27" s="93">
        <f t="shared" si="20"/>
        <v>0.61695047664274749</v>
      </c>
      <c r="AE27" s="93">
        <f t="shared" si="21"/>
        <v>0.12839460426178895</v>
      </c>
      <c r="AF27" s="93">
        <f t="shared" si="22"/>
        <v>0.12839460426178895</v>
      </c>
      <c r="AG27" s="93">
        <f t="shared" si="23"/>
        <v>0.38944268693899686</v>
      </c>
      <c r="AH27" s="93">
        <f t="shared" si="24"/>
        <v>0.38420155762594893</v>
      </c>
      <c r="AI27" s="93">
        <f t="shared" si="25"/>
        <v>0.84806990523380832</v>
      </c>
      <c r="AJ27" s="93">
        <f t="shared" si="26"/>
        <v>0.38464801989467629</v>
      </c>
      <c r="AK27" s="93">
        <f t="shared" si="27"/>
        <v>0.16977735638676425</v>
      </c>
      <c r="AL27" s="93">
        <f t="shared" si="28"/>
        <v>0.12844796530425598</v>
      </c>
      <c r="AM27" s="93">
        <f t="shared" si="29"/>
        <v>0.48119927453841499</v>
      </c>
      <c r="AN27" s="93">
        <f t="shared" si="30"/>
        <v>3.1475423415305653E-2</v>
      </c>
      <c r="AO27" s="260">
        <f t="shared" si="39"/>
        <v>0.24976949549278427</v>
      </c>
      <c r="AP27" s="261">
        <f t="shared" si="40"/>
        <v>0.47891701195015524</v>
      </c>
      <c r="AQ27" s="262">
        <f t="shared" si="41"/>
        <v>0.9096107565857211</v>
      </c>
      <c r="AR27" s="263">
        <f t="shared" si="42"/>
        <v>4.8171182358642116E-2</v>
      </c>
      <c r="AS27" s="260">
        <f t="shared" si="43"/>
        <v>5.2413426746109734E-3</v>
      </c>
      <c r="AT27" s="260">
        <f t="shared" si="38"/>
        <v>0.99475865732538904</v>
      </c>
    </row>
    <row r="28" spans="2:46" ht="12" customHeight="1">
      <c r="B28" s="79">
        <v>27</v>
      </c>
      <c r="C28" s="96" t="s">
        <v>43</v>
      </c>
      <c r="D28" s="52" t="s">
        <v>222</v>
      </c>
      <c r="E28" s="282">
        <f>CM!N29</f>
        <v>3.8217063876039281E-5</v>
      </c>
      <c r="F28" s="216"/>
      <c r="G28" s="218">
        <f t="shared" si="36"/>
        <v>5.2588996763754041</v>
      </c>
      <c r="H28" s="215">
        <f t="shared" si="37"/>
        <v>1083.3333333333333</v>
      </c>
      <c r="I28" s="92">
        <v>26000</v>
      </c>
      <c r="J28" s="93">
        <f t="shared" si="0"/>
        <v>0.84913849578807499</v>
      </c>
      <c r="K28" s="93">
        <f t="shared" si="1"/>
        <v>0.46442839320781787</v>
      </c>
      <c r="L28" s="93">
        <f t="shared" si="2"/>
        <v>0.50212990741205854</v>
      </c>
      <c r="M28" s="93">
        <f t="shared" si="3"/>
        <v>0.84299717115261652</v>
      </c>
      <c r="N28" s="93">
        <f t="shared" si="4"/>
        <v>0.40732505422856607</v>
      </c>
      <c r="O28" s="93">
        <f t="shared" si="5"/>
        <v>0.10665178904895123</v>
      </c>
      <c r="P28" s="93">
        <f t="shared" si="6"/>
        <v>0.84200702161111096</v>
      </c>
      <c r="Q28" s="93">
        <f t="shared" si="7"/>
        <v>0.6001708983630416</v>
      </c>
      <c r="R28" s="93">
        <f t="shared" si="8"/>
        <v>0.84770453927738176</v>
      </c>
      <c r="S28" s="93">
        <f t="shared" si="9"/>
        <v>0.4335075655240343</v>
      </c>
      <c r="T28" s="93">
        <f t="shared" si="10"/>
        <v>0.79003419574275235</v>
      </c>
      <c r="U28" s="93">
        <f t="shared" si="11"/>
        <v>0.59540975712165611</v>
      </c>
      <c r="V28" s="93">
        <f t="shared" si="12"/>
        <v>6.3773458144849912E-5</v>
      </c>
      <c r="W28" s="93">
        <f t="shared" si="13"/>
        <v>0.20187918797493837</v>
      </c>
      <c r="X28" s="93">
        <f t="shared" si="14"/>
        <v>0.59992264198221223</v>
      </c>
      <c r="Y28" s="93">
        <f t="shared" si="15"/>
        <v>0.5998605939338939</v>
      </c>
      <c r="Z28" s="93">
        <f t="shared" si="16"/>
        <v>0.59992264198221223</v>
      </c>
      <c r="AA28" s="93">
        <f t="shared" si="17"/>
        <v>0.59998469644862229</v>
      </c>
      <c r="AB28" s="93">
        <f t="shared" si="18"/>
        <v>0.36992726174659246</v>
      </c>
      <c r="AC28" s="93">
        <f t="shared" si="19"/>
        <v>0.36985280087067002</v>
      </c>
      <c r="AD28" s="93">
        <f t="shared" si="20"/>
        <v>0.60514620803093599</v>
      </c>
      <c r="AE28" s="93">
        <f t="shared" si="21"/>
        <v>0.11827382547744617</v>
      </c>
      <c r="AF28" s="93">
        <f t="shared" si="22"/>
        <v>0.11827382547744617</v>
      </c>
      <c r="AG28" s="93">
        <f t="shared" si="23"/>
        <v>0.3750259285878158</v>
      </c>
      <c r="AH28" s="93">
        <f t="shared" si="24"/>
        <v>0.36977835498261841</v>
      </c>
      <c r="AI28" s="93">
        <f t="shared" si="25"/>
        <v>0.84249807669110865</v>
      </c>
      <c r="AJ28" s="93">
        <f t="shared" si="26"/>
        <v>0.37022525518934934</v>
      </c>
      <c r="AK28" s="93">
        <f t="shared" si="27"/>
        <v>0.15815209801220101</v>
      </c>
      <c r="AL28" s="93">
        <f t="shared" si="28"/>
        <v>0.11832494692290647</v>
      </c>
      <c r="AM28" s="93">
        <f t="shared" si="29"/>
        <v>0.4673238678093703</v>
      </c>
      <c r="AN28" s="93">
        <f t="shared" si="30"/>
        <v>2.740882666027664E-2</v>
      </c>
      <c r="AO28" s="260">
        <f t="shared" si="39"/>
        <v>0.23413693110663167</v>
      </c>
      <c r="AP28" s="261">
        <f t="shared" si="40"/>
        <v>0.46361939556116327</v>
      </c>
      <c r="AQ28" s="262">
        <f t="shared" si="41"/>
        <v>0.90408859140304121</v>
      </c>
      <c r="AR28" s="263">
        <f t="shared" si="42"/>
        <v>4.1667901968129757E-2</v>
      </c>
      <c r="AS28" s="260">
        <f t="shared" si="43"/>
        <v>4.0892545046006838E-3</v>
      </c>
      <c r="AT28" s="260">
        <f t="shared" si="38"/>
        <v>0.99591074549539926</v>
      </c>
    </row>
    <row r="29" spans="2:46" ht="12" customHeight="1">
      <c r="B29" s="79">
        <v>28</v>
      </c>
      <c r="C29" s="96" t="s">
        <v>49</v>
      </c>
      <c r="D29" s="50" t="s">
        <v>213</v>
      </c>
      <c r="E29" s="282">
        <f>CM!N30</f>
        <v>7.093069474440411E-5</v>
      </c>
      <c r="F29" s="216"/>
      <c r="G29" s="218">
        <f t="shared" si="36"/>
        <v>5.4611650485436893</v>
      </c>
      <c r="H29" s="215">
        <f t="shared" si="37"/>
        <v>1125</v>
      </c>
      <c r="I29" s="92">
        <v>27000</v>
      </c>
      <c r="J29" s="93">
        <f t="shared" si="0"/>
        <v>0.84381440508590755</v>
      </c>
      <c r="K29" s="93">
        <f t="shared" si="1"/>
        <v>0.45092877115757607</v>
      </c>
      <c r="L29" s="93">
        <f t="shared" si="2"/>
        <v>0.48900017631261489</v>
      </c>
      <c r="M29" s="93">
        <f t="shared" si="3"/>
        <v>0.83747774621613813</v>
      </c>
      <c r="N29" s="93">
        <f t="shared" si="4"/>
        <v>0.39349467494021279</v>
      </c>
      <c r="O29" s="93">
        <f t="shared" si="5"/>
        <v>9.7854838478007924E-2</v>
      </c>
      <c r="P29" s="93">
        <f t="shared" si="6"/>
        <v>0.83645626931158046</v>
      </c>
      <c r="Q29" s="93">
        <f t="shared" si="7"/>
        <v>0.58850078426630625</v>
      </c>
      <c r="R29" s="93">
        <f t="shared" si="8"/>
        <v>0.84233468118190635</v>
      </c>
      <c r="S29" s="93">
        <f t="shared" si="9"/>
        <v>0.41979282845513244</v>
      </c>
      <c r="T29" s="93">
        <f t="shared" si="10"/>
        <v>0.78290522788252392</v>
      </c>
      <c r="U29" s="93">
        <f t="shared" si="11"/>
        <v>0.58365340316578596</v>
      </c>
      <c r="V29" s="93">
        <f t="shared" si="12"/>
        <v>4.3982505552065793E-5</v>
      </c>
      <c r="W29" s="93">
        <f t="shared" si="13"/>
        <v>0.18982976105646954</v>
      </c>
      <c r="X29" s="93">
        <f t="shared" si="14"/>
        <v>0.5882479944969462</v>
      </c>
      <c r="Y29" s="93">
        <f t="shared" si="15"/>
        <v>0.588184814022917</v>
      </c>
      <c r="Z29" s="93">
        <f t="shared" si="16"/>
        <v>0.5882479944969462</v>
      </c>
      <c r="AA29" s="93">
        <f t="shared" si="17"/>
        <v>0.58831118175757069</v>
      </c>
      <c r="AB29" s="93">
        <f t="shared" si="18"/>
        <v>0.35604543976420666</v>
      </c>
      <c r="AC29" s="93">
        <f t="shared" si="19"/>
        <v>0.35597101697102024</v>
      </c>
      <c r="AD29" s="93">
        <f t="shared" si="20"/>
        <v>0.59356779345884914</v>
      </c>
      <c r="AE29" s="93">
        <f t="shared" si="21"/>
        <v>0.1089508229220231</v>
      </c>
      <c r="AF29" s="93">
        <f t="shared" si="22"/>
        <v>0.1089508229220231</v>
      </c>
      <c r="AG29" s="93">
        <f t="shared" si="23"/>
        <v>0.36114286345601443</v>
      </c>
      <c r="AH29" s="93">
        <f t="shared" si="24"/>
        <v>0.35589660973414083</v>
      </c>
      <c r="AI29" s="93">
        <f t="shared" si="25"/>
        <v>0.83696285512280766</v>
      </c>
      <c r="AJ29" s="93">
        <f t="shared" si="26"/>
        <v>0.35634328656507891</v>
      </c>
      <c r="AK29" s="93">
        <f t="shared" si="27"/>
        <v>0.14732286235321987</v>
      </c>
      <c r="AL29" s="93">
        <f t="shared" si="28"/>
        <v>0.10899972631831745</v>
      </c>
      <c r="AM29" s="93">
        <f t="shared" si="29"/>
        <v>0.45384855917291128</v>
      </c>
      <c r="AN29" s="93">
        <f t="shared" si="30"/>
        <v>2.3867630594852668E-2</v>
      </c>
      <c r="AO29" s="260">
        <f t="shared" si="39"/>
        <v>0.21944223681468505</v>
      </c>
      <c r="AP29" s="261">
        <f t="shared" si="40"/>
        <v>0.44875360167854844</v>
      </c>
      <c r="AQ29" s="262">
        <f t="shared" si="41"/>
        <v>0.8985179369211429</v>
      </c>
      <c r="AR29" s="263">
        <f t="shared" si="42"/>
        <v>3.6033485624962204E-2</v>
      </c>
      <c r="AS29" s="260">
        <f t="shared" si="43"/>
        <v>3.1883147966541565E-3</v>
      </c>
      <c r="AT29" s="260">
        <f t="shared" si="38"/>
        <v>0.99681168520334584</v>
      </c>
    </row>
    <row r="30" spans="2:46" ht="12" customHeight="1">
      <c r="B30" s="79">
        <v>29</v>
      </c>
      <c r="C30" s="96" t="s">
        <v>44</v>
      </c>
      <c r="D30" s="52" t="s">
        <v>220</v>
      </c>
      <c r="E30" s="282">
        <f>CM!N31</f>
        <v>8.2089255836935925E-5</v>
      </c>
      <c r="F30" s="216"/>
      <c r="G30" s="218">
        <f t="shared" si="36"/>
        <v>5.6634304207119746</v>
      </c>
      <c r="H30" s="215">
        <f t="shared" si="37"/>
        <v>1166.6666666666667</v>
      </c>
      <c r="I30" s="92">
        <v>28000</v>
      </c>
      <c r="J30" s="93">
        <f t="shared" si="0"/>
        <v>0.8385236963843743</v>
      </c>
      <c r="K30" s="93">
        <f t="shared" si="1"/>
        <v>0.43782154500337467</v>
      </c>
      <c r="L30" s="93">
        <f t="shared" si="2"/>
        <v>0.47621376242291918</v>
      </c>
      <c r="M30" s="93">
        <f t="shared" si="3"/>
        <v>0.83199445906596781</v>
      </c>
      <c r="N30" s="93">
        <f t="shared" si="4"/>
        <v>0.38013389453676477</v>
      </c>
      <c r="O30" s="93">
        <f t="shared" si="5"/>
        <v>8.9783486043183092E-2</v>
      </c>
      <c r="P30" s="93">
        <f t="shared" si="6"/>
        <v>0.83094210916662825</v>
      </c>
      <c r="Q30" s="93">
        <f t="shared" si="7"/>
        <v>0.57705759147382307</v>
      </c>
      <c r="R30" s="93">
        <f t="shared" si="8"/>
        <v>0.83699883891934157</v>
      </c>
      <c r="S30" s="93">
        <f t="shared" si="9"/>
        <v>0.40651198003738193</v>
      </c>
      <c r="T30" s="93">
        <f t="shared" si="10"/>
        <v>0.77584058911466391</v>
      </c>
      <c r="U30" s="93">
        <f t="shared" si="11"/>
        <v>0.57212917818778775</v>
      </c>
      <c r="V30" s="93">
        <f t="shared" si="12"/>
        <v>3.0333321273620116E-5</v>
      </c>
      <c r="W30" s="93">
        <f t="shared" si="13"/>
        <v>0.17849952015474618</v>
      </c>
      <c r="X30" s="93">
        <f t="shared" si="14"/>
        <v>0.57680053862667724</v>
      </c>
      <c r="Y30" s="93">
        <f t="shared" si="15"/>
        <v>0.57673629330834042</v>
      </c>
      <c r="Z30" s="93">
        <f t="shared" si="16"/>
        <v>0.57680053862667724</v>
      </c>
      <c r="AA30" s="93">
        <f t="shared" si="17"/>
        <v>0.57686479110159661</v>
      </c>
      <c r="AB30" s="93">
        <f t="shared" si="18"/>
        <v>0.3426845444651932</v>
      </c>
      <c r="AC30" s="93">
        <f t="shared" si="19"/>
        <v>0.34261026177193177</v>
      </c>
      <c r="AD30" s="93">
        <f t="shared" si="20"/>
        <v>0.58221091160435023</v>
      </c>
      <c r="AE30" s="93">
        <f t="shared" si="21"/>
        <v>0.10036271142383565</v>
      </c>
      <c r="AF30" s="93">
        <f t="shared" si="22"/>
        <v>0.10036271142383565</v>
      </c>
      <c r="AG30" s="93">
        <f t="shared" si="23"/>
        <v>0.34777373478236573</v>
      </c>
      <c r="AH30" s="93">
        <f t="shared" si="24"/>
        <v>0.34253599518070532</v>
      </c>
      <c r="AI30" s="93">
        <f t="shared" si="25"/>
        <v>0.83146400002068377</v>
      </c>
      <c r="AJ30" s="93">
        <f t="shared" si="26"/>
        <v>0.34298183632842277</v>
      </c>
      <c r="AK30" s="93">
        <f t="shared" si="27"/>
        <v>0.13723514290826139</v>
      </c>
      <c r="AL30" s="93">
        <f t="shared" si="28"/>
        <v>0.10040942883506232</v>
      </c>
      <c r="AM30" s="93">
        <f t="shared" si="29"/>
        <v>0.44076181177921314</v>
      </c>
      <c r="AN30" s="93">
        <f t="shared" si="30"/>
        <v>2.0783953916493472E-2</v>
      </c>
      <c r="AO30" s="260">
        <f t="shared" si="39"/>
        <v>0.20563690328939616</v>
      </c>
      <c r="AP30" s="261">
        <f t="shared" si="40"/>
        <v>0.43431376337882838</v>
      </c>
      <c r="AQ30" s="262">
        <f t="shared" si="41"/>
        <v>0.8929054570101973</v>
      </c>
      <c r="AR30" s="263">
        <f t="shared" si="42"/>
        <v>3.1154149015143188E-2</v>
      </c>
      <c r="AS30" s="260">
        <f t="shared" si="43"/>
        <v>2.4844257252335162E-3</v>
      </c>
      <c r="AT30" s="260">
        <f t="shared" si="38"/>
        <v>0.99751557427476645</v>
      </c>
    </row>
    <row r="31" spans="2:46" ht="12" customHeight="1">
      <c r="B31" s="79">
        <v>30</v>
      </c>
      <c r="C31" s="96" t="s">
        <v>45</v>
      </c>
      <c r="D31" s="52" t="s">
        <v>221</v>
      </c>
      <c r="E31" s="282">
        <f>CM!N32</f>
        <v>2.9258952099681142E-5</v>
      </c>
      <c r="F31" s="216"/>
      <c r="G31" s="218">
        <f t="shared" si="36"/>
        <v>5.8656957928802589</v>
      </c>
      <c r="H31" s="215">
        <f t="shared" si="37"/>
        <v>1208.3333333333333</v>
      </c>
      <c r="I31" s="92">
        <v>29000</v>
      </c>
      <c r="J31" s="93">
        <f t="shared" si="0"/>
        <v>0.83326616037863255</v>
      </c>
      <c r="K31" s="93">
        <f t="shared" si="1"/>
        <v>0.42509530890446812</v>
      </c>
      <c r="L31" s="93">
        <f t="shared" si="2"/>
        <v>0.46376168865839773</v>
      </c>
      <c r="M31" s="93">
        <f t="shared" si="3"/>
        <v>0.82654707309419539</v>
      </c>
      <c r="N31" s="93">
        <f t="shared" si="4"/>
        <v>0.36722676818344152</v>
      </c>
      <c r="O31" s="93">
        <f t="shared" si="5"/>
        <v>8.2377882294273161E-2</v>
      </c>
      <c r="P31" s="93">
        <f t="shared" si="6"/>
        <v>0.82546429995025383</v>
      </c>
      <c r="Q31" s="93">
        <f t="shared" si="7"/>
        <v>0.56583690757986105</v>
      </c>
      <c r="R31" s="93">
        <f t="shared" si="8"/>
        <v>0.83169679701343668</v>
      </c>
      <c r="S31" s="93">
        <f t="shared" si="9"/>
        <v>0.39365129347743238</v>
      </c>
      <c r="T31" s="93">
        <f t="shared" si="10"/>
        <v>0.76883969895792936</v>
      </c>
      <c r="U31" s="93">
        <f t="shared" si="11"/>
        <v>0.56083249880555441</v>
      </c>
      <c r="V31" s="93">
        <f t="shared" si="12"/>
        <v>2.0919917315748254E-5</v>
      </c>
      <c r="W31" s="93">
        <f t="shared" si="13"/>
        <v>0.16784553969910171</v>
      </c>
      <c r="X31" s="93">
        <f t="shared" si="14"/>
        <v>0.56557585316468451</v>
      </c>
      <c r="Y31" s="93">
        <f t="shared" si="15"/>
        <v>0.56551060838181411</v>
      </c>
      <c r="Z31" s="93">
        <f t="shared" si="16"/>
        <v>0.56557585316468451</v>
      </c>
      <c r="AA31" s="93">
        <f t="shared" si="17"/>
        <v>0.56564110547505575</v>
      </c>
      <c r="AB31" s="93">
        <f t="shared" si="18"/>
        <v>0.32982502765121074</v>
      </c>
      <c r="AC31" s="93">
        <f t="shared" si="19"/>
        <v>0.32975097936410847</v>
      </c>
      <c r="AD31" s="93">
        <f t="shared" si="20"/>
        <v>0.57107132382624559</v>
      </c>
      <c r="AE31" s="93">
        <f t="shared" si="21"/>
        <v>9.2451562771152226E-2</v>
      </c>
      <c r="AF31" s="93">
        <f t="shared" si="22"/>
        <v>9.2451562771152226E-2</v>
      </c>
      <c r="AG31" s="93">
        <f t="shared" si="23"/>
        <v>0.33489951718014782</v>
      </c>
      <c r="AH31" s="93">
        <f t="shared" si="24"/>
        <v>0.3296769477014232</v>
      </c>
      <c r="AI31" s="93">
        <f t="shared" si="25"/>
        <v>0.82600127245665667</v>
      </c>
      <c r="AJ31" s="93">
        <f t="shared" si="26"/>
        <v>0.33012138711846628</v>
      </c>
      <c r="AK31" s="93">
        <f t="shared" si="27"/>
        <v>0.12783816542944942</v>
      </c>
      <c r="AL31" s="93">
        <f t="shared" si="28"/>
        <v>9.2496134986066958E-2</v>
      </c>
      <c r="AM31" s="93">
        <f t="shared" si="29"/>
        <v>0.42805242144413064</v>
      </c>
      <c r="AN31" s="93">
        <f t="shared" si="30"/>
        <v>1.8098685526668244E-2</v>
      </c>
      <c r="AO31" s="260">
        <f t="shared" si="39"/>
        <v>0.1926736117761908</v>
      </c>
      <c r="AP31" s="261">
        <f t="shared" si="40"/>
        <v>0.42029337551856927</v>
      </c>
      <c r="AQ31" s="262">
        <f t="shared" si="41"/>
        <v>0.8872574008150953</v>
      </c>
      <c r="AR31" s="263">
        <f t="shared" si="42"/>
        <v>2.693039631841344E-2</v>
      </c>
      <c r="AS31" s="260">
        <f t="shared" si="43"/>
        <v>1.9349384677752434E-3</v>
      </c>
      <c r="AT31" s="260">
        <f t="shared" si="38"/>
        <v>0.99806506153222474</v>
      </c>
    </row>
    <row r="32" spans="2:46" ht="12" customHeight="1">
      <c r="B32" s="79">
        <v>31</v>
      </c>
      <c r="C32" s="96" t="s">
        <v>48</v>
      </c>
      <c r="D32" s="53" t="s">
        <v>442</v>
      </c>
      <c r="E32" s="282">
        <f>CM!N33</f>
        <v>1.3834192986839764E-4</v>
      </c>
      <c r="F32" s="216"/>
      <c r="G32" s="226">
        <f t="shared" si="36"/>
        <v>6.0679611650485441</v>
      </c>
      <c r="H32" s="227">
        <f t="shared" si="37"/>
        <v>1250</v>
      </c>
      <c r="I32" s="228">
        <v>30000</v>
      </c>
      <c r="J32" s="93">
        <f t="shared" si="0"/>
        <v>0.82804158907617942</v>
      </c>
      <c r="K32" s="93">
        <f t="shared" si="1"/>
        <v>0.41273898855569646</v>
      </c>
      <c r="L32" s="93">
        <f t="shared" si="2"/>
        <v>0.45163521266796874</v>
      </c>
      <c r="M32" s="93">
        <f t="shared" si="3"/>
        <v>0.82113535324207332</v>
      </c>
      <c r="N32" s="93">
        <f t="shared" si="4"/>
        <v>0.35475789243890354</v>
      </c>
      <c r="O32" s="93">
        <f t="shared" si="5"/>
        <v>7.5583114338256083E-2</v>
      </c>
      <c r="P32" s="93">
        <f t="shared" si="6"/>
        <v>0.82002260202668786</v>
      </c>
      <c r="Q32" s="93">
        <f t="shared" si="7"/>
        <v>0.55483440597638189</v>
      </c>
      <c r="R32" s="93">
        <f t="shared" si="8"/>
        <v>0.82642834135289411</v>
      </c>
      <c r="S32" s="93">
        <f t="shared" si="9"/>
        <v>0.38119747625200551</v>
      </c>
      <c r="T32" s="93">
        <f t="shared" si="10"/>
        <v>0.76190198216911886</v>
      </c>
      <c r="U32" s="93">
        <f t="shared" si="11"/>
        <v>0.54975887213576813</v>
      </c>
      <c r="V32" s="93">
        <f t="shared" si="12"/>
        <v>1.4427794983279562E-5</v>
      </c>
      <c r="W32" s="93">
        <f t="shared" si="13"/>
        <v>0.15782745618845095</v>
      </c>
      <c r="X32" s="93">
        <f t="shared" si="14"/>
        <v>0.55456960294205648</v>
      </c>
      <c r="Y32" s="93">
        <f t="shared" si="15"/>
        <v>0.55450342193289681</v>
      </c>
      <c r="Z32" s="93">
        <f t="shared" si="16"/>
        <v>0.55456960294205648</v>
      </c>
      <c r="AA32" s="93">
        <f t="shared" si="17"/>
        <v>0.55463579185004197</v>
      </c>
      <c r="AB32" s="93">
        <f t="shared" si="18"/>
        <v>0.31744807468599245</v>
      </c>
      <c r="AC32" s="93">
        <f t="shared" si="19"/>
        <v>0.31737434783541801</v>
      </c>
      <c r="AD32" s="93">
        <f t="shared" si="20"/>
        <v>0.56014487258232948</v>
      </c>
      <c r="AE32" s="93">
        <f t="shared" si="21"/>
        <v>8.5164014976964464E-2</v>
      </c>
      <c r="AF32" s="93">
        <f t="shared" si="22"/>
        <v>8.5164014976964464E-2</v>
      </c>
      <c r="AG32" s="93">
        <f t="shared" si="23"/>
        <v>0.32250188956242931</v>
      </c>
      <c r="AH32" s="93">
        <f t="shared" si="24"/>
        <v>0.31730063810779657</v>
      </c>
      <c r="AI32" s="93">
        <f t="shared" si="25"/>
        <v>0.82057443507240657</v>
      </c>
      <c r="AJ32" s="93">
        <f t="shared" si="26"/>
        <v>0.31774315339738918</v>
      </c>
      <c r="AK32" s="93">
        <f t="shared" si="27"/>
        <v>0.11908463236193036</v>
      </c>
      <c r="AL32" s="93">
        <f t="shared" si="28"/>
        <v>8.5206489934470997E-2</v>
      </c>
      <c r="AM32" s="93">
        <f t="shared" si="29"/>
        <v>0.41570950705676579</v>
      </c>
      <c r="AN32" s="93">
        <f t="shared" si="30"/>
        <v>1.5760351428285628E-2</v>
      </c>
      <c r="AO32" s="260">
        <f t="shared" si="39"/>
        <v>0.18050645052151312</v>
      </c>
      <c r="AP32" s="261">
        <f t="shared" si="40"/>
        <v>0.40668538340616833</v>
      </c>
      <c r="AQ32" s="262">
        <f t="shared" si="41"/>
        <v>0.88157962310229065</v>
      </c>
      <c r="AR32" s="263">
        <f t="shared" si="42"/>
        <v>2.3275396856900537E-2</v>
      </c>
      <c r="AS32" s="260">
        <f t="shared" si="43"/>
        <v>1.5062946309239518E-3</v>
      </c>
      <c r="AT32" s="260">
        <f t="shared" si="38"/>
        <v>0.998493705369076</v>
      </c>
    </row>
    <row r="33" spans="2:46" ht="12" customHeight="1">
      <c r="B33" s="99"/>
      <c r="C33" s="99"/>
      <c r="D33" s="217"/>
      <c r="E33" s="217"/>
      <c r="F33" s="217"/>
      <c r="G33" s="218">
        <f t="shared" si="36"/>
        <v>6.2702265372168284</v>
      </c>
      <c r="H33" s="215">
        <f t="shared" si="37"/>
        <v>1291.6666666666667</v>
      </c>
      <c r="I33" s="92">
        <v>31000</v>
      </c>
      <c r="J33" s="93">
        <f t="shared" si="0"/>
        <v>0.82284977578862273</v>
      </c>
      <c r="K33" s="93">
        <f t="shared" si="1"/>
        <v>0.4007418315506816</v>
      </c>
      <c r="L33" s="93">
        <f t="shared" si="2"/>
        <v>0.43982582069621284</v>
      </c>
      <c r="M33" s="93">
        <f t="shared" si="3"/>
        <v>0.81575906598987358</v>
      </c>
      <c r="N33" s="93">
        <f t="shared" si="4"/>
        <v>0.34271238687269379</v>
      </c>
      <c r="O33" s="93">
        <f t="shared" si="5"/>
        <v>6.9348798657659139E-2</v>
      </c>
      <c r="P33" s="93">
        <f t="shared" si="6"/>
        <v>0.81461677733990889</v>
      </c>
      <c r="Q33" s="93">
        <f t="shared" si="7"/>
        <v>0.54404584418473345</v>
      </c>
      <c r="R33" s="93">
        <f t="shared" si="8"/>
        <v>0.82119325918272312</v>
      </c>
      <c r="S33" s="93">
        <f t="shared" si="9"/>
        <v>0.36913765636903423</v>
      </c>
      <c r="T33" s="93">
        <f t="shared" si="10"/>
        <v>0.75502686869580715</v>
      </c>
      <c r="U33" s="93">
        <f t="shared" si="11"/>
        <v>0.53890389400700445</v>
      </c>
      <c r="V33" s="93">
        <f t="shared" si="12"/>
        <v>9.9503867504699009E-6</v>
      </c>
      <c r="W33" s="93">
        <f t="shared" si="13"/>
        <v>0.14840731527077164</v>
      </c>
      <c r="X33" s="93">
        <f t="shared" si="14"/>
        <v>0.54377753715337362</v>
      </c>
      <c r="Y33" s="93">
        <f t="shared" si="15"/>
        <v>0.54371048107323183</v>
      </c>
      <c r="Z33" s="93">
        <f t="shared" si="16"/>
        <v>0.54377753715337362</v>
      </c>
      <c r="AA33" s="93">
        <f t="shared" si="17"/>
        <v>0.54384460150357472</v>
      </c>
      <c r="AB33" s="93">
        <f t="shared" si="18"/>
        <v>0.30553557696783085</v>
      </c>
      <c r="AC33" s="93">
        <f t="shared" si="19"/>
        <v>0.30546225172158015</v>
      </c>
      <c r="AD33" s="93">
        <f t="shared" si="20"/>
        <v>0.54942747987769669</v>
      </c>
      <c r="AE33" s="93">
        <f t="shared" si="21"/>
        <v>7.8450912343687937E-2</v>
      </c>
      <c r="AF33" s="93">
        <f t="shared" si="22"/>
        <v>7.8450912343687937E-2</v>
      </c>
      <c r="AG33" s="93">
        <f t="shared" si="23"/>
        <v>0.31056320906963292</v>
      </c>
      <c r="AH33" s="93">
        <f t="shared" si="24"/>
        <v>0.30538894407259853</v>
      </c>
      <c r="AI33" s="93">
        <f t="shared" si="25"/>
        <v>0.81518325206906017</v>
      </c>
      <c r="AJ33" s="93">
        <f t="shared" si="26"/>
        <v>0.30582905401002208</v>
      </c>
      <c r="AK33" s="93">
        <f t="shared" si="27"/>
        <v>0.11093048478235801</v>
      </c>
      <c r="AL33" s="93">
        <f t="shared" si="28"/>
        <v>7.8491343752327927E-2</v>
      </c>
      <c r="AM33" s="93">
        <f t="shared" si="29"/>
        <v>0.40372250126363296</v>
      </c>
      <c r="AN33" s="93">
        <f t="shared" si="30"/>
        <v>1.3724128018969479E-2</v>
      </c>
      <c r="AO33" s="260">
        <f t="shared" si="39"/>
        <v>0.16909107513041188</v>
      </c>
      <c r="AP33" s="261">
        <f t="shared" si="40"/>
        <v>0.39348226576124185</v>
      </c>
      <c r="AQ33" s="262">
        <f t="shared" si="41"/>
        <v>0.87587760430450712</v>
      </c>
      <c r="AR33" s="263">
        <f t="shared" si="42"/>
        <v>2.0113495843522233E-2</v>
      </c>
      <c r="AS33" s="260">
        <f t="shared" si="43"/>
        <v>1.172132832006666E-3</v>
      </c>
      <c r="AT33" s="260">
        <f t="shared" si="38"/>
        <v>0.99882786716799332</v>
      </c>
    </row>
    <row r="34" spans="2:46" ht="12" customHeight="1">
      <c r="G34" s="218">
        <f t="shared" si="36"/>
        <v>6.4724919093851128</v>
      </c>
      <c r="H34" s="215">
        <f t="shared" si="37"/>
        <v>1333.3333333333333</v>
      </c>
      <c r="I34" s="92">
        <v>32000</v>
      </c>
      <c r="J34" s="93">
        <f t="shared" ref="J34:J65" si="44">EXP(-($E$2*$I34))</f>
        <v>0.81769051512350488</v>
      </c>
      <c r="K34" s="93">
        <f t="shared" ref="K34:K65" si="45">EXP(-($E$3*$I34))</f>
        <v>0.38909339802513893</v>
      </c>
      <c r="L34" s="93">
        <f t="shared" ref="L34:L65" si="46">EXP(-($E$4*$I34))</f>
        <v>0.42832522160603664</v>
      </c>
      <c r="M34" s="93">
        <f t="shared" ref="M34:M65" si="47">EXP(-($E$5*$I34))</f>
        <v>0.81041797934681092</v>
      </c>
      <c r="N34" s="93">
        <f t="shared" ref="N34:N65" si="48">EXP(-($E$6*$I34))</f>
        <v>0.33107587630684354</v>
      </c>
      <c r="O34" s="93">
        <f t="shared" ref="O34:O65" si="49">EXP(-($E$7*$I34))</f>
        <v>6.3628707514455513E-2</v>
      </c>
      <c r="P34" s="93">
        <f t="shared" ref="P34:P65" si="50">EXP(-($E$8*$I34))</f>
        <v>0.80924658940322924</v>
      </c>
      <c r="Q34" s="93">
        <f t="shared" ref="Q34:Q65" si="51">EXP(-($E$9*$I34))</f>
        <v>0.53346706221978379</v>
      </c>
      <c r="R34" s="93">
        <f t="shared" ref="R34:R65" si="52">EXP(-($E$10*$I34))</f>
        <v>0.81599133909564758</v>
      </c>
      <c r="S34" s="93">
        <f t="shared" ref="S34:S65" si="53">EXP(-($E$11*$I34))</f>
        <v>0.35745936906345488</v>
      </c>
      <c r="T34" s="93">
        <f t="shared" ref="T34:T65" si="54">EXP(-($E$12*$I34))</f>
        <v>0.74821379362950458</v>
      </c>
      <c r="U34" s="93">
        <f t="shared" ref="U34:U65" si="55">EXP(-($E$13*$I34))</f>
        <v>0.52826324720811668</v>
      </c>
      <c r="V34" s="93">
        <f t="shared" ref="V34:V65" si="56">EXP(-($E$14*$I34))</f>
        <v>6.8624621155672205E-6</v>
      </c>
      <c r="W34" s="93">
        <f t="shared" ref="W34:W65" si="57">EXP(-($E$15*$I34))</f>
        <v>0.1395494279498492</v>
      </c>
      <c r="X34" s="93">
        <f t="shared" ref="X34:X65" si="58">EXP(-($E$16*$I34))</f>
        <v>0.53319548771497283</v>
      </c>
      <c r="Y34" s="93">
        <f t="shared" ref="Y34:Y65" si="59">EXP(-($E$17*$I34))</f>
        <v>0.53312761569334333</v>
      </c>
      <c r="Z34" s="93">
        <f t="shared" ref="Z34:Z65" si="60">EXP(-($E$18*$I34))</f>
        <v>0.53319548771497283</v>
      </c>
      <c r="AA34" s="93">
        <f t="shared" ref="AA34:AA65" si="61">EXP(-($E$19*$I34))</f>
        <v>0.53326336837733157</v>
      </c>
      <c r="AB34" s="93">
        <f t="shared" ref="AB34:AB65" si="62">EXP(-($E$20*$I34))</f>
        <v>0.29407010543505585</v>
      </c>
      <c r="AC34" s="93">
        <f t="shared" ref="AC34:AC65" si="63">EXP(-($E$21*$I34))</f>
        <v>0.29399725549087125</v>
      </c>
      <c r="AD34" s="93">
        <f t="shared" ref="AD34:AD65" si="64">EXP(-($E$22*$I34))</f>
        <v>0.53891514574274391</v>
      </c>
      <c r="AE34" s="93">
        <f t="shared" ref="AE34:AE65" si="65">EXP(-($E$23*$I34))</f>
        <v>7.2266973899970791E-2</v>
      </c>
      <c r="AF34" s="93">
        <f t="shared" ref="AF34:AF65" si="66">EXP(-($E$24*$I34))</f>
        <v>7.2266973899970791E-2</v>
      </c>
      <c r="AG34" s="93">
        <f t="shared" ref="AG34:AG65" si="67">EXP(-($E$25*$I34))</f>
        <v>0.29906648596227214</v>
      </c>
      <c r="AH34" s="93">
        <f t="shared" ref="AH34:AH65" si="68">EXP(-($E$26*$I34))</f>
        <v>0.29392442359379262</v>
      </c>
      <c r="AI34" s="93">
        <f t="shared" ref="AI34:AI65" si="69">EXP(-($E$27*$I34))</f>
        <v>0.80982748919694536</v>
      </c>
      <c r="AJ34" s="93">
        <f t="shared" ref="AJ34:AJ65" si="70">EXP(-($E$28*$I34))</f>
        <v>0.29436168577230937</v>
      </c>
      <c r="AK34" s="93">
        <f t="shared" ref="AK34:AK65" si="71">EXP(-($E$29*$I34))</f>
        <v>0.10333468063829604</v>
      </c>
      <c r="AL34" s="93">
        <f t="shared" ref="AL34:AL65" si="72">EXP(-($E$30*$I34))</f>
        <v>7.2305420030612813E-2</v>
      </c>
      <c r="AM34" s="93">
        <f t="shared" ref="AM34:AM65" si="73">EXP(-($E$31*$I34))</f>
        <v>0.39208114142144773</v>
      </c>
      <c r="AN34" s="93">
        <f t="shared" ref="AN34:AN65" si="74">EXP(-($E$32*$I34))</f>
        <v>1.1950982865967184E-2</v>
      </c>
      <c r="AO34" s="260">
        <f t="shared" si="39"/>
        <v>0.15838482229645465</v>
      </c>
      <c r="AP34" s="261">
        <f t="shared" si="40"/>
        <v>0.38067611162196097</v>
      </c>
      <c r="AQ34" s="262">
        <f t="shared" si="41"/>
        <v>0.87015647005434438</v>
      </c>
      <c r="AR34" s="263">
        <f t="shared" si="42"/>
        <v>1.7378864533465727E-2</v>
      </c>
      <c r="AS34" s="260">
        <f t="shared" si="43"/>
        <v>9.1177554137780151E-4</v>
      </c>
      <c r="AT34" s="260">
        <f t="shared" si="38"/>
        <v>0.99908822445862222</v>
      </c>
    </row>
    <row r="35" spans="2:46" ht="12" customHeight="1">
      <c r="G35" s="218">
        <f t="shared" si="36"/>
        <v>6.674757281553398</v>
      </c>
      <c r="H35" s="215">
        <f t="shared" si="37"/>
        <v>1375</v>
      </c>
      <c r="I35" s="92">
        <v>33000</v>
      </c>
      <c r="J35" s="93">
        <f t="shared" si="44"/>
        <v>0.81256360297617702</v>
      </c>
      <c r="K35" s="93">
        <f t="shared" si="45"/>
        <v>0.37778355157216098</v>
      </c>
      <c r="L35" s="93">
        <f t="shared" si="46"/>
        <v>0.41712534105763127</v>
      </c>
      <c r="M35" s="93">
        <f t="shared" si="47"/>
        <v>0.80511186284103275</v>
      </c>
      <c r="N35" s="93">
        <f t="shared" si="48"/>
        <v>0.31983447366044954</v>
      </c>
      <c r="O35" s="93">
        <f t="shared" si="49"/>
        <v>5.8380426169256823E-2</v>
      </c>
      <c r="P35" s="93">
        <f t="shared" si="50"/>
        <v>0.80391180328894929</v>
      </c>
      <c r="Q35" s="93">
        <f t="shared" si="51"/>
        <v>0.52309398098586279</v>
      </c>
      <c r="R35" s="93">
        <f t="shared" si="52"/>
        <v>0.81082237102356935</v>
      </c>
      <c r="S35" s="93">
        <f t="shared" si="53"/>
        <v>0.34615054391389921</v>
      </c>
      <c r="T35" s="93">
        <f t="shared" si="54"/>
        <v>0.74146219715924089</v>
      </c>
      <c r="U35" s="93">
        <f t="shared" si="55"/>
        <v>0.51783269977120749</v>
      </c>
      <c r="V35" s="93">
        <f t="shared" si="56"/>
        <v>4.7328196851616215E-6</v>
      </c>
      <c r="W35" s="93">
        <f t="shared" si="57"/>
        <v>0.13122023537451258</v>
      </c>
      <c r="X35" s="93">
        <f t="shared" si="58"/>
        <v>0.52281936765516124</v>
      </c>
      <c r="Y35" s="93">
        <f t="shared" si="59"/>
        <v>0.52275073685141471</v>
      </c>
      <c r="Z35" s="93">
        <f t="shared" si="60"/>
        <v>0.52281936765516124</v>
      </c>
      <c r="AA35" s="93">
        <f t="shared" si="61"/>
        <v>0.52288800746929631</v>
      </c>
      <c r="AB35" s="93">
        <f t="shared" si="62"/>
        <v>0.28303488506574104</v>
      </c>
      <c r="AC35" s="93">
        <f t="shared" si="63"/>
        <v>0.28296257802403352</v>
      </c>
      <c r="AD35" s="93">
        <f t="shared" si="64"/>
        <v>0.5286039467402921</v>
      </c>
      <c r="AE35" s="93">
        <f t="shared" si="65"/>
        <v>6.6570487973161896E-2</v>
      </c>
      <c r="AF35" s="93">
        <f t="shared" si="66"/>
        <v>6.6570487973161896E-2</v>
      </c>
      <c r="AG35" s="93">
        <f t="shared" si="67"/>
        <v>0.28799535944313343</v>
      </c>
      <c r="AH35" s="93">
        <f t="shared" si="68"/>
        <v>0.28289028945463657</v>
      </c>
      <c r="AI35" s="93">
        <f t="shared" si="69"/>
        <v>0.80450691374541294</v>
      </c>
      <c r="AJ35" s="93">
        <f t="shared" si="70"/>
        <v>0.28332429805010056</v>
      </c>
      <c r="AK35" s="93">
        <f t="shared" si="71"/>
        <v>9.6258988172355259E-2</v>
      </c>
      <c r="AL35" s="93">
        <f t="shared" si="72"/>
        <v>6.6607010606163669E-2</v>
      </c>
      <c r="AM35" s="93">
        <f t="shared" si="73"/>
        <v>0.38077546081079178</v>
      </c>
      <c r="AN35" s="93">
        <f t="shared" si="74"/>
        <v>1.0406926492176933E-2</v>
      </c>
      <c r="AO35" s="260">
        <f t="shared" si="39"/>
        <v>0.14834678495275944</v>
      </c>
      <c r="AP35" s="261">
        <f t="shared" si="40"/>
        <v>0.36825869107323339</v>
      </c>
      <c r="AQ35" s="262">
        <f t="shared" si="41"/>
        <v>0.86442101007156236</v>
      </c>
      <c r="AR35" s="263">
        <f t="shared" si="42"/>
        <v>1.5014287999111442E-2</v>
      </c>
      <c r="AS35" s="260">
        <f t="shared" si="43"/>
        <v>7.0902443067783741E-4</v>
      </c>
      <c r="AT35" s="260">
        <f t="shared" si="38"/>
        <v>0.99929097556932212</v>
      </c>
    </row>
    <row r="36" spans="2:46" ht="12" customHeight="1">
      <c r="G36" s="218">
        <f t="shared" si="36"/>
        <v>6.8770226537216832</v>
      </c>
      <c r="H36" s="215">
        <f t="shared" si="37"/>
        <v>1416.6666666666667</v>
      </c>
      <c r="I36" s="92">
        <v>34000</v>
      </c>
      <c r="J36" s="93">
        <f t="shared" si="44"/>
        <v>0.80746883652172474</v>
      </c>
      <c r="K36" s="93">
        <f t="shared" si="45"/>
        <v>0.3668024504215685</v>
      </c>
      <c r="L36" s="93">
        <f t="shared" si="46"/>
        <v>0.40621831583964108</v>
      </c>
      <c r="M36" s="93">
        <f t="shared" si="47"/>
        <v>0.79984048750967374</v>
      </c>
      <c r="N36" s="93">
        <f t="shared" si="48"/>
        <v>0.30897476337674895</v>
      </c>
      <c r="O36" s="93">
        <f t="shared" si="49"/>
        <v>5.3565038374066266E-2</v>
      </c>
      <c r="P36" s="93">
        <f t="shared" si="50"/>
        <v>0.79861218561808067</v>
      </c>
      <c r="Q36" s="93">
        <f t="shared" si="51"/>
        <v>0.51292260070389528</v>
      </c>
      <c r="R36" s="93">
        <f t="shared" si="52"/>
        <v>0.80568614622908497</v>
      </c>
      <c r="S36" s="93">
        <f t="shared" si="53"/>
        <v>0.33519949236697238</v>
      </c>
      <c r="T36" s="93">
        <f t="shared" si="54"/>
        <v>0.73477152452556704</v>
      </c>
      <c r="U36" s="93">
        <f t="shared" si="55"/>
        <v>0.50760810328850259</v>
      </c>
      <c r="V36" s="93">
        <f t="shared" si="56"/>
        <v>3.2640737092654826E-6</v>
      </c>
      <c r="W36" s="93">
        <f t="shared" si="57"/>
        <v>0.1233881816981041</v>
      </c>
      <c r="X36" s="93">
        <f t="shared" si="58"/>
        <v>0.51264516953575656</v>
      </c>
      <c r="Y36" s="93">
        <f t="shared" si="59"/>
        <v>0.51257583519342931</v>
      </c>
      <c r="Z36" s="93">
        <f t="shared" si="60"/>
        <v>0.51264516953575656</v>
      </c>
      <c r="AA36" s="93">
        <f t="shared" si="61"/>
        <v>0.51271451325669815</v>
      </c>
      <c r="AB36" s="93">
        <f t="shared" si="62"/>
        <v>0.27241377033432901</v>
      </c>
      <c r="AC36" s="93">
        <f t="shared" si="63"/>
        <v>0.27234206805203809</v>
      </c>
      <c r="AD36" s="93">
        <f t="shared" si="64"/>
        <v>0.5184900345012724</v>
      </c>
      <c r="AE36" s="93">
        <f t="shared" si="65"/>
        <v>6.1323030837281044E-2</v>
      </c>
      <c r="AF36" s="93">
        <f t="shared" si="66"/>
        <v>6.1323030837281044E-2</v>
      </c>
      <c r="AG36" s="93">
        <f t="shared" si="67"/>
        <v>0.27733407437449498</v>
      </c>
      <c r="AH36" s="93">
        <f t="shared" si="68"/>
        <v>0.27227038464257164</v>
      </c>
      <c r="AI36" s="93">
        <f t="shared" si="69"/>
        <v>0.79922129453272539</v>
      </c>
      <c r="AJ36" s="93">
        <f t="shared" si="70"/>
        <v>0.27270076829113432</v>
      </c>
      <c r="AK36" s="93">
        <f t="shared" si="71"/>
        <v>8.9667793491314124E-2</v>
      </c>
      <c r="AL36" s="93">
        <f t="shared" si="72"/>
        <v>6.1357694347273929E-2</v>
      </c>
      <c r="AM36" s="93">
        <f t="shared" si="73"/>
        <v>0.36979578010313235</v>
      </c>
      <c r="AN36" s="93">
        <f t="shared" si="74"/>
        <v>9.0623608307557474E-3</v>
      </c>
      <c r="AO36" s="260">
        <f t="shared" si="39"/>
        <v>0.1389378556926065</v>
      </c>
      <c r="AP36" s="261">
        <f t="shared" si="40"/>
        <v>0.35622151982825428</v>
      </c>
      <c r="AQ36" s="262">
        <f t="shared" si="41"/>
        <v>0.85867569632269436</v>
      </c>
      <c r="AR36" s="263">
        <f t="shared" si="42"/>
        <v>1.2970084322804521E-2</v>
      </c>
      <c r="AS36" s="260">
        <f t="shared" si="43"/>
        <v>5.5120444945765622E-4</v>
      </c>
      <c r="AT36" s="260">
        <f t="shared" si="38"/>
        <v>0.99944879555054233</v>
      </c>
    </row>
    <row r="37" spans="2:46" ht="12" customHeight="1">
      <c r="G37" s="218">
        <f t="shared" si="36"/>
        <v>7.0792880258899675</v>
      </c>
      <c r="H37" s="215">
        <f t="shared" si="37"/>
        <v>1458.3333333333333</v>
      </c>
      <c r="I37" s="92">
        <v>35000</v>
      </c>
      <c r="J37" s="93">
        <f t="shared" si="44"/>
        <v>0.80240601420694391</v>
      </c>
      <c r="K37" s="93">
        <f t="shared" si="45"/>
        <v>0.35614053887565239</v>
      </c>
      <c r="L37" s="93">
        <f t="shared" si="46"/>
        <v>0.39559648834856004</v>
      </c>
      <c r="M37" s="93">
        <f t="shared" si="47"/>
        <v>0.79460362588897593</v>
      </c>
      <c r="N37" s="93">
        <f t="shared" si="48"/>
        <v>0.29848378541291432</v>
      </c>
      <c r="O37" s="93">
        <f t="shared" si="49"/>
        <v>4.9146837806506485E-2</v>
      </c>
      <c r="P37" s="93">
        <f t="shared" si="50"/>
        <v>0.79334750455013581</v>
      </c>
      <c r="Q37" s="93">
        <f t="shared" si="51"/>
        <v>0.50294899936911686</v>
      </c>
      <c r="R37" s="93">
        <f t="shared" si="52"/>
        <v>0.80058245729705613</v>
      </c>
      <c r="S37" s="93">
        <f t="shared" si="53"/>
        <v>0.32459489565622007</v>
      </c>
      <c r="T37" s="93">
        <f t="shared" si="54"/>
        <v>0.72814122597497188</v>
      </c>
      <c r="U37" s="93">
        <f t="shared" si="55"/>
        <v>0.49758539126245793</v>
      </c>
      <c r="V37" s="93">
        <f t="shared" si="56"/>
        <v>2.2511267887346729E-6</v>
      </c>
      <c r="W37" s="93">
        <f t="shared" si="57"/>
        <v>0.11602359452650009</v>
      </c>
      <c r="X37" s="93">
        <f t="shared" si="58"/>
        <v>0.50266896390434479</v>
      </c>
      <c r="Y37" s="93">
        <f t="shared" si="59"/>
        <v>0.5025989794040604</v>
      </c>
      <c r="Z37" s="93">
        <f t="shared" si="60"/>
        <v>0.50266896390434479</v>
      </c>
      <c r="AA37" s="93">
        <f t="shared" si="61"/>
        <v>0.50273895814963554</v>
      </c>
      <c r="AB37" s="93">
        <f t="shared" si="62"/>
        <v>0.26219122158926744</v>
      </c>
      <c r="AC37" s="93">
        <f t="shared" si="63"/>
        <v>0.26212018051574737</v>
      </c>
      <c r="AD37" s="93">
        <f t="shared" si="64"/>
        <v>0.50856963428842927</v>
      </c>
      <c r="AE37" s="93">
        <f t="shared" si="65"/>
        <v>5.6489207538724738E-2</v>
      </c>
      <c r="AF37" s="93">
        <f t="shared" si="66"/>
        <v>5.6489207538724738E-2</v>
      </c>
      <c r="AG37" s="93">
        <f t="shared" si="67"/>
        <v>0.26706745885724981</v>
      </c>
      <c r="AH37" s="93">
        <f t="shared" si="68"/>
        <v>0.26204915869090434</v>
      </c>
      <c r="AI37" s="93">
        <f t="shared" si="69"/>
        <v>0.79397040189601154</v>
      </c>
      <c r="AJ37" s="93">
        <f t="shared" si="70"/>
        <v>0.26247557847447572</v>
      </c>
      <c r="AK37" s="93">
        <f t="shared" si="71"/>
        <v>8.3527921311664755E-2</v>
      </c>
      <c r="AL37" s="93">
        <f t="shared" si="72"/>
        <v>5.6522078101867379E-2</v>
      </c>
      <c r="AM37" s="93">
        <f t="shared" si="73"/>
        <v>0.35913269907389089</v>
      </c>
      <c r="AN37" s="93">
        <f t="shared" si="74"/>
        <v>7.8915118588136386E-3</v>
      </c>
      <c r="AO37" s="260">
        <f t="shared" si="39"/>
        <v>0.13012074427539641</v>
      </c>
      <c r="AP37" s="261">
        <f t="shared" si="40"/>
        <v>0.34455591781327355</v>
      </c>
      <c r="AQ37" s="262">
        <f t="shared" si="41"/>
        <v>0.85292470040999735</v>
      </c>
      <c r="AR37" s="263">
        <f t="shared" si="42"/>
        <v>1.120314643302296E-2</v>
      </c>
      <c r="AS37" s="260">
        <f t="shared" si="43"/>
        <v>4.2840739248239219E-4</v>
      </c>
      <c r="AT37" s="260">
        <f t="shared" si="38"/>
        <v>0.9995715926075176</v>
      </c>
    </row>
    <row r="38" spans="2:46" ht="12" customHeight="1">
      <c r="G38" s="218">
        <f t="shared" si="36"/>
        <v>7.2815533980582527</v>
      </c>
      <c r="H38" s="215">
        <f t="shared" si="37"/>
        <v>1500</v>
      </c>
      <c r="I38" s="92">
        <v>36000</v>
      </c>
      <c r="J38" s="93">
        <f t="shared" si="44"/>
        <v>0.79737493574236729</v>
      </c>
      <c r="K38" s="93">
        <f t="shared" si="45"/>
        <v>0.34578853899385481</v>
      </c>
      <c r="L38" s="93">
        <f t="shared" si="46"/>
        <v>0.38525240121248272</v>
      </c>
      <c r="M38" s="93">
        <f t="shared" si="47"/>
        <v>0.78940105200447386</v>
      </c>
      <c r="N38" s="93">
        <f t="shared" si="48"/>
        <v>0.28834901977346117</v>
      </c>
      <c r="O38" s="93">
        <f t="shared" si="49"/>
        <v>4.5093063305793983E-2</v>
      </c>
      <c r="P38" s="93">
        <f t="shared" si="50"/>
        <v>0.78811752977298688</v>
      </c>
      <c r="Q38" s="93">
        <f t="shared" si="51"/>
        <v>0.49316933123878032</v>
      </c>
      <c r="R38" s="93">
        <f t="shared" si="52"/>
        <v>0.79551109812623377</v>
      </c>
      <c r="S38" s="93">
        <f t="shared" si="53"/>
        <v>0.31432579310330078</v>
      </c>
      <c r="T38" s="93">
        <f t="shared" si="54"/>
        <v>0.7215707567147106</v>
      </c>
      <c r="U38" s="93">
        <f t="shared" si="55"/>
        <v>0.48776057748844315</v>
      </c>
      <c r="V38" s="93">
        <f t="shared" si="56"/>
        <v>1.5525298355162578E-6</v>
      </c>
      <c r="W38" s="93">
        <f t="shared" si="57"/>
        <v>0.10909857250174991</v>
      </c>
      <c r="X38" s="93">
        <f t="shared" si="58"/>
        <v>0.49288689777665701</v>
      </c>
      <c r="Y38" s="93">
        <f t="shared" si="59"/>
        <v>0.49281631468771447</v>
      </c>
      <c r="Z38" s="93">
        <f t="shared" si="60"/>
        <v>0.49288689777665701</v>
      </c>
      <c r="AA38" s="93">
        <f t="shared" si="61"/>
        <v>0.49295749097478692</v>
      </c>
      <c r="AB38" s="93">
        <f t="shared" si="62"/>
        <v>0.25235228231709306</v>
      </c>
      <c r="AC38" s="93">
        <f t="shared" si="63"/>
        <v>0.25228195381287821</v>
      </c>
      <c r="AD38" s="93">
        <f t="shared" si="64"/>
        <v>0.49883904358750403</v>
      </c>
      <c r="AE38" s="93">
        <f t="shared" si="65"/>
        <v>5.2036413151535628E-2</v>
      </c>
      <c r="AF38" s="93">
        <f t="shared" si="66"/>
        <v>5.2036413151535628E-2</v>
      </c>
      <c r="AG38" s="93">
        <f t="shared" si="67"/>
        <v>0.2571809026400263</v>
      </c>
      <c r="AH38" s="93">
        <f t="shared" si="68"/>
        <v>0.25221164490863868</v>
      </c>
      <c r="AI38" s="93">
        <f t="shared" si="69"/>
        <v>0.78875400768128778</v>
      </c>
      <c r="AJ38" s="93">
        <f t="shared" si="70"/>
        <v>0.25263379244300593</v>
      </c>
      <c r="AK38" s="93">
        <f t="shared" si="71"/>
        <v>7.7808467979347512E-2</v>
      </c>
      <c r="AL38" s="93">
        <f t="shared" si="72"/>
        <v>5.2067558061616365E-2</v>
      </c>
      <c r="AM38" s="93">
        <f t="shared" si="73"/>
        <v>0.34877708855446549</v>
      </c>
      <c r="AN38" s="93">
        <f t="shared" si="74"/>
        <v>6.8719355343306032E-3</v>
      </c>
      <c r="AO38" s="260">
        <f t="shared" si="39"/>
        <v>0.12185997414608629</v>
      </c>
      <c r="AP38" s="261">
        <f t="shared" si="40"/>
        <v>0.33325306198916355</v>
      </c>
      <c r="AQ38" s="262">
        <f t="shared" si="41"/>
        <v>0.84717191017341031</v>
      </c>
      <c r="AR38" s="263">
        <f t="shared" si="42"/>
        <v>9.6760965149404535E-3</v>
      </c>
      <c r="AS38" s="260">
        <f t="shared" si="43"/>
        <v>3.3289476766194901E-4</v>
      </c>
      <c r="AT38" s="260">
        <f t="shared" si="38"/>
        <v>0.99966710523233804</v>
      </c>
    </row>
    <row r="39" spans="2:46" ht="12" customHeight="1">
      <c r="G39" s="218">
        <f t="shared" si="36"/>
        <v>7.483818770226538</v>
      </c>
      <c r="H39" s="273">
        <f t="shared" si="37"/>
        <v>1541.6666666666667</v>
      </c>
      <c r="I39" s="92">
        <v>37000</v>
      </c>
      <c r="J39" s="93">
        <f t="shared" si="44"/>
        <v>0.79237540209434054</v>
      </c>
      <c r="K39" s="93">
        <f t="shared" si="45"/>
        <v>0.33573744251915344</v>
      </c>
      <c r="L39" s="93">
        <f t="shared" si="46"/>
        <v>0.37517879205543248</v>
      </c>
      <c r="M39" s="93">
        <f t="shared" si="47"/>
        <v>0.78423254136124299</v>
      </c>
      <c r="N39" s="93">
        <f t="shared" si="48"/>
        <v>0.27855837156881125</v>
      </c>
      <c r="O39" s="93">
        <f t="shared" si="49"/>
        <v>4.1373655947222462E-2</v>
      </c>
      <c r="P39" s="93">
        <f t="shared" si="50"/>
        <v>0.78292203249278947</v>
      </c>
      <c r="Q39" s="93">
        <f t="shared" si="51"/>
        <v>0.48357982534926636</v>
      </c>
      <c r="R39" s="93">
        <f t="shared" si="52"/>
        <v>0.79047186392093494</v>
      </c>
      <c r="S39" s="93">
        <f t="shared" si="53"/>
        <v>0.30438157078926875</v>
      </c>
      <c r="T39" s="93">
        <f t="shared" si="54"/>
        <v>0.71505957686804122</v>
      </c>
      <c r="U39" s="93">
        <f t="shared" si="55"/>
        <v>0.47812975446936029</v>
      </c>
      <c r="V39" s="93">
        <f t="shared" si="56"/>
        <v>1.0707299572064379E-6</v>
      </c>
      <c r="W39" s="93">
        <f t="shared" si="57"/>
        <v>0.10258687959543453</v>
      </c>
      <c r="X39" s="93">
        <f t="shared" si="58"/>
        <v>0.48329519314848024</v>
      </c>
      <c r="Y39" s="93">
        <f t="shared" si="59"/>
        <v>0.48322406127913914</v>
      </c>
      <c r="Z39" s="93">
        <f t="shared" si="60"/>
        <v>0.48329519314848024</v>
      </c>
      <c r="AA39" s="93">
        <f t="shared" si="61"/>
        <v>0.48336633548862212</v>
      </c>
      <c r="AB39" s="93">
        <f t="shared" si="62"/>
        <v>0.24288255725969965</v>
      </c>
      <c r="AC39" s="93">
        <f t="shared" si="63"/>
        <v>0.24281298789895939</v>
      </c>
      <c r="AD39" s="93">
        <f t="shared" si="64"/>
        <v>0.48929463072537438</v>
      </c>
      <c r="AE39" s="93">
        <f t="shared" si="65"/>
        <v>4.7934612851862998E-2</v>
      </c>
      <c r="AF39" s="93">
        <f t="shared" si="66"/>
        <v>4.7934612851862998E-2</v>
      </c>
      <c r="AG39" s="93">
        <f t="shared" si="67"/>
        <v>0.24766033632758025</v>
      </c>
      <c r="AH39" s="93">
        <f t="shared" si="68"/>
        <v>0.24274343846511715</v>
      </c>
      <c r="AI39" s="93">
        <f t="shared" si="69"/>
        <v>0.78357188523354482</v>
      </c>
      <c r="AJ39" s="93">
        <f t="shared" si="70"/>
        <v>0.24316103408585227</v>
      </c>
      <c r="AK39" s="93">
        <f t="shared" si="71"/>
        <v>7.2480645923217471E-2</v>
      </c>
      <c r="AL39" s="93">
        <f t="shared" si="72"/>
        <v>4.7964099933017576E-2</v>
      </c>
      <c r="AM39" s="93">
        <f t="shared" si="73"/>
        <v>0.33872008261631775</v>
      </c>
      <c r="AN39" s="93">
        <f t="shared" si="74"/>
        <v>5.9840875655853007E-3</v>
      </c>
      <c r="AO39" s="260">
        <f t="shared" si="39"/>
        <v>0.11412186213403352</v>
      </c>
      <c r="AP39" s="261">
        <f t="shared" si="40"/>
        <v>0.32230403370060157</v>
      </c>
      <c r="AQ39" s="262">
        <f t="shared" si="41"/>
        <v>0.84142094550728186</v>
      </c>
      <c r="AR39" s="263">
        <f t="shared" si="42"/>
        <v>8.356542486281978E-3</v>
      </c>
      <c r="AS39" s="260">
        <f t="shared" si="43"/>
        <v>2.586274004279421E-4</v>
      </c>
      <c r="AT39" s="260">
        <f t="shared" si="38"/>
        <v>0.99974137259957208</v>
      </c>
    </row>
    <row r="40" spans="2:46" ht="12" customHeight="1">
      <c r="G40" s="218">
        <f t="shared" si="36"/>
        <v>7.6860841423948214</v>
      </c>
      <c r="H40" s="215">
        <f t="shared" si="37"/>
        <v>1583.3333333333333</v>
      </c>
      <c r="I40" s="92">
        <v>38000</v>
      </c>
      <c r="J40" s="93">
        <f t="shared" si="44"/>
        <v>0.78740721547714876</v>
      </c>
      <c r="K40" s="93">
        <f t="shared" si="45"/>
        <v>0.32597850303912196</v>
      </c>
      <c r="L40" s="93">
        <f t="shared" si="46"/>
        <v>0.36536858839859371</v>
      </c>
      <c r="M40" s="93">
        <f t="shared" si="47"/>
        <v>0.77909787093421334</v>
      </c>
      <c r="N40" s="93">
        <f t="shared" si="48"/>
        <v>0.26910015658117908</v>
      </c>
      <c r="O40" s="93">
        <f t="shared" si="49"/>
        <v>3.7961036153850984E-2</v>
      </c>
      <c r="P40" s="93">
        <f t="shared" si="50"/>
        <v>0.77776078542397409</v>
      </c>
      <c r="Q40" s="93">
        <f t="shared" si="51"/>
        <v>0.47417678406203007</v>
      </c>
      <c r="R40" s="93">
        <f t="shared" si="52"/>
        <v>0.78546455118277303</v>
      </c>
      <c r="S40" s="93">
        <f t="shared" si="53"/>
        <v>0.29475195058426057</v>
      </c>
      <c r="T40" s="93">
        <f t="shared" si="54"/>
        <v>0.70860715142986341</v>
      </c>
      <c r="U40" s="93">
        <f t="shared" si="55"/>
        <v>0.46868909186156454</v>
      </c>
      <c r="V40" s="93">
        <f t="shared" si="56"/>
        <v>7.3844805750742244E-7</v>
      </c>
      <c r="W40" s="93">
        <f t="shared" si="57"/>
        <v>9.646384571126615E-2</v>
      </c>
      <c r="X40" s="93">
        <f t="shared" si="58"/>
        <v>0.47389014553652603</v>
      </c>
      <c r="Y40" s="93">
        <f t="shared" si="59"/>
        <v>0.47381851298302052</v>
      </c>
      <c r="Z40" s="93">
        <f t="shared" si="60"/>
        <v>0.47389014553652603</v>
      </c>
      <c r="AA40" s="93">
        <f t="shared" si="61"/>
        <v>0.47396178891954244</v>
      </c>
      <c r="AB40" s="93">
        <f t="shared" si="62"/>
        <v>0.23376819135277327</v>
      </c>
      <c r="AC40" s="93">
        <f t="shared" si="63"/>
        <v>0.23369942321023263</v>
      </c>
      <c r="AD40" s="93">
        <f t="shared" si="64"/>
        <v>0.47993283351463339</v>
      </c>
      <c r="AE40" s="93">
        <f t="shared" si="65"/>
        <v>4.4156139328180827E-2</v>
      </c>
      <c r="AF40" s="93">
        <f t="shared" si="66"/>
        <v>4.4156139328180827E-2</v>
      </c>
      <c r="AG40" s="93">
        <f t="shared" si="67"/>
        <v>0.23849221135887019</v>
      </c>
      <c r="AH40" s="93">
        <f t="shared" si="68"/>
        <v>0.23363067529737938</v>
      </c>
      <c r="AI40" s="93">
        <f t="shared" si="69"/>
        <v>0.77842380938689915</v>
      </c>
      <c r="AJ40" s="93">
        <f t="shared" si="70"/>
        <v>0.23404346633889092</v>
      </c>
      <c r="AK40" s="93">
        <f t="shared" si="71"/>
        <v>6.7517638759334406E-2</v>
      </c>
      <c r="AL40" s="93">
        <f t="shared" si="72"/>
        <v>4.4184036433243846E-2</v>
      </c>
      <c r="AM40" s="93">
        <f t="shared" si="73"/>
        <v>0.32895307098043086</v>
      </c>
      <c r="AN40" s="93">
        <f t="shared" si="74"/>
        <v>5.2109487659914187E-3</v>
      </c>
      <c r="AO40" s="260">
        <f t="shared" si="39"/>
        <v>0.10687448484340253</v>
      </c>
      <c r="AP40" s="261">
        <f t="shared" si="40"/>
        <v>0.31169986088020307</v>
      </c>
      <c r="AQ40" s="262">
        <f t="shared" si="41"/>
        <v>0.83567517340557596</v>
      </c>
      <c r="AR40" s="263">
        <f t="shared" si="42"/>
        <v>7.2164261447788284E-3</v>
      </c>
      <c r="AS40" s="260">
        <f t="shared" si="43"/>
        <v>2.0089554876985877E-4</v>
      </c>
      <c r="AT40" s="260">
        <f t="shared" si="38"/>
        <v>0.9997991044512301</v>
      </c>
    </row>
    <row r="41" spans="2:46" ht="12" customHeight="1">
      <c r="G41" s="218">
        <f t="shared" si="36"/>
        <v>7.8883495145631066</v>
      </c>
      <c r="H41" s="215">
        <f t="shared" si="37"/>
        <v>1625</v>
      </c>
      <c r="I41" s="92">
        <v>39000</v>
      </c>
      <c r="J41" s="93">
        <f t="shared" si="44"/>
        <v>0.78247017934519159</v>
      </c>
      <c r="K41" s="93">
        <f t="shared" si="45"/>
        <v>0.31650322837484751</v>
      </c>
      <c r="L41" s="93">
        <f t="shared" si="46"/>
        <v>0.35581490269486571</v>
      </c>
      <c r="M41" s="93">
        <f t="shared" si="47"/>
        <v>0.7739968191585449</v>
      </c>
      <c r="N41" s="93">
        <f t="shared" si="48"/>
        <v>0.25996308732055717</v>
      </c>
      <c r="O41" s="93">
        <f t="shared" si="49"/>
        <v>3.4829899192670259E-2</v>
      </c>
      <c r="P41" s="93">
        <f t="shared" si="50"/>
        <v>0.77263356277930273</v>
      </c>
      <c r="Q41" s="93">
        <f t="shared" si="51"/>
        <v>0.4649565816378205</v>
      </c>
      <c r="R41" s="93">
        <f t="shared" si="52"/>
        <v>0.78048895770243942</v>
      </c>
      <c r="S41" s="93">
        <f t="shared" si="53"/>
        <v>0.28542697952424573</v>
      </c>
      <c r="T41" s="93">
        <f t="shared" si="54"/>
        <v>0.70221295022275976</v>
      </c>
      <c r="U41" s="93">
        <f t="shared" si="55"/>
        <v>0.45943483495147147</v>
      </c>
      <c r="V41" s="93">
        <f t="shared" si="56"/>
        <v>5.0928390484114363E-7</v>
      </c>
      <c r="W41" s="93">
        <f t="shared" si="57"/>
        <v>9.0706273220353142E-2</v>
      </c>
      <c r="X41" s="93">
        <f t="shared" si="58"/>
        <v>0.4646681225476948</v>
      </c>
      <c r="Y41" s="93">
        <f t="shared" si="59"/>
        <v>0.4645960357420072</v>
      </c>
      <c r="Z41" s="93">
        <f t="shared" si="60"/>
        <v>0.4646681225476948</v>
      </c>
      <c r="AA41" s="93">
        <f t="shared" si="61"/>
        <v>0.46474022053838426</v>
      </c>
      <c r="AB41" s="93">
        <f t="shared" si="62"/>
        <v>0.22499584945458012</v>
      </c>
      <c r="AC41" s="93">
        <f t="shared" si="63"/>
        <v>0.22492792037764589</v>
      </c>
      <c r="AD41" s="93">
        <f t="shared" si="64"/>
        <v>0.47075015792410124</v>
      </c>
      <c r="AE41" s="93">
        <f t="shared" si="65"/>
        <v>4.067550616076248E-2</v>
      </c>
      <c r="AF41" s="93">
        <f t="shared" si="66"/>
        <v>4.067550616076248E-2</v>
      </c>
      <c r="AG41" s="93">
        <f t="shared" si="67"/>
        <v>0.22966348072632345</v>
      </c>
      <c r="AH41" s="93">
        <f t="shared" si="68"/>
        <v>0.22486001180935436</v>
      </c>
      <c r="AI41" s="93">
        <f t="shared" si="69"/>
        <v>0.77330955645480948</v>
      </c>
      <c r="AJ41" s="93">
        <f t="shared" si="70"/>
        <v>0.22526777097264614</v>
      </c>
      <c r="AK41" s="93">
        <f t="shared" si="71"/>
        <v>6.2894466316776074E-2</v>
      </c>
      <c r="AL41" s="93">
        <f t="shared" si="72"/>
        <v>4.0701880745401875E-2</v>
      </c>
      <c r="AM41" s="93">
        <f t="shared" si="73"/>
        <v>0.31946769164564259</v>
      </c>
      <c r="AN41" s="93">
        <f t="shared" si="74"/>
        <v>4.5376988127565198E-3</v>
      </c>
      <c r="AO41" s="260">
        <f t="shared" si="39"/>
        <v>0.1000876346871612</v>
      </c>
      <c r="AP41" s="261">
        <f t="shared" si="40"/>
        <v>0.30143155545540107</v>
      </c>
      <c r="AQ41" s="262">
        <f t="shared" si="41"/>
        <v>0.82993772225687401</v>
      </c>
      <c r="AR41" s="263">
        <f t="shared" si="42"/>
        <v>6.2314530542421391E-3</v>
      </c>
      <c r="AS41" s="260">
        <f t="shared" si="43"/>
        <v>1.5602851410852461E-4</v>
      </c>
      <c r="AT41" s="260">
        <f t="shared" si="38"/>
        <v>0.99984397148589144</v>
      </c>
    </row>
    <row r="42" spans="2:46" ht="12" customHeight="1">
      <c r="G42" s="218">
        <f t="shared" si="36"/>
        <v>8.0906148867313927</v>
      </c>
      <c r="H42" s="215">
        <f t="shared" si="37"/>
        <v>1666.6666666666667</v>
      </c>
      <c r="I42" s="92">
        <v>40000</v>
      </c>
      <c r="J42" s="93">
        <f t="shared" si="44"/>
        <v>0.77756409838520801</v>
      </c>
      <c r="K42" s="93">
        <f t="shared" si="45"/>
        <v>0.30730337319107992</v>
      </c>
      <c r="L42" s="93">
        <f t="shared" si="46"/>
        <v>0.34651102749325463</v>
      </c>
      <c r="M42" s="93">
        <f t="shared" si="47"/>
        <v>0.76892916592006777</v>
      </c>
      <c r="N42" s="93">
        <f t="shared" si="48"/>
        <v>0.25113625955415836</v>
      </c>
      <c r="O42" s="93">
        <f t="shared" si="49"/>
        <v>3.1957027538841484E-2</v>
      </c>
      <c r="P42" s="93">
        <f t="shared" si="50"/>
        <v>0.76754014025999218</v>
      </c>
      <c r="Q42" s="93">
        <f t="shared" si="51"/>
        <v>0.45591566283862334</v>
      </c>
      <c r="R42" s="93">
        <f t="shared" si="52"/>
        <v>0.77554488255153808</v>
      </c>
      <c r="S42" s="93">
        <f t="shared" si="53"/>
        <v>0.27639701952386181</v>
      </c>
      <c r="T42" s="93">
        <f t="shared" si="54"/>
        <v>0.6958764478534315</v>
      </c>
      <c r="U42" s="93">
        <f t="shared" si="55"/>
        <v>0.45036330316224227</v>
      </c>
      <c r="V42" s="93">
        <f t="shared" si="56"/>
        <v>3.5123674995601986E-7</v>
      </c>
      <c r="W42" s="93">
        <f t="shared" si="57"/>
        <v>8.5292349075032137E-2</v>
      </c>
      <c r="X42" s="93">
        <f t="shared" si="58"/>
        <v>0.45562556247618213</v>
      </c>
      <c r="Y42" s="93">
        <f t="shared" si="59"/>
        <v>0.45555306623260516</v>
      </c>
      <c r="Z42" s="93">
        <f t="shared" si="60"/>
        <v>0.45562556247618213</v>
      </c>
      <c r="AA42" s="93">
        <f t="shared" si="61"/>
        <v>0.45569807025673631</v>
      </c>
      <c r="AB42" s="93">
        <f t="shared" si="62"/>
        <v>0.21655269683544789</v>
      </c>
      <c r="AC42" s="93">
        <f t="shared" si="63"/>
        <v>0.21648564070224618</v>
      </c>
      <c r="AD42" s="93">
        <f t="shared" si="64"/>
        <v>0.4617431767747755</v>
      </c>
      <c r="AE42" s="93">
        <f t="shared" si="65"/>
        <v>3.746923591162582E-2</v>
      </c>
      <c r="AF42" s="93">
        <f t="shared" si="66"/>
        <v>3.746923591162582E-2</v>
      </c>
      <c r="AG42" s="93">
        <f t="shared" si="67"/>
        <v>0.22116158040885475</v>
      </c>
      <c r="AH42" s="93">
        <f t="shared" si="68"/>
        <v>0.21641860533315904</v>
      </c>
      <c r="AI42" s="93">
        <f t="shared" si="69"/>
        <v>0.76822890422035783</v>
      </c>
      <c r="AJ42" s="93">
        <f t="shared" si="70"/>
        <v>0.21682112913806292</v>
      </c>
      <c r="AK42" s="93">
        <f t="shared" si="71"/>
        <v>5.8587858905613736E-2</v>
      </c>
      <c r="AL42" s="93">
        <f t="shared" si="72"/>
        <v>3.7494154675430831E-2</v>
      </c>
      <c r="AM42" s="93">
        <f t="shared" si="73"/>
        <v>0.31025582372953991</v>
      </c>
      <c r="AN42" s="93">
        <f t="shared" si="74"/>
        <v>3.9514321556324882E-3</v>
      </c>
      <c r="AO42" s="260">
        <f t="shared" si="39"/>
        <v>9.3732768037417397E-2</v>
      </c>
      <c r="AP42" s="261">
        <f t="shared" si="40"/>
        <v>0.29149014631406855</v>
      </c>
      <c r="AQ42" s="262">
        <f t="shared" si="41"/>
        <v>0.82421149541511118</v>
      </c>
      <c r="AR42" s="263">
        <f t="shared" si="42"/>
        <v>5.3805948965918015E-3</v>
      </c>
      <c r="AS42" s="260">
        <f t="shared" si="43"/>
        <v>1.2116697997089131E-4</v>
      </c>
      <c r="AT42" s="260">
        <f t="shared" si="38"/>
        <v>0.99987883302002911</v>
      </c>
    </row>
    <row r="43" spans="2:46" ht="12" customHeight="1">
      <c r="G43" s="218">
        <f t="shared" si="36"/>
        <v>8.2928802588996753</v>
      </c>
      <c r="H43" s="215">
        <f t="shared" si="37"/>
        <v>1708.3333333333333</v>
      </c>
      <c r="I43" s="92">
        <v>41000</v>
      </c>
      <c r="J43" s="93">
        <f t="shared" si="44"/>
        <v>0.772688778508549</v>
      </c>
      <c r="K43" s="93">
        <f t="shared" si="45"/>
        <v>0.29837093182118357</v>
      </c>
      <c r="L43" s="93">
        <f t="shared" si="46"/>
        <v>0.3374504307297066</v>
      </c>
      <c r="M43" s="93">
        <f t="shared" si="47"/>
        <v>0.76389469254578346</v>
      </c>
      <c r="N43" s="93">
        <f t="shared" si="48"/>
        <v>0.24260913929323935</v>
      </c>
      <c r="O43" s="93">
        <f t="shared" si="49"/>
        <v>2.932111871667975E-2</v>
      </c>
      <c r="P43" s="93">
        <f t="shared" si="50"/>
        <v>0.76248029504590109</v>
      </c>
      <c r="Q43" s="93">
        <f t="shared" si="51"/>
        <v>0.44705054155678953</v>
      </c>
      <c r="R43" s="93">
        <f t="shared" si="52"/>
        <v>0.7706321260744714</v>
      </c>
      <c r="S43" s="93">
        <f t="shared" si="53"/>
        <v>0.26765273741470047</v>
      </c>
      <c r="T43" s="93">
        <f t="shared" si="54"/>
        <v>0.68959712366952941</v>
      </c>
      <c r="U43" s="93">
        <f t="shared" si="55"/>
        <v>0.44147088858995576</v>
      </c>
      <c r="V43" s="93">
        <f t="shared" si="56"/>
        <v>2.4223670402100857E-7</v>
      </c>
      <c r="W43" s="93">
        <f t="shared" si="57"/>
        <v>8.020156216830196E-2</v>
      </c>
      <c r="X43" s="93">
        <f t="shared" si="58"/>
        <v>0.44675897292788636</v>
      </c>
      <c r="Y43" s="93">
        <f t="shared" si="59"/>
        <v>0.44668611048840318</v>
      </c>
      <c r="Z43" s="93">
        <f t="shared" si="60"/>
        <v>0.44675897292788636</v>
      </c>
      <c r="AA43" s="93">
        <f t="shared" si="61"/>
        <v>0.44683184725252773</v>
      </c>
      <c r="AB43" s="93">
        <f t="shared" si="62"/>
        <v>0.20842638039939537</v>
      </c>
      <c r="AC43" s="93">
        <f t="shared" si="63"/>
        <v>0.2083602273633956</v>
      </c>
      <c r="AD43" s="93">
        <f t="shared" si="64"/>
        <v>0.45290852846073137</v>
      </c>
      <c r="AE43" s="93">
        <f t="shared" si="65"/>
        <v>3.4515701765387756E-2</v>
      </c>
      <c r="AF43" s="93">
        <f t="shared" si="66"/>
        <v>3.4515701765387756E-2</v>
      </c>
      <c r="AG43" s="93">
        <f t="shared" si="67"/>
        <v>0.21297441149221466</v>
      </c>
      <c r="AH43" s="93">
        <f t="shared" si="68"/>
        <v>0.20829409532389428</v>
      </c>
      <c r="AI43" s="93">
        <f t="shared" si="69"/>
        <v>0.76318163192659361</v>
      </c>
      <c r="AJ43" s="93">
        <f t="shared" si="70"/>
        <v>0.20869120264173552</v>
      </c>
      <c r="AK43" s="93">
        <f t="shared" si="71"/>
        <v>5.4576140194205439E-2</v>
      </c>
      <c r="AL43" s="93">
        <f t="shared" si="72"/>
        <v>3.4539230352001543E-2</v>
      </c>
      <c r="AM43" s="93">
        <f t="shared" si="73"/>
        <v>0.30130958051578688</v>
      </c>
      <c r="AN43" s="93">
        <f t="shared" si="74"/>
        <v>3.4409106300031123E-3</v>
      </c>
      <c r="AO43" s="260">
        <f t="shared" si="39"/>
        <v>8.7782947555307161E-2</v>
      </c>
      <c r="AP43" s="261">
        <f t="shared" si="40"/>
        <v>0.28186670818383941</v>
      </c>
      <c r="AQ43" s="262">
        <f t="shared" si="41"/>
        <v>0.81849918407454336</v>
      </c>
      <c r="AR43" s="263">
        <f t="shared" si="42"/>
        <v>4.6456557778473233E-3</v>
      </c>
      <c r="AS43" s="260">
        <f t="shared" si="43"/>
        <v>9.4084746946289491E-5</v>
      </c>
      <c r="AT43" s="260">
        <f t="shared" si="38"/>
        <v>0.99990591525305372</v>
      </c>
    </row>
    <row r="44" spans="2:46" ht="12" customHeight="1">
      <c r="G44" s="218">
        <f t="shared" si="36"/>
        <v>8.4951456310679614</v>
      </c>
      <c r="H44" s="215">
        <f t="shared" si="37"/>
        <v>1750</v>
      </c>
      <c r="I44" s="92">
        <v>42000</v>
      </c>
      <c r="J44" s="93">
        <f t="shared" si="44"/>
        <v>0.76784402684350006</v>
      </c>
      <c r="K44" s="93">
        <f t="shared" si="45"/>
        <v>0.28969813130064764</v>
      </c>
      <c r="L44" s="93">
        <f t="shared" si="46"/>
        <v>0.32862675114107653</v>
      </c>
      <c r="M44" s="93">
        <f t="shared" si="47"/>
        <v>0.75889318179442966</v>
      </c>
      <c r="N44" s="93">
        <f t="shared" si="48"/>
        <v>0.23437155022177603</v>
      </c>
      <c r="O44" s="93">
        <f t="shared" si="49"/>
        <v>2.6902627340815402E-2</v>
      </c>
      <c r="P44" s="93">
        <f t="shared" si="50"/>
        <v>0.75745380578578259</v>
      </c>
      <c r="Q44" s="93">
        <f t="shared" si="51"/>
        <v>0.43835779947081904</v>
      </c>
      <c r="R44" s="93">
        <f t="shared" si="52"/>
        <v>0.76575048988037719</v>
      </c>
      <c r="S44" s="93">
        <f t="shared" si="53"/>
        <v>0.25918509529875</v>
      </c>
      <c r="T44" s="93">
        <f t="shared" si="54"/>
        <v>0.68337446171687288</v>
      </c>
      <c r="U44" s="93">
        <f t="shared" si="55"/>
        <v>0.43275405456868249</v>
      </c>
      <c r="V44" s="93">
        <f t="shared" si="56"/>
        <v>1.6706287363810635E-7</v>
      </c>
      <c r="W44" s="93">
        <f t="shared" si="57"/>
        <v>7.5414625625769588E-2</v>
      </c>
      <c r="X44" s="93">
        <f t="shared" si="58"/>
        <v>0.43806492947158482</v>
      </c>
      <c r="Y44" s="93">
        <f t="shared" si="59"/>
        <v>0.43799174255009576</v>
      </c>
      <c r="Z44" s="93">
        <f t="shared" si="60"/>
        <v>0.43806492947158482</v>
      </c>
      <c r="AA44" s="93">
        <f t="shared" si="61"/>
        <v>0.43813812862235801</v>
      </c>
      <c r="AB44" s="93">
        <f t="shared" si="62"/>
        <v>0.20060501061043551</v>
      </c>
      <c r="AC44" s="93">
        <f t="shared" si="63"/>
        <v>0.20053978733230343</v>
      </c>
      <c r="AD44" s="93">
        <f t="shared" si="64"/>
        <v>0.44424291569449548</v>
      </c>
      <c r="AE44" s="93">
        <f t="shared" si="65"/>
        <v>3.1794981652869765E-2</v>
      </c>
      <c r="AF44" s="93">
        <f t="shared" si="66"/>
        <v>3.1794981652869765E-2</v>
      </c>
      <c r="AG44" s="93">
        <f t="shared" si="67"/>
        <v>0.20509032295122423</v>
      </c>
      <c r="AH44" s="93">
        <f t="shared" si="68"/>
        <v>0.20047458526040141</v>
      </c>
      <c r="AI44" s="93">
        <f t="shared" si="69"/>
        <v>0.75816752026694167</v>
      </c>
      <c r="AJ44" s="93">
        <f t="shared" si="70"/>
        <v>0.20086611592323991</v>
      </c>
      <c r="AK44" s="93">
        <f t="shared" si="71"/>
        <v>5.0839118106297071E-2</v>
      </c>
      <c r="AL44" s="93">
        <f t="shared" si="72"/>
        <v>3.1817184402088854E-2</v>
      </c>
      <c r="AM44" s="93">
        <f t="shared" si="73"/>
        <v>0.29262130270193365</v>
      </c>
      <c r="AN44" s="93">
        <f t="shared" si="74"/>
        <v>2.9963480321410891E-3</v>
      </c>
      <c r="AO44" s="260">
        <f t="shared" si="39"/>
        <v>8.221278041423434E-2</v>
      </c>
      <c r="AP44" s="261">
        <f t="shared" si="40"/>
        <v>0.27255238677223548</v>
      </c>
      <c r="AQ44" s="262">
        <f t="shared" si="41"/>
        <v>0.81280327947863329</v>
      </c>
      <c r="AR44" s="263">
        <f t="shared" si="42"/>
        <v>4.0108947709809033E-3</v>
      </c>
      <c r="AS44" s="260">
        <f t="shared" si="43"/>
        <v>7.3049297036872066E-5</v>
      </c>
      <c r="AT44" s="260">
        <f t="shared" si="38"/>
        <v>0.99992695070296311</v>
      </c>
    </row>
    <row r="45" spans="2:46" ht="12" customHeight="1">
      <c r="G45" s="218">
        <f t="shared" si="36"/>
        <v>8.6974110032362457</v>
      </c>
      <c r="H45" s="215">
        <f t="shared" si="37"/>
        <v>1791.6666666666667</v>
      </c>
      <c r="I45" s="92">
        <v>43000</v>
      </c>
      <c r="J45" s="93">
        <f t="shared" si="44"/>
        <v>0.76302965172765014</v>
      </c>
      <c r="K45" s="93">
        <f t="shared" si="45"/>
        <v>0.28127742460309207</v>
      </c>
      <c r="L45" s="93">
        <f t="shared" si="46"/>
        <v>0.32003379379901298</v>
      </c>
      <c r="M45" s="93">
        <f t="shared" si="47"/>
        <v>0.75392441784710529</v>
      </c>
      <c r="N45" s="93">
        <f t="shared" si="48"/>
        <v>0.2264136615519875</v>
      </c>
      <c r="O45" s="93">
        <f t="shared" si="49"/>
        <v>2.4683620186260882E-2</v>
      </c>
      <c r="P45" s="93">
        <f t="shared" si="50"/>
        <v>0.75246045258760064</v>
      </c>
      <c r="Q45" s="93">
        <f t="shared" si="51"/>
        <v>0.42983408472728302</v>
      </c>
      <c r="R45" s="93">
        <f t="shared" si="52"/>
        <v>0.76089977683511789</v>
      </c>
      <c r="S45" s="93">
        <f t="shared" si="53"/>
        <v>0.25098534120702232</v>
      </c>
      <c r="T45" s="93">
        <f t="shared" si="54"/>
        <v>0.67720795069705508</v>
      </c>
      <c r="U45" s="93">
        <f t="shared" si="55"/>
        <v>0.42420933426389262</v>
      </c>
      <c r="V45" s="93">
        <f t="shared" si="56"/>
        <v>1.152178975561083E-7</v>
      </c>
      <c r="W45" s="93">
        <f t="shared" si="57"/>
        <v>7.0913403735704317E-2</v>
      </c>
      <c r="X45" s="93">
        <f t="shared" si="58"/>
        <v>0.4295400743163591</v>
      </c>
      <c r="Y45" s="93">
        <f t="shared" si="59"/>
        <v>0.42946660314178231</v>
      </c>
      <c r="Z45" s="93">
        <f t="shared" si="60"/>
        <v>0.4295400743163591</v>
      </c>
      <c r="AA45" s="93">
        <f t="shared" si="61"/>
        <v>0.42961355806004714</v>
      </c>
      <c r="AB45" s="93">
        <f t="shared" si="62"/>
        <v>0.19307714409710919</v>
      </c>
      <c r="AC45" s="93">
        <f t="shared" si="63"/>
        <v>0.19301287396440331</v>
      </c>
      <c r="AD45" s="93">
        <f t="shared" si="64"/>
        <v>0.43574310427642482</v>
      </c>
      <c r="AE45" s="93">
        <f t="shared" si="65"/>
        <v>2.9288723873494387E-2</v>
      </c>
      <c r="AF45" s="93">
        <f t="shared" si="66"/>
        <v>2.9288723873494387E-2</v>
      </c>
      <c r="AG45" s="93">
        <f t="shared" si="67"/>
        <v>0.19749809506939311</v>
      </c>
      <c r="AH45" s="93">
        <f t="shared" si="68"/>
        <v>0.19294862522547751</v>
      </c>
      <c r="AI45" s="93">
        <f t="shared" si="69"/>
        <v>0.75318635137567369</v>
      </c>
      <c r="AJ45" s="93">
        <f t="shared" si="70"/>
        <v>0.19333443870824452</v>
      </c>
      <c r="AK45" s="93">
        <f t="shared" si="71"/>
        <v>4.7357983188786264E-2</v>
      </c>
      <c r="AL45" s="93">
        <f t="shared" si="72"/>
        <v>2.9309663619005961E-2</v>
      </c>
      <c r="AM45" s="93">
        <f t="shared" si="73"/>
        <v>0.28418355184192462</v>
      </c>
      <c r="AN45" s="93">
        <f t="shared" si="74"/>
        <v>2.6092225271505082E-3</v>
      </c>
      <c r="AO45" s="260">
        <f t="shared" si="39"/>
        <v>7.6998353832632704E-2</v>
      </c>
      <c r="AP45" s="261">
        <f t="shared" si="40"/>
        <v>0.2635384205019784</v>
      </c>
      <c r="AQ45" s="262">
        <f t="shared" si="41"/>
        <v>0.80712608449281886</v>
      </c>
      <c r="AR45" s="263">
        <f t="shared" si="42"/>
        <v>3.4626977649037773E-3</v>
      </c>
      <c r="AS45" s="260">
        <f t="shared" si="43"/>
        <v>5.6712833826514943E-5</v>
      </c>
      <c r="AT45" s="260">
        <f t="shared" si="38"/>
        <v>0.99994328716617353</v>
      </c>
    </row>
    <row r="46" spans="2:46" ht="12" customHeight="1">
      <c r="G46" s="218">
        <f t="shared" si="36"/>
        <v>8.89967637540453</v>
      </c>
      <c r="H46" s="215">
        <f t="shared" si="37"/>
        <v>1833.3333333333333</v>
      </c>
      <c r="I46" s="92">
        <v>44000</v>
      </c>
      <c r="J46" s="93">
        <f t="shared" si="44"/>
        <v>0.75824546270031024</v>
      </c>
      <c r="K46" s="93">
        <f t="shared" si="45"/>
        <v>0.27310148407288415</v>
      </c>
      <c r="L46" s="93">
        <f t="shared" si="46"/>
        <v>0.31166552576062345</v>
      </c>
      <c r="M46" s="93">
        <f t="shared" si="47"/>
        <v>0.74898818629795816</v>
      </c>
      <c r="N46" s="93">
        <f t="shared" si="48"/>
        <v>0.21872597629221535</v>
      </c>
      <c r="O46" s="93">
        <f t="shared" si="49"/>
        <v>2.2647643212721207E-2</v>
      </c>
      <c r="P46" s="93">
        <f t="shared" si="50"/>
        <v>0.74750001700891089</v>
      </c>
      <c r="Q46" s="93">
        <f t="shared" si="51"/>
        <v>0.42147611064837492</v>
      </c>
      <c r="R46" s="93">
        <f t="shared" si="52"/>
        <v>0.75607979105331891</v>
      </c>
      <c r="S46" s="93">
        <f t="shared" si="53"/>
        <v>0.24304500005370952</v>
      </c>
      <c r="T46" s="93">
        <f t="shared" si="54"/>
        <v>0.67109708392543188</v>
      </c>
      <c r="U46" s="93">
        <f t="shared" si="55"/>
        <v>0.41583332929363581</v>
      </c>
      <c r="V46" s="93">
        <f t="shared" si="56"/>
        <v>7.9462082916200103E-8</v>
      </c>
      <c r="W46" s="93">
        <f t="shared" si="57"/>
        <v>6.6680843240368257E-2</v>
      </c>
      <c r="X46" s="93">
        <f t="shared" si="58"/>
        <v>0.4211811150147578</v>
      </c>
      <c r="Y46" s="93">
        <f t="shared" si="59"/>
        <v>0.42110739837303085</v>
      </c>
      <c r="Z46" s="93">
        <f t="shared" si="60"/>
        <v>0.4211811150147578</v>
      </c>
      <c r="AA46" s="93">
        <f t="shared" si="61"/>
        <v>0.42125484456089651</v>
      </c>
      <c r="AB46" s="93">
        <f t="shared" si="62"/>
        <v>0.18583176690979727</v>
      </c>
      <c r="AC46" s="93">
        <f t="shared" si="63"/>
        <v>0.18576847024509474</v>
      </c>
      <c r="AD46" s="93">
        <f t="shared" si="64"/>
        <v>0.4274059218876316</v>
      </c>
      <c r="AE46" s="93">
        <f t="shared" si="65"/>
        <v>2.6980023310073955E-2</v>
      </c>
      <c r="AF46" s="93">
        <f t="shared" si="66"/>
        <v>2.6980023310073955E-2</v>
      </c>
      <c r="AG46" s="93">
        <f t="shared" si="67"/>
        <v>0.19018692347232566</v>
      </c>
      <c r="AH46" s="93">
        <f t="shared" si="68"/>
        <v>0.18570519514004169</v>
      </c>
      <c r="AI46" s="93">
        <f t="shared" si="69"/>
        <v>0.74823790881844154</v>
      </c>
      <c r="AJ46" s="93">
        <f t="shared" si="70"/>
        <v>0.18608516931205993</v>
      </c>
      <c r="AK46" s="93">
        <f t="shared" si="71"/>
        <v>4.4115213938606186E-2</v>
      </c>
      <c r="AL46" s="93">
        <f t="shared" si="72"/>
        <v>2.6999761217176815E-2</v>
      </c>
      <c r="AM46" s="93">
        <f t="shared" si="73"/>
        <v>0.27598910397769277</v>
      </c>
      <c r="AN46" s="93">
        <f t="shared" si="74"/>
        <v>2.2721132936366164E-3</v>
      </c>
      <c r="AO46" s="260">
        <f t="shared" si="39"/>
        <v>7.2117169079370103E-2</v>
      </c>
      <c r="AP46" s="261">
        <f t="shared" si="40"/>
        <v>0.25481615915977662</v>
      </c>
      <c r="AQ46" s="262">
        <f t="shared" si="41"/>
        <v>0.80146972457081378</v>
      </c>
      <c r="AR46" s="263">
        <f t="shared" si="42"/>
        <v>2.9892924402775563E-3</v>
      </c>
      <c r="AS46" s="260">
        <f t="shared" si="43"/>
        <v>4.402720959116659E-5</v>
      </c>
      <c r="AT46" s="260">
        <f t="shared" si="38"/>
        <v>0.99995597279040882</v>
      </c>
    </row>
    <row r="47" spans="2:46" ht="12" customHeight="1">
      <c r="G47" s="218">
        <f t="shared" si="36"/>
        <v>9.1019417475728162</v>
      </c>
      <c r="H47" s="215">
        <f t="shared" si="37"/>
        <v>1875</v>
      </c>
      <c r="I47" s="92">
        <v>45000</v>
      </c>
      <c r="J47" s="93">
        <f t="shared" si="44"/>
        <v>0.75349127049497777</v>
      </c>
      <c r="K47" s="93">
        <f t="shared" si="45"/>
        <v>0.26516319504865055</v>
      </c>
      <c r="L47" s="93">
        <f t="shared" si="46"/>
        <v>0.30351607183286594</v>
      </c>
      <c r="M47" s="93">
        <f t="shared" si="47"/>
        <v>0.74408427414493361</v>
      </c>
      <c r="N47" s="93">
        <f t="shared" si="48"/>
        <v>0.2112993199131574</v>
      </c>
      <c r="O47" s="93">
        <f t="shared" si="49"/>
        <v>2.0779599557126972E-2</v>
      </c>
      <c r="P47" s="93">
        <f t="shared" si="50"/>
        <v>0.7425722820473043</v>
      </c>
      <c r="Q47" s="93">
        <f t="shared" si="51"/>
        <v>0.41328065446459389</v>
      </c>
      <c r="R47" s="93">
        <f t="shared" si="52"/>
        <v>0.75129033789045874</v>
      </c>
      <c r="S47" s="93">
        <f t="shared" si="53"/>
        <v>0.23535586487652183</v>
      </c>
      <c r="T47" s="93">
        <f t="shared" si="54"/>
        <v>0.66504135928948804</v>
      </c>
      <c r="U47" s="93">
        <f t="shared" si="55"/>
        <v>0.40762270837694659</v>
      </c>
      <c r="V47" s="93">
        <f t="shared" si="56"/>
        <v>5.4802446107005202E-8</v>
      </c>
      <c r="W47" s="93">
        <f t="shared" si="57"/>
        <v>6.2700908728315227E-2</v>
      </c>
      <c r="X47" s="93">
        <f t="shared" si="58"/>
        <v>0.41298482319119567</v>
      </c>
      <c r="Y47" s="93">
        <f t="shared" si="59"/>
        <v>0.41291089846620516</v>
      </c>
      <c r="Z47" s="93">
        <f t="shared" si="60"/>
        <v>0.41298482319119567</v>
      </c>
      <c r="AA47" s="93">
        <f t="shared" si="61"/>
        <v>0.41305876115116008</v>
      </c>
      <c r="AB47" s="93">
        <f t="shared" si="62"/>
        <v>0.17885827840631643</v>
      </c>
      <c r="AC47" s="93">
        <f t="shared" si="63"/>
        <v>0.17879597266432701</v>
      </c>
      <c r="AD47" s="93">
        <f t="shared" si="64"/>
        <v>0.41922825690600291</v>
      </c>
      <c r="AE47" s="93">
        <f t="shared" si="65"/>
        <v>2.4853307401039963E-2</v>
      </c>
      <c r="AF47" s="93">
        <f t="shared" si="66"/>
        <v>2.4853307401039963E-2</v>
      </c>
      <c r="AG47" s="93">
        <f t="shared" si="67"/>
        <v>0.18314640375219399</v>
      </c>
      <c r="AH47" s="93">
        <f t="shared" si="68"/>
        <v>0.17873368862670327</v>
      </c>
      <c r="AI47" s="93">
        <f t="shared" si="69"/>
        <v>0.74332197758287299</v>
      </c>
      <c r="AJ47" s="93">
        <f t="shared" si="70"/>
        <v>0.17910771856923882</v>
      </c>
      <c r="AK47" s="93">
        <f t="shared" si="71"/>
        <v>4.1094488612213861E-2</v>
      </c>
      <c r="AL47" s="93">
        <f t="shared" si="72"/>
        <v>2.487190283930283E-2</v>
      </c>
      <c r="AM47" s="93">
        <f t="shared" si="73"/>
        <v>0.26803094345438677</v>
      </c>
      <c r="AN47" s="93">
        <f t="shared" si="74"/>
        <v>1.9785582737391603E-3</v>
      </c>
      <c r="AO47" s="260">
        <f t="shared" si="39"/>
        <v>6.7548074900185481E-2</v>
      </c>
      <c r="AP47" s="261">
        <f t="shared" si="40"/>
        <v>0.24637707975862833</v>
      </c>
      <c r="AQ47" s="262">
        <f t="shared" si="41"/>
        <v>0.79583615814340836</v>
      </c>
      <c r="AR47" s="263">
        <f t="shared" si="42"/>
        <v>2.5805008941246687E-3</v>
      </c>
      <c r="AS47" s="260">
        <f t="shared" si="43"/>
        <v>3.4177552615511194E-5</v>
      </c>
      <c r="AT47" s="260">
        <f t="shared" si="38"/>
        <v>0.99996582244738452</v>
      </c>
    </row>
    <row r="48" spans="2:46" ht="12" customHeight="1">
      <c r="G48" s="218">
        <f t="shared" si="36"/>
        <v>9.3042071197411005</v>
      </c>
      <c r="H48" s="215">
        <f t="shared" si="37"/>
        <v>1916.6666666666667</v>
      </c>
      <c r="I48" s="92">
        <v>46000</v>
      </c>
      <c r="J48" s="93">
        <f t="shared" si="44"/>
        <v>0.74876688703184968</v>
      </c>
      <c r="K48" s="93">
        <f t="shared" si="45"/>
        <v>0.2574556496721353</v>
      </c>
      <c r="L48" s="93">
        <f t="shared" si="46"/>
        <v>0.29557971044769416</v>
      </c>
      <c r="M48" s="93">
        <f t="shared" si="47"/>
        <v>0.73921246978058242</v>
      </c>
      <c r="N48" s="93">
        <f t="shared" si="48"/>
        <v>0.20412482939892984</v>
      </c>
      <c r="O48" s="93">
        <f t="shared" si="49"/>
        <v>1.9065637589699105E-2</v>
      </c>
      <c r="P48" s="93">
        <f t="shared" si="50"/>
        <v>0.73767703213091429</v>
      </c>
      <c r="Q48" s="93">
        <f t="shared" si="51"/>
        <v>0.40524455607206927</v>
      </c>
      <c r="R48" s="93">
        <f t="shared" si="52"/>
        <v>0.74653122393500848</v>
      </c>
      <c r="S48" s="93">
        <f t="shared" si="53"/>
        <v>0.22790998835415111</v>
      </c>
      <c r="T48" s="93">
        <f t="shared" si="54"/>
        <v>0.65904027920758079</v>
      </c>
      <c r="U48" s="93">
        <f t="shared" si="55"/>
        <v>0.39957420600893662</v>
      </c>
      <c r="V48" s="93">
        <f t="shared" si="56"/>
        <v>3.7795486716330567E-8</v>
      </c>
      <c r="W48" s="93">
        <f t="shared" si="57"/>
        <v>5.8958521882885612E-2</v>
      </c>
      <c r="X48" s="93">
        <f t="shared" si="58"/>
        <v>0.40494803329509926</v>
      </c>
      <c r="Y48" s="93">
        <f t="shared" si="59"/>
        <v>0.4048739365085634</v>
      </c>
      <c r="Z48" s="93">
        <f t="shared" si="60"/>
        <v>0.40494803329509926</v>
      </c>
      <c r="AA48" s="93">
        <f t="shared" si="61"/>
        <v>0.40502214364223577</v>
      </c>
      <c r="AB48" s="93">
        <f t="shared" si="62"/>
        <v>0.17214647574222053</v>
      </c>
      <c r="AC48" s="93">
        <f t="shared" si="63"/>
        <v>0.17208517569642254</v>
      </c>
      <c r="AD48" s="93">
        <f t="shared" si="64"/>
        <v>0.41120705724487427</v>
      </c>
      <c r="AE48" s="93">
        <f t="shared" si="65"/>
        <v>2.2894231100977318E-2</v>
      </c>
      <c r="AF48" s="93">
        <f t="shared" si="66"/>
        <v>2.2894231100977318E-2</v>
      </c>
      <c r="AG48" s="93">
        <f t="shared" si="67"/>
        <v>0.17636651666139644</v>
      </c>
      <c r="AH48" s="93">
        <f t="shared" si="68"/>
        <v>0.17202389747910285</v>
      </c>
      <c r="AI48" s="93">
        <f t="shared" si="69"/>
        <v>0.73843834406922959</v>
      </c>
      <c r="AJ48" s="93">
        <f t="shared" si="70"/>
        <v>0.17239189436575172</v>
      </c>
      <c r="AK48" s="93">
        <f t="shared" si="71"/>
        <v>3.828060307379598E-2</v>
      </c>
      <c r="AL48" s="93">
        <f t="shared" si="72"/>
        <v>2.2911741547335222E-2</v>
      </c>
      <c r="AM48" s="93">
        <f t="shared" si="73"/>
        <v>0.2603022569139371</v>
      </c>
      <c r="AN48" s="93">
        <f t="shared" si="74"/>
        <v>1.7229303017351064E-3</v>
      </c>
      <c r="AO48" s="260">
        <f t="shared" si="39"/>
        <v>6.3271201131753024E-2</v>
      </c>
      <c r="AP48" s="261">
        <f t="shared" si="40"/>
        <v>0.23821279989418304</v>
      </c>
      <c r="AQ48" s="262">
        <f t="shared" si="41"/>
        <v>0.79022718645782608</v>
      </c>
      <c r="AR48" s="263">
        <f t="shared" si="42"/>
        <v>2.2275250787736518E-3</v>
      </c>
      <c r="AS48" s="260">
        <f t="shared" si="43"/>
        <v>2.6530518756713216E-5</v>
      </c>
      <c r="AT48" s="260">
        <f t="shared" si="38"/>
        <v>0.99997346948124333</v>
      </c>
    </row>
    <row r="49" spans="7:46" ht="12" customHeight="1">
      <c r="G49" s="218">
        <f t="shared" si="36"/>
        <v>9.5064724919093848</v>
      </c>
      <c r="H49" s="215">
        <f t="shared" si="37"/>
        <v>1958.3333333333333</v>
      </c>
      <c r="I49" s="92">
        <v>47000</v>
      </c>
      <c r="J49" s="93">
        <f t="shared" si="44"/>
        <v>0.74407212541038148</v>
      </c>
      <c r="K49" s="93">
        <f t="shared" si="45"/>
        <v>0.24997214087701722</v>
      </c>
      <c r="L49" s="93">
        <f t="shared" si="46"/>
        <v>0.28785086964505913</v>
      </c>
      <c r="M49" s="93">
        <f t="shared" si="47"/>
        <v>0.73437256298293074</v>
      </c>
      <c r="N49" s="93">
        <f t="shared" si="48"/>
        <v>0.19719394266989143</v>
      </c>
      <c r="O49" s="93">
        <f t="shared" si="49"/>
        <v>1.7493048203475862E-2</v>
      </c>
      <c r="P49" s="93">
        <f t="shared" si="50"/>
        <v>0.73281405310898562</v>
      </c>
      <c r="Q49" s="93">
        <f t="shared" si="51"/>
        <v>0.39736471681404967</v>
      </c>
      <c r="R49" s="93">
        <f t="shared" si="52"/>
        <v>0.74180225700062152</v>
      </c>
      <c r="S49" s="93">
        <f t="shared" si="53"/>
        <v>0.22069967459209439</v>
      </c>
      <c r="T49" s="93">
        <f t="shared" si="54"/>
        <v>0.65309335058805473</v>
      </c>
      <c r="U49" s="93">
        <f t="shared" si="55"/>
        <v>0.39168462116204766</v>
      </c>
      <c r="V49" s="93">
        <f t="shared" si="56"/>
        <v>2.6066333121975835E-8</v>
      </c>
      <c r="W49" s="93">
        <f t="shared" si="57"/>
        <v>5.5439504356735413E-2</v>
      </c>
      <c r="X49" s="93">
        <f t="shared" si="58"/>
        <v>0.39706764137831568</v>
      </c>
      <c r="Y49" s="93">
        <f t="shared" si="59"/>
        <v>0.39699340722864579</v>
      </c>
      <c r="Z49" s="93">
        <f t="shared" si="60"/>
        <v>0.39706764137831568</v>
      </c>
      <c r="AA49" s="93">
        <f t="shared" si="61"/>
        <v>0.39714188940909517</v>
      </c>
      <c r="AB49" s="93">
        <f t="shared" si="62"/>
        <v>0.16568653894311652</v>
      </c>
      <c r="AC49" s="93">
        <f t="shared" si="63"/>
        <v>0.16562625686242313</v>
      </c>
      <c r="AD49" s="93">
        <f t="shared" si="64"/>
        <v>0.40333932921392285</v>
      </c>
      <c r="AE49" s="93">
        <f t="shared" si="65"/>
        <v>2.1089580120955024E-2</v>
      </c>
      <c r="AF49" s="93">
        <f t="shared" si="66"/>
        <v>2.1089580120955024E-2</v>
      </c>
      <c r="AG49" s="93">
        <f t="shared" si="67"/>
        <v>0.16983761385433155</v>
      </c>
      <c r="AH49" s="93">
        <f t="shared" si="68"/>
        <v>0.16556599671428557</v>
      </c>
      <c r="AI49" s="93">
        <f t="shared" si="69"/>
        <v>0.73358679608112531</v>
      </c>
      <c r="AJ49" s="93">
        <f t="shared" si="70"/>
        <v>0.16592788675114437</v>
      </c>
      <c r="AK49" s="93">
        <f t="shared" si="71"/>
        <v>3.5659394268699553E-2</v>
      </c>
      <c r="AL49" s="93">
        <f t="shared" si="72"/>
        <v>2.1106061089236766E-2</v>
      </c>
      <c r="AM49" s="93">
        <f t="shared" si="73"/>
        <v>0.25279642746181719</v>
      </c>
      <c r="AN49" s="93">
        <f t="shared" si="74"/>
        <v>1.5003292367159109E-3</v>
      </c>
      <c r="AO49" s="260">
        <f t="shared" si="39"/>
        <v>5.9267893116425503E-2</v>
      </c>
      <c r="AP49" s="261">
        <f t="shared" si="40"/>
        <v>0.23031508885568505</v>
      </c>
      <c r="AQ49" s="262">
        <f t="shared" si="41"/>
        <v>0.78464446289465528</v>
      </c>
      <c r="AR49" s="263">
        <f t="shared" si="42"/>
        <v>1.9227608039764986E-3</v>
      </c>
      <c r="AS49" s="260">
        <f t="shared" si="43"/>
        <v>2.059396901289575E-5</v>
      </c>
      <c r="AT49" s="260">
        <f t="shared" si="38"/>
        <v>0.99997940603098712</v>
      </c>
    </row>
    <row r="50" spans="7:46" ht="12" customHeight="1">
      <c r="G50" s="218">
        <f t="shared" si="36"/>
        <v>9.7087378640776691</v>
      </c>
      <c r="H50" s="215">
        <f t="shared" si="37"/>
        <v>2000</v>
      </c>
      <c r="I50" s="92">
        <v>48000</v>
      </c>
      <c r="J50" s="93">
        <f t="shared" si="44"/>
        <v>0.73940679990189329</v>
      </c>
      <c r="K50" s="93">
        <f t="shared" si="45"/>
        <v>0.2427061565524552</v>
      </c>
      <c r="L50" s="93">
        <f t="shared" si="46"/>
        <v>0.28032412316094824</v>
      </c>
      <c r="M50" s="93">
        <f t="shared" si="47"/>
        <v>0.72956434490640809</v>
      </c>
      <c r="N50" s="93">
        <f t="shared" si="48"/>
        <v>0.19049838836460672</v>
      </c>
      <c r="O50" s="93">
        <f t="shared" si="49"/>
        <v>1.6050170575699026E-2</v>
      </c>
      <c r="P50" s="93">
        <f t="shared" si="50"/>
        <v>0.72798313224250666</v>
      </c>
      <c r="Q50" s="93">
        <f t="shared" si="51"/>
        <v>0.38963809828608525</v>
      </c>
      <c r="R50" s="93">
        <f t="shared" si="52"/>
        <v>0.73710324611837208</v>
      </c>
      <c r="S50" s="93">
        <f t="shared" si="53"/>
        <v>0.21371747116834588</v>
      </c>
      <c r="T50" s="93">
        <f t="shared" si="54"/>
        <v>0.6472000847887257</v>
      </c>
      <c r="U50" s="93">
        <f t="shared" si="55"/>
        <v>0.38395081601294745</v>
      </c>
      <c r="V50" s="93">
        <f t="shared" si="56"/>
        <v>1.7977112651713465E-8</v>
      </c>
      <c r="W50" s="93">
        <f t="shared" si="57"/>
        <v>5.213052405597482E-2</v>
      </c>
      <c r="X50" s="93">
        <f t="shared" si="58"/>
        <v>0.38934060389631431</v>
      </c>
      <c r="Y50" s="93">
        <f t="shared" si="59"/>
        <v>0.38926626579647955</v>
      </c>
      <c r="Z50" s="93">
        <f t="shared" si="60"/>
        <v>0.38934060389631431</v>
      </c>
      <c r="AA50" s="93">
        <f t="shared" si="61"/>
        <v>0.3894149561924809</v>
      </c>
      <c r="AB50" s="93">
        <f t="shared" si="62"/>
        <v>0.15946901653715354</v>
      </c>
      <c r="AC50" s="93">
        <f t="shared" si="63"/>
        <v>0.15940976235309534</v>
      </c>
      <c r="AD50" s="93">
        <f t="shared" si="64"/>
        <v>0.39562213640185534</v>
      </c>
      <c r="AE50" s="93">
        <f t="shared" si="65"/>
        <v>1.942718179599379E-2</v>
      </c>
      <c r="AF50" s="93">
        <f t="shared" si="66"/>
        <v>1.942718179599379E-2</v>
      </c>
      <c r="AG50" s="93">
        <f t="shared" si="67"/>
        <v>0.16355040415699645</v>
      </c>
      <c r="AH50" s="93">
        <f t="shared" si="68"/>
        <v>0.15935053018621895</v>
      </c>
      <c r="AI50" s="93">
        <f t="shared" si="69"/>
        <v>0.72876712281630696</v>
      </c>
      <c r="AJ50" s="93">
        <f t="shared" si="70"/>
        <v>0.15970625360892987</v>
      </c>
      <c r="AK50" s="93">
        <f t="shared" si="71"/>
        <v>3.3217668936908654E-2</v>
      </c>
      <c r="AL50" s="93">
        <f t="shared" si="72"/>
        <v>1.9442686789315881E-2</v>
      </c>
      <c r="AM50" s="93">
        <f t="shared" si="73"/>
        <v>0.24550702900200688</v>
      </c>
      <c r="AN50" s="93">
        <f t="shared" si="74"/>
        <v>1.3064880316270787E-3</v>
      </c>
      <c r="AO50" s="260">
        <f t="shared" si="39"/>
        <v>5.5520647401392689E-2</v>
      </c>
      <c r="AP50" s="261">
        <f t="shared" si="40"/>
        <v>0.2226758767319936</v>
      </c>
      <c r="AQ50" s="262">
        <f t="shared" si="41"/>
        <v>0.77908950178827463</v>
      </c>
      <c r="AR50" s="263">
        <f t="shared" si="42"/>
        <v>1.6596365747804573E-3</v>
      </c>
      <c r="AS50" s="260">
        <f t="shared" si="43"/>
        <v>1.5985566884846848E-5</v>
      </c>
      <c r="AT50" s="260">
        <f t="shared" si="38"/>
        <v>0.99998401443311513</v>
      </c>
    </row>
    <row r="51" spans="7:46" ht="12" customHeight="1">
      <c r="G51" s="218">
        <f t="shared" si="36"/>
        <v>9.9110032362459553</v>
      </c>
      <c r="H51" s="215">
        <f t="shared" si="37"/>
        <v>2041.6666666666667</v>
      </c>
      <c r="I51" s="92">
        <v>49000</v>
      </c>
      <c r="J51" s="93">
        <f t="shared" si="44"/>
        <v>0.73477072594222259</v>
      </c>
      <c r="K51" s="93">
        <f t="shared" si="45"/>
        <v>0.23565137387628307</v>
      </c>
      <c r="L51" s="93">
        <f t="shared" si="46"/>
        <v>0.2729941866177138</v>
      </c>
      <c r="M51" s="93">
        <f t="shared" si="47"/>
        <v>0.72478760807283571</v>
      </c>
      <c r="N51" s="93">
        <f t="shared" si="48"/>
        <v>0.18403017596875415</v>
      </c>
      <c r="O51" s="93">
        <f t="shared" si="49"/>
        <v>1.4726305702275956E-2</v>
      </c>
      <c r="P51" s="93">
        <f t="shared" si="50"/>
        <v>0.72318405819490239</v>
      </c>
      <c r="Q51" s="93">
        <f t="shared" si="51"/>
        <v>0.38206172116444231</v>
      </c>
      <c r="R51" s="93">
        <f t="shared" si="52"/>
        <v>0.73243400152904381</v>
      </c>
      <c r="S51" s="93">
        <f t="shared" si="53"/>
        <v>0.20695616143073772</v>
      </c>
      <c r="T51" s="93">
        <f t="shared" si="54"/>
        <v>0.64135999757673079</v>
      </c>
      <c r="U51" s="93">
        <f t="shared" si="55"/>
        <v>0.37636971469456382</v>
      </c>
      <c r="V51" s="93">
        <f t="shared" si="56"/>
        <v>1.2398237135239155E-8</v>
      </c>
      <c r="W51" s="93">
        <f t="shared" si="57"/>
        <v>4.9019044630409007E-2</v>
      </c>
      <c r="X51" s="93">
        <f t="shared" si="58"/>
        <v>0.38176393653271634</v>
      </c>
      <c r="Y51" s="93">
        <f t="shared" si="59"/>
        <v>0.38168952664713579</v>
      </c>
      <c r="Z51" s="93">
        <f t="shared" si="60"/>
        <v>0.38176393653271634</v>
      </c>
      <c r="AA51" s="93">
        <f t="shared" si="61"/>
        <v>0.38183836092440909</v>
      </c>
      <c r="AB51" s="93">
        <f t="shared" si="62"/>
        <v>0.15348481172666475</v>
      </c>
      <c r="AC51" s="93">
        <f t="shared" si="63"/>
        <v>0.153426593191551</v>
      </c>
      <c r="AD51" s="93">
        <f t="shared" si="64"/>
        <v>0.38805259858047453</v>
      </c>
      <c r="AE51" s="93">
        <f t="shared" si="65"/>
        <v>1.7895822978456797E-2</v>
      </c>
      <c r="AF51" s="93">
        <f t="shared" si="66"/>
        <v>1.7895822978456797E-2</v>
      </c>
      <c r="AG51" s="93">
        <f t="shared" si="67"/>
        <v>0.15749594034487008</v>
      </c>
      <c r="AH51" s="93">
        <f t="shared" si="68"/>
        <v>0.15336839673938993</v>
      </c>
      <c r="AI51" s="93">
        <f t="shared" si="69"/>
        <v>0.72397911485749411</v>
      </c>
      <c r="AJ51" s="93">
        <f t="shared" si="70"/>
        <v>0.15371790686428372</v>
      </c>
      <c r="AK51" s="93">
        <f t="shared" si="71"/>
        <v>3.09431372077624E-2</v>
      </c>
      <c r="AL51" s="93">
        <f t="shared" si="72"/>
        <v>1.7910403461317191E-2</v>
      </c>
      <c r="AM51" s="93">
        <f t="shared" si="73"/>
        <v>0.23842782073530727</v>
      </c>
      <c r="AN51" s="93">
        <f t="shared" si="74"/>
        <v>1.1376909381044114E-3</v>
      </c>
      <c r="AO51" s="260">
        <f t="shared" si="39"/>
        <v>5.201304909741597E-2</v>
      </c>
      <c r="AP51" s="261">
        <f t="shared" si="40"/>
        <v>0.21528726173355009</v>
      </c>
      <c r="AQ51" s="262">
        <f t="shared" si="41"/>
        <v>0.77356368677556675</v>
      </c>
      <c r="AR51" s="263">
        <f t="shared" si="42"/>
        <v>1.4324740046183203E-3</v>
      </c>
      <c r="AS51" s="260">
        <f t="shared" si="43"/>
        <v>1.2408333902714514E-5</v>
      </c>
      <c r="AT51" s="260">
        <f t="shared" si="38"/>
        <v>0.9999875916660973</v>
      </c>
    </row>
    <row r="52" spans="7:46" ht="12" customHeight="1">
      <c r="G52" s="274">
        <f t="shared" si="36"/>
        <v>10.11326860841424</v>
      </c>
      <c r="H52" s="275">
        <f t="shared" si="37"/>
        <v>2083.3333333333335</v>
      </c>
      <c r="I52" s="276">
        <v>50000</v>
      </c>
      <c r="J52" s="277">
        <f t="shared" si="44"/>
        <v>0.73016372012442232</v>
      </c>
      <c r="K52" s="277">
        <f t="shared" si="45"/>
        <v>0.2288016538129222</v>
      </c>
      <c r="L52" s="277">
        <f t="shared" si="46"/>
        <v>0.26585591381401774</v>
      </c>
      <c r="M52" s="277">
        <f t="shared" si="47"/>
        <v>0.72004214636247432</v>
      </c>
      <c r="N52" s="277">
        <f t="shared" si="48"/>
        <v>0.1777815862791986</v>
      </c>
      <c r="O52" s="277">
        <f t="shared" si="49"/>
        <v>1.3511637064171236E-2</v>
      </c>
      <c r="P52" s="277">
        <f t="shared" si="50"/>
        <v>0.71841662102278925</v>
      </c>
      <c r="Q52" s="277">
        <f t="shared" si="51"/>
        <v>0.37463266405729961</v>
      </c>
      <c r="R52" s="277">
        <f t="shared" si="52"/>
        <v>0.72779433467546673</v>
      </c>
      <c r="S52" s="277">
        <f t="shared" si="53"/>
        <v>0.20040875703796612</v>
      </c>
      <c r="T52" s="277">
        <f t="shared" si="54"/>
        <v>0.63557260908873991</v>
      </c>
      <c r="U52" s="277">
        <f t="shared" si="55"/>
        <v>0.36893830207275974</v>
      </c>
      <c r="V52" s="277">
        <f t="shared" si="56"/>
        <v>8.5506658961149983E-9</v>
      </c>
      <c r="W52" s="277">
        <f t="shared" si="57"/>
        <v>4.6093277978521134E-2</v>
      </c>
      <c r="X52" s="277">
        <f t="shared" si="58"/>
        <v>0.37433471304670052</v>
      </c>
      <c r="Y52" s="277">
        <f t="shared" si="59"/>
        <v>0.37426026232718612</v>
      </c>
      <c r="Z52" s="277">
        <f t="shared" si="60"/>
        <v>0.37433471304670052</v>
      </c>
      <c r="AA52" s="277">
        <f t="shared" si="61"/>
        <v>0.37440917857652256</v>
      </c>
      <c r="AB52" s="277">
        <f t="shared" si="62"/>
        <v>0.14772516907872954</v>
      </c>
      <c r="AC52" s="277">
        <f t="shared" si="63"/>
        <v>0.14766799191523042</v>
      </c>
      <c r="AD52" s="277">
        <f t="shared" si="64"/>
        <v>0.38062789062971325</v>
      </c>
      <c r="AE52" s="277">
        <f t="shared" si="65"/>
        <v>1.648517440354139E-2</v>
      </c>
      <c r="AF52" s="277">
        <f t="shared" si="66"/>
        <v>1.648517440354139E-2</v>
      </c>
      <c r="AG52" s="277">
        <f t="shared" si="67"/>
        <v>0.15166560641026552</v>
      </c>
      <c r="AH52" s="277">
        <f t="shared" si="68"/>
        <v>0.14761083688220536</v>
      </c>
      <c r="AI52" s="277">
        <f t="shared" si="69"/>
        <v>0.71922256416328068</v>
      </c>
      <c r="AJ52" s="277">
        <f t="shared" si="70"/>
        <v>0.1479540992088953</v>
      </c>
      <c r="AK52" s="277">
        <f t="shared" si="71"/>
        <v>2.8824350741678363E-2</v>
      </c>
      <c r="AL52" s="277">
        <f t="shared" si="72"/>
        <v>1.6498879790803344E-2</v>
      </c>
      <c r="AM52" s="277">
        <f t="shared" si="73"/>
        <v>0.2315527418162969</v>
      </c>
      <c r="AN52" s="277">
        <f t="shared" si="74"/>
        <v>9.9070227917277126E-4</v>
      </c>
      <c r="AO52" s="278">
        <f t="shared" si="39"/>
        <v>4.8729711181460057E-2</v>
      </c>
      <c r="AP52" s="279">
        <f t="shared" si="40"/>
        <v>0.20814151593221897</v>
      </c>
      <c r="AQ52" s="280">
        <f t="shared" si="41"/>
        <v>0.76806827869659755</v>
      </c>
      <c r="AR52" s="281">
        <f t="shared" si="42"/>
        <v>1.2363669569320538E-3</v>
      </c>
      <c r="AS52" s="278">
        <f t="shared" si="43"/>
        <v>9.6316295243044704E-6</v>
      </c>
      <c r="AT52" s="260">
        <f t="shared" si="38"/>
        <v>0.99999036837047572</v>
      </c>
    </row>
    <row r="53" spans="7:46" ht="12" customHeight="1">
      <c r="G53" s="218">
        <f t="shared" si="36"/>
        <v>10.315533980582524</v>
      </c>
      <c r="H53" s="215">
        <f t="shared" si="37"/>
        <v>2125</v>
      </c>
      <c r="I53" s="92">
        <v>51000</v>
      </c>
      <c r="J53" s="93">
        <f t="shared" si="44"/>
        <v>0.72558560019150542</v>
      </c>
      <c r="K53" s="93">
        <f t="shared" si="45"/>
        <v>0.22215103577122428</v>
      </c>
      <c r="L53" s="93">
        <f t="shared" si="46"/>
        <v>0.25890429311178687</v>
      </c>
      <c r="M53" s="93">
        <f t="shared" si="47"/>
        <v>0.71532775500512902</v>
      </c>
      <c r="N53" s="93">
        <f t="shared" si="48"/>
        <v>0.17174516219184871</v>
      </c>
      <c r="O53" s="93">
        <f t="shared" si="49"/>
        <v>1.2397157837465669E-2</v>
      </c>
      <c r="P53" s="93">
        <f t="shared" si="50"/>
        <v>0.71368061216679068</v>
      </c>
      <c r="Q53" s="93">
        <f t="shared" si="51"/>
        <v>0.36734806237828249</v>
      </c>
      <c r="R53" s="93">
        <f t="shared" si="52"/>
        <v>0.72318405819490239</v>
      </c>
      <c r="S53" s="93">
        <f t="shared" si="53"/>
        <v>0.19406849073659577</v>
      </c>
      <c r="T53" s="93">
        <f t="shared" si="54"/>
        <v>0.62983744379152728</v>
      </c>
      <c r="U53" s="93">
        <f t="shared" si="55"/>
        <v>0.36165362254716221</v>
      </c>
      <c r="V53" s="93">
        <f t="shared" si="56"/>
        <v>5.8971196041390686E-9</v>
      </c>
      <c r="W53" s="93">
        <f t="shared" si="57"/>
        <v>4.3342139587258091E-2</v>
      </c>
      <c r="X53" s="93">
        <f t="shared" si="58"/>
        <v>0.36705006414283731</v>
      </c>
      <c r="Y53" s="93">
        <f t="shared" si="59"/>
        <v>0.36697560236361093</v>
      </c>
      <c r="Z53" s="93">
        <f t="shared" si="60"/>
        <v>0.36705006414283731</v>
      </c>
      <c r="AA53" s="93">
        <f t="shared" si="61"/>
        <v>0.36712454103085163</v>
      </c>
      <c r="AB53" s="93">
        <f t="shared" si="62"/>
        <v>0.14218166171518321</v>
      </c>
      <c r="AC53" s="93">
        <f t="shared" si="63"/>
        <v>0.14212552975775372</v>
      </c>
      <c r="AD53" s="93">
        <f t="shared" si="64"/>
        <v>0.37334524148323711</v>
      </c>
      <c r="AE53" s="93">
        <f t="shared" si="65"/>
        <v>1.5185721016704597E-2</v>
      </c>
      <c r="AF53" s="93">
        <f t="shared" si="66"/>
        <v>1.5185721016704597E-2</v>
      </c>
      <c r="AG53" s="93">
        <f t="shared" si="67"/>
        <v>0.14605110530103135</v>
      </c>
      <c r="AH53" s="93">
        <f t="shared" si="68"/>
        <v>0.14206941996068309</v>
      </c>
      <c r="AI53" s="93">
        <f t="shared" si="69"/>
        <v>0.71449726405909431</v>
      </c>
      <c r="AJ53" s="93">
        <f t="shared" si="70"/>
        <v>0.14240641132358445</v>
      </c>
      <c r="AK53" s="93">
        <f t="shared" si="71"/>
        <v>2.685064510753192E-2</v>
      </c>
      <c r="AL53" s="93">
        <f t="shared" si="72"/>
        <v>1.5198598676981414E-2</v>
      </c>
      <c r="AM53" s="93">
        <f t="shared" si="73"/>
        <v>0.22487590616435518</v>
      </c>
      <c r="AN53" s="93">
        <f t="shared" si="74"/>
        <v>8.6270442444892474E-4</v>
      </c>
      <c r="AO53" s="260">
        <f t="shared" si="39"/>
        <v>4.565621595184869E-2</v>
      </c>
      <c r="AP53" s="261">
        <f t="shared" si="40"/>
        <v>0.20123108960285921</v>
      </c>
      <c r="AQ53" s="262">
        <f t="shared" si="41"/>
        <v>0.76260442306984288</v>
      </c>
      <c r="AR53" s="263">
        <f t="shared" si="42"/>
        <v>1.0670769338572254E-3</v>
      </c>
      <c r="AS53" s="260">
        <f t="shared" si="43"/>
        <v>7.4763572334434703E-6</v>
      </c>
      <c r="AT53" s="260">
        <f t="shared" si="38"/>
        <v>0.99999252364276658</v>
      </c>
    </row>
    <row r="54" spans="7:46" ht="12" customHeight="1">
      <c r="G54" s="218">
        <f t="shared" si="36"/>
        <v>10.517799352750808</v>
      </c>
      <c r="H54" s="215">
        <f t="shared" si="37"/>
        <v>2166.6666666666665</v>
      </c>
      <c r="I54" s="92">
        <v>52000</v>
      </c>
      <c r="J54" s="93">
        <f t="shared" si="44"/>
        <v>0.72103618502923461</v>
      </c>
      <c r="K54" s="93">
        <f t="shared" si="45"/>
        <v>0.21569373241759546</v>
      </c>
      <c r="L54" s="93">
        <f t="shared" si="46"/>
        <v>0.25213444391764256</v>
      </c>
      <c r="M54" s="93">
        <f t="shared" si="47"/>
        <v>0.71064423057131376</v>
      </c>
      <c r="N54" s="93">
        <f t="shared" si="48"/>
        <v>0.1659136998023043</v>
      </c>
      <c r="O54" s="93">
        <f t="shared" si="49"/>
        <v>1.1374604107341993E-2</v>
      </c>
      <c r="P54" s="93">
        <f t="shared" si="50"/>
        <v>0.7089758244424138</v>
      </c>
      <c r="Q54" s="93">
        <f t="shared" si="51"/>
        <v>0.36020510724190047</v>
      </c>
      <c r="R54" s="93">
        <f t="shared" si="52"/>
        <v>0.71860298591147809</v>
      </c>
      <c r="S54" s="93">
        <f t="shared" si="53"/>
        <v>0.18792880936657488</v>
      </c>
      <c r="T54" s="93">
        <f t="shared" si="54"/>
        <v>0.62415403044289763</v>
      </c>
      <c r="U54" s="93">
        <f t="shared" si="55"/>
        <v>0.35451277887566957</v>
      </c>
      <c r="V54" s="93">
        <f t="shared" si="56"/>
        <v>4.0670539637529248E-9</v>
      </c>
      <c r="W54" s="93">
        <f t="shared" si="57"/>
        <v>4.0755206537420499E-2</v>
      </c>
      <c r="X54" s="93">
        <f t="shared" si="58"/>
        <v>0.35990717636291758</v>
      </c>
      <c r="Y54" s="93">
        <f t="shared" si="59"/>
        <v>0.35983273215472389</v>
      </c>
      <c r="Z54" s="93">
        <f t="shared" si="60"/>
        <v>0.35990717636291758</v>
      </c>
      <c r="AA54" s="93">
        <f t="shared" si="61"/>
        <v>0.3599816359725454</v>
      </c>
      <c r="AB54" s="93">
        <f t="shared" si="62"/>
        <v>0.13684617898333193</v>
      </c>
      <c r="AC54" s="93">
        <f t="shared" si="63"/>
        <v>0.13679109431187947</v>
      </c>
      <c r="AD54" s="93">
        <f t="shared" si="64"/>
        <v>0.36620193309422083</v>
      </c>
      <c r="AE54" s="93">
        <f t="shared" si="65"/>
        <v>1.3988697793069393E-2</v>
      </c>
      <c r="AF54" s="93">
        <f t="shared" si="66"/>
        <v>1.3988697793069393E-2</v>
      </c>
      <c r="AG54" s="93">
        <f t="shared" si="67"/>
        <v>0.14064444711315352</v>
      </c>
      <c r="AH54" s="93">
        <f t="shared" si="68"/>
        <v>0.13673603181365138</v>
      </c>
      <c r="AI54" s="93">
        <f t="shared" si="69"/>
        <v>0.70980300922821715</v>
      </c>
      <c r="AJ54" s="93">
        <f t="shared" si="70"/>
        <v>0.13706673958001883</v>
      </c>
      <c r="AK54" s="93">
        <f t="shared" si="71"/>
        <v>2.501208610566083E-2</v>
      </c>
      <c r="AL54" s="93">
        <f t="shared" si="72"/>
        <v>1.4000793064308636E-2</v>
      </c>
      <c r="AM54" s="93">
        <f t="shared" si="73"/>
        <v>0.2183915974243098</v>
      </c>
      <c r="AN54" s="93">
        <f t="shared" si="74"/>
        <v>7.5124377889309148E-4</v>
      </c>
      <c r="AO54" s="260">
        <f t="shared" si="39"/>
        <v>4.2779058781786165E-2</v>
      </c>
      <c r="AP54" s="261">
        <f t="shared" si="40"/>
        <v>0.19454861433342771</v>
      </c>
      <c r="AQ54" s="262">
        <f t="shared" si="41"/>
        <v>0.75717315716347677</v>
      </c>
      <c r="AR54" s="263">
        <f t="shared" si="42"/>
        <v>9.2094255164435011E-4</v>
      </c>
      <c r="AS54" s="260">
        <f t="shared" si="43"/>
        <v>5.8034616104928604E-6</v>
      </c>
      <c r="AT54" s="260">
        <f t="shared" si="38"/>
        <v>0.9999941965383895</v>
      </c>
    </row>
    <row r="55" spans="7:46" ht="12" customHeight="1">
      <c r="G55" s="218">
        <f t="shared" si="36"/>
        <v>10.720064724919094</v>
      </c>
      <c r="H55" s="215">
        <f t="shared" si="37"/>
        <v>2208.3333333333335</v>
      </c>
      <c r="I55" s="92">
        <v>53000</v>
      </c>
      <c r="J55" s="93">
        <f t="shared" si="44"/>
        <v>0.7165152946589568</v>
      </c>
      <c r="K55" s="93">
        <f t="shared" si="45"/>
        <v>0.20942412463988885</v>
      </c>
      <c r="L55" s="93">
        <f t="shared" si="46"/>
        <v>0.24554161325633367</v>
      </c>
      <c r="M55" s="93">
        <f t="shared" si="47"/>
        <v>0.70599137096347331</v>
      </c>
      <c r="N55" s="93">
        <f t="shared" si="48"/>
        <v>0.16028023980867415</v>
      </c>
      <c r="O55" s="93">
        <f t="shared" si="49"/>
        <v>1.0436393590775701E-2</v>
      </c>
      <c r="P55" s="93">
        <f t="shared" si="50"/>
        <v>0.70430205203098517</v>
      </c>
      <c r="Q55" s="93">
        <f t="shared" si="51"/>
        <v>0.35320104438046357</v>
      </c>
      <c r="R55" s="93">
        <f t="shared" si="52"/>
        <v>0.71405093282866816</v>
      </c>
      <c r="S55" s="93">
        <f t="shared" si="53"/>
        <v>0.181983367088033</v>
      </c>
      <c r="T55" s="93">
        <f t="shared" si="54"/>
        <v>0.61852190205296609</v>
      </c>
      <c r="U55" s="93">
        <f t="shared" si="55"/>
        <v>0.34751293102216868</v>
      </c>
      <c r="V55" s="93">
        <f t="shared" si="56"/>
        <v>2.8049164769302921E-9</v>
      </c>
      <c r="W55" s="93">
        <f t="shared" si="57"/>
        <v>3.8322678015556659E-2</v>
      </c>
      <c r="X55" s="93">
        <f t="shared" si="58"/>
        <v>0.35290329099934581</v>
      </c>
      <c r="Y55" s="93">
        <f t="shared" si="59"/>
        <v>0.3528288918826839</v>
      </c>
      <c r="Z55" s="93">
        <f t="shared" si="60"/>
        <v>0.35290329099934581</v>
      </c>
      <c r="AA55" s="93">
        <f t="shared" si="61"/>
        <v>0.35297770580414628</v>
      </c>
      <c r="AB55" s="93">
        <f t="shared" si="62"/>
        <v>0.13171091458933429</v>
      </c>
      <c r="AC55" s="93">
        <f t="shared" si="63"/>
        <v>0.13165687765551265</v>
      </c>
      <c r="AD55" s="93">
        <f t="shared" si="64"/>
        <v>0.35919529942091233</v>
      </c>
      <c r="AE55" s="93">
        <f t="shared" si="65"/>
        <v>1.2886030615903502E-2</v>
      </c>
      <c r="AF55" s="93">
        <f t="shared" si="66"/>
        <v>1.2886030615903502E-2</v>
      </c>
      <c r="AG55" s="93">
        <f t="shared" si="67"/>
        <v>0.13543793772045459</v>
      </c>
      <c r="AH55" s="93">
        <f t="shared" si="68"/>
        <v>0.13160286289138151</v>
      </c>
      <c r="AI55" s="93">
        <f t="shared" si="69"/>
        <v>0.70513959570286444</v>
      </c>
      <c r="AJ55" s="93">
        <f t="shared" si="70"/>
        <v>0.13192728420356778</v>
      </c>
      <c r="AK55" s="93">
        <f t="shared" si="71"/>
        <v>2.3299419766324419E-2</v>
      </c>
      <c r="AL55" s="93">
        <f t="shared" si="72"/>
        <v>1.2897386831226239E-2</v>
      </c>
      <c r="AM55" s="93">
        <f t="shared" si="73"/>
        <v>0.21209426407239476</v>
      </c>
      <c r="AN55" s="93">
        <f t="shared" si="74"/>
        <v>6.5418374976583212E-4</v>
      </c>
      <c r="AO55" s="260">
        <f t="shared" si="39"/>
        <v>4.008559426529329E-2</v>
      </c>
      <c r="AP55" s="261">
        <f t="shared" si="40"/>
        <v>0.18808690505443612</v>
      </c>
      <c r="AQ55" s="262">
        <f t="shared" si="41"/>
        <v>0.75177541668321202</v>
      </c>
      <c r="AR55" s="263">
        <f t="shared" si="42"/>
        <v>7.9480122408970191E-4</v>
      </c>
      <c r="AS55" s="260">
        <f t="shared" si="43"/>
        <v>4.5049869155743435E-6</v>
      </c>
      <c r="AT55" s="260">
        <f t="shared" si="38"/>
        <v>0.99999549501308438</v>
      </c>
    </row>
    <row r="56" spans="7:46" ht="12" customHeight="1">
      <c r="G56" s="218">
        <f t="shared" si="36"/>
        <v>10.922330097087379</v>
      </c>
      <c r="H56" s="215">
        <f t="shared" si="37"/>
        <v>2250</v>
      </c>
      <c r="I56" s="92">
        <v>54000</v>
      </c>
      <c r="J56" s="93">
        <f t="shared" si="44"/>
        <v>0.712022750230484</v>
      </c>
      <c r="K56" s="93">
        <f t="shared" si="45"/>
        <v>0.20333675665768158</v>
      </c>
      <c r="L56" s="93">
        <f t="shared" si="46"/>
        <v>0.23912117243376846</v>
      </c>
      <c r="M56" s="93">
        <f t="shared" si="47"/>
        <v>0.70136897540726217</v>
      </c>
      <c r="N56" s="93">
        <f t="shared" si="48"/>
        <v>0.15483805920630372</v>
      </c>
      <c r="O56" s="93">
        <f t="shared" si="49"/>
        <v>9.5755694135570193E-3</v>
      </c>
      <c r="P56" s="93">
        <f t="shared" si="50"/>
        <v>0.69965909047064723</v>
      </c>
      <c r="Q56" s="93">
        <f t="shared" si="51"/>
        <v>0.34633317308205752</v>
      </c>
      <c r="R56" s="93">
        <f t="shared" si="52"/>
        <v>0.70952771512182389</v>
      </c>
      <c r="S56" s="93">
        <f t="shared" si="53"/>
        <v>0.17622601882236025</v>
      </c>
      <c r="T56" s="93">
        <f t="shared" si="54"/>
        <v>0.61294059584578664</v>
      </c>
      <c r="U56" s="93">
        <f t="shared" si="55"/>
        <v>0.34065129502700342</v>
      </c>
      <c r="V56" s="93">
        <f t="shared" si="56"/>
        <v>1.9344607946374983E-9</v>
      </c>
      <c r="W56" s="93">
        <f t="shared" si="57"/>
        <v>3.6035338182756317E-2</v>
      </c>
      <c r="X56" s="93">
        <f t="shared" si="58"/>
        <v>0.34603570302967923</v>
      </c>
      <c r="Y56" s="93">
        <f t="shared" si="59"/>
        <v>0.34596137544717354</v>
      </c>
      <c r="Z56" s="93">
        <f t="shared" si="60"/>
        <v>0.34603570302967923</v>
      </c>
      <c r="AA56" s="93">
        <f t="shared" si="61"/>
        <v>0.34611004658098932</v>
      </c>
      <c r="AB56" s="93">
        <f t="shared" si="62"/>
        <v>0.12676835517688731</v>
      </c>
      <c r="AC56" s="93">
        <f t="shared" si="63"/>
        <v>0.1267153649233824</v>
      </c>
      <c r="AD56" s="93">
        <f t="shared" si="64"/>
        <v>0.35232272543160698</v>
      </c>
      <c r="AE56" s="93">
        <f t="shared" si="65"/>
        <v>1.1870281815386035E-2</v>
      </c>
      <c r="AF56" s="93">
        <f t="shared" si="66"/>
        <v>1.1870281815386035E-2</v>
      </c>
      <c r="AG56" s="93">
        <f t="shared" si="67"/>
        <v>0.13042416782520949</v>
      </c>
      <c r="AH56" s="93">
        <f t="shared" si="68"/>
        <v>0.12666239682025535</v>
      </c>
      <c r="AI56" s="93">
        <f t="shared" si="69"/>
        <v>0.70050682085532201</v>
      </c>
      <c r="AJ56" s="93">
        <f t="shared" si="70"/>
        <v>0.12698053788000194</v>
      </c>
      <c r="AK56" s="93">
        <f t="shared" si="71"/>
        <v>2.1704025771945766E-2</v>
      </c>
      <c r="AL56" s="93">
        <f t="shared" si="72"/>
        <v>1.1880940337468105E-2</v>
      </c>
      <c r="AM56" s="93">
        <f t="shared" si="73"/>
        <v>0.20597851466332756</v>
      </c>
      <c r="AN56" s="93">
        <f t="shared" si="74"/>
        <v>5.6966379021234704E-4</v>
      </c>
      <c r="AO56" s="260">
        <f t="shared" si="39"/>
        <v>3.7563984807145789E-2</v>
      </c>
      <c r="AP56" s="261">
        <f t="shared" si="40"/>
        <v>0.18183896112371975</v>
      </c>
      <c r="AQ56" s="262">
        <f t="shared" si="41"/>
        <v>0.74641204209619327</v>
      </c>
      <c r="AR56" s="263">
        <f t="shared" si="42"/>
        <v>6.8592142159575736E-4</v>
      </c>
      <c r="AS56" s="260">
        <f t="shared" si="43"/>
        <v>3.4971285878050387E-6</v>
      </c>
      <c r="AT56" s="260">
        <f t="shared" si="38"/>
        <v>0.99999650287141217</v>
      </c>
    </row>
    <row r="57" spans="7:46" ht="12" customHeight="1">
      <c r="G57" s="218">
        <f t="shared" si="36"/>
        <v>11.124595469255663</v>
      </c>
      <c r="H57" s="215">
        <f t="shared" si="37"/>
        <v>2291.6666666666665</v>
      </c>
      <c r="I57" s="92">
        <v>55000</v>
      </c>
      <c r="J57" s="93">
        <f t="shared" si="44"/>
        <v>0.70755837401501687</v>
      </c>
      <c r="K57" s="93">
        <f t="shared" si="45"/>
        <v>0.19742633127468315</v>
      </c>
      <c r="L57" s="93">
        <f t="shared" si="46"/>
        <v>0.2328686137873012</v>
      </c>
      <c r="M57" s="93">
        <f t="shared" si="47"/>
        <v>0.69677684444288157</v>
      </c>
      <c r="N57" s="93">
        <f t="shared" si="48"/>
        <v>0.14958066326450137</v>
      </c>
      <c r="O57" s="93">
        <f t="shared" si="49"/>
        <v>8.7857485247481559E-3</v>
      </c>
      <c r="P57" s="93">
        <f t="shared" si="50"/>
        <v>0.6950467366474139</v>
      </c>
      <c r="Q57" s="93">
        <f t="shared" si="51"/>
        <v>0.33959884514917066</v>
      </c>
      <c r="R57" s="93">
        <f t="shared" si="52"/>
        <v>0.70503315013074941</v>
      </c>
      <c r="S57" s="93">
        <f t="shared" si="53"/>
        <v>0.17065081390078887</v>
      </c>
      <c r="T57" s="93">
        <f t="shared" si="54"/>
        <v>0.60740965322132756</v>
      </c>
      <c r="U57" s="93">
        <f t="shared" si="55"/>
        <v>0.33392514189974659</v>
      </c>
      <c r="V57" s="93">
        <f t="shared" si="56"/>
        <v>1.3341354713295946E-9</v>
      </c>
      <c r="W57" s="93">
        <f t="shared" si="57"/>
        <v>3.3884521259669939E-2</v>
      </c>
      <c r="X57" s="93">
        <f t="shared" si="58"/>
        <v>0.33930176007190122</v>
      </c>
      <c r="Y57" s="93">
        <f t="shared" si="59"/>
        <v>0.33922752941983275</v>
      </c>
      <c r="Z57" s="93">
        <f t="shared" si="60"/>
        <v>0.33930176007190122</v>
      </c>
      <c r="AA57" s="93">
        <f t="shared" si="61"/>
        <v>0.33937600696731446</v>
      </c>
      <c r="AB57" s="93">
        <f t="shared" si="62"/>
        <v>0.12201126933450654</v>
      </c>
      <c r="AC57" s="93">
        <f t="shared" si="63"/>
        <v>0.121959323307662</v>
      </c>
      <c r="AD57" s="93">
        <f t="shared" si="64"/>
        <v>0.34558164612865921</v>
      </c>
      <c r="AE57" s="93">
        <f t="shared" si="65"/>
        <v>1.0934600000312418E-2</v>
      </c>
      <c r="AF57" s="93">
        <f t="shared" si="66"/>
        <v>1.0934600000312418E-2</v>
      </c>
      <c r="AG57" s="93">
        <f t="shared" si="67"/>
        <v>0.12559600241409608</v>
      </c>
      <c r="AH57" s="93">
        <f t="shared" si="68"/>
        <v>0.12190739939672299</v>
      </c>
      <c r="AI57" s="93">
        <f t="shared" si="69"/>
        <v>0.69590448338914168</v>
      </c>
      <c r="AJ57" s="93">
        <f t="shared" si="70"/>
        <v>0.12221927478939616</v>
      </c>
      <c r="AK57" s="93">
        <f t="shared" si="71"/>
        <v>2.0217874068698249E-2</v>
      </c>
      <c r="AL57" s="93">
        <f t="shared" si="72"/>
        <v>1.094460026280036E-2</v>
      </c>
      <c r="AM57" s="93">
        <f t="shared" si="73"/>
        <v>0.20003911321443779</v>
      </c>
      <c r="AN57" s="93">
        <f t="shared" si="74"/>
        <v>4.9606373437930729E-4</v>
      </c>
      <c r="AO57" s="260">
        <f t="shared" si="39"/>
        <v>3.5203151673857361E-2</v>
      </c>
      <c r="AP57" s="261">
        <f t="shared" si="40"/>
        <v>0.17579796658873897</v>
      </c>
      <c r="AQ57" s="262">
        <f t="shared" si="41"/>
        <v>0.7410837846094982</v>
      </c>
      <c r="AR57" s="263">
        <f t="shared" si="42"/>
        <v>5.9194408858729685E-4</v>
      </c>
      <c r="AS57" s="260">
        <f t="shared" si="43"/>
        <v>2.7148347078022398E-6</v>
      </c>
      <c r="AT57" s="260">
        <f t="shared" si="38"/>
        <v>0.99999728516529218</v>
      </c>
    </row>
    <row r="58" spans="7:46" ht="12" customHeight="1">
      <c r="G58" s="218">
        <f t="shared" si="36"/>
        <v>11.326860841423949</v>
      </c>
      <c r="H58" s="215">
        <f t="shared" si="37"/>
        <v>2333.3333333333335</v>
      </c>
      <c r="I58" s="92">
        <v>56000</v>
      </c>
      <c r="J58" s="93">
        <f t="shared" si="44"/>
        <v>0.70312198939811421</v>
      </c>
      <c r="K58" s="93">
        <f t="shared" si="45"/>
        <v>0.19168770526914203</v>
      </c>
      <c r="L58" s="93">
        <f t="shared" si="46"/>
        <v>0.22677954752099252</v>
      </c>
      <c r="M58" s="93">
        <f t="shared" si="47"/>
        <v>0.69221477991647229</v>
      </c>
      <c r="N58" s="93">
        <f t="shared" si="48"/>
        <v>0.14450177777568818</v>
      </c>
      <c r="O58" s="93">
        <f t="shared" si="49"/>
        <v>8.0610743660664529E-3</v>
      </c>
      <c r="P58" s="93">
        <f t="shared" si="50"/>
        <v>0.69046478878628481</v>
      </c>
      <c r="Q58" s="93">
        <f t="shared" si="51"/>
        <v>0.33299546387756973</v>
      </c>
      <c r="R58" s="93">
        <f t="shared" si="52"/>
        <v>0.70056705635232597</v>
      </c>
      <c r="S58" s="93">
        <f t="shared" si="53"/>
        <v>0.16525198991391279</v>
      </c>
      <c r="T58" s="93">
        <f t="shared" si="54"/>
        <v>0.60192861971778877</v>
      </c>
      <c r="U58" s="93">
        <f t="shared" si="55"/>
        <v>0.32733179653383337</v>
      </c>
      <c r="V58" s="93">
        <f t="shared" si="56"/>
        <v>9.2011037948865481E-10</v>
      </c>
      <c r="W58" s="93">
        <f t="shared" si="57"/>
        <v>3.1862078695474645E-2</v>
      </c>
      <c r="X58" s="93">
        <f t="shared" si="58"/>
        <v>0.33269886136002497</v>
      </c>
      <c r="Y58" s="93">
        <f t="shared" si="59"/>
        <v>0.33262475201904401</v>
      </c>
      <c r="Z58" s="93">
        <f t="shared" si="60"/>
        <v>0.33269886136002497</v>
      </c>
      <c r="AA58" s="93">
        <f t="shared" si="61"/>
        <v>0.33277298721268866</v>
      </c>
      <c r="AB58" s="93">
        <f t="shared" si="62"/>
        <v>0.11743269701531696</v>
      </c>
      <c r="AC58" s="93">
        <f t="shared" si="63"/>
        <v>0.11738179147143163</v>
      </c>
      <c r="AD58" s="93">
        <f t="shared" si="64"/>
        <v>0.33896954559116854</v>
      </c>
      <c r="AE58" s="93">
        <f t="shared" si="65"/>
        <v>1.0072673844344111E-2</v>
      </c>
      <c r="AF58" s="93">
        <f t="shared" si="66"/>
        <v>1.0072673844344111E-2</v>
      </c>
      <c r="AG58" s="93">
        <f t="shared" si="67"/>
        <v>0.12094657060447525</v>
      </c>
      <c r="AH58" s="93">
        <f t="shared" si="68"/>
        <v>0.11733090799443617</v>
      </c>
      <c r="AI58" s="93">
        <f t="shared" si="69"/>
        <v>0.69133238333039559</v>
      </c>
      <c r="AJ58" s="93">
        <f t="shared" si="70"/>
        <v>0.11763654005121697</v>
      </c>
      <c r="AK58" s="93">
        <f t="shared" si="71"/>
        <v>1.8833484449050929E-2</v>
      </c>
      <c r="AL58" s="93">
        <f t="shared" si="72"/>
        <v>1.0082053398983446E-2</v>
      </c>
      <c r="AM58" s="93">
        <f t="shared" si="73"/>
        <v>0.19427097472289451</v>
      </c>
      <c r="AN58" s="93">
        <f t="shared" si="74"/>
        <v>4.3197274040292428E-4</v>
      </c>
      <c r="AO58" s="260">
        <f t="shared" si="39"/>
        <v>3.2992728494898212E-2</v>
      </c>
      <c r="AP58" s="261">
        <f t="shared" si="40"/>
        <v>0.16995728973598645</v>
      </c>
      <c r="AQ58" s="262">
        <f t="shared" si="41"/>
        <v>0.73579131182089941</v>
      </c>
      <c r="AR58" s="263">
        <f t="shared" si="42"/>
        <v>5.1083198954769596E-4</v>
      </c>
      <c r="AS58" s="260">
        <f t="shared" si="43"/>
        <v>2.1076125281377624E-6</v>
      </c>
      <c r="AT58" s="260">
        <f t="shared" si="38"/>
        <v>0.99999789238747183</v>
      </c>
    </row>
    <row r="59" spans="7:46" ht="12" customHeight="1">
      <c r="G59" s="218">
        <f t="shared" si="36"/>
        <v>11.529126213592233</v>
      </c>
      <c r="H59" s="215">
        <f t="shared" si="37"/>
        <v>2375</v>
      </c>
      <c r="I59" s="92">
        <v>57000</v>
      </c>
      <c r="J59" s="93">
        <f t="shared" si="44"/>
        <v>0.69871342087270583</v>
      </c>
      <c r="K59" s="93">
        <f t="shared" si="45"/>
        <v>0.18611588491824105</v>
      </c>
      <c r="L59" s="93">
        <f t="shared" si="46"/>
        <v>0.22084969862362205</v>
      </c>
      <c r="M59" s="93">
        <f t="shared" si="47"/>
        <v>0.68768258497156398</v>
      </c>
      <c r="N59" s="93">
        <f t="shared" si="48"/>
        <v>0.13959534156772133</v>
      </c>
      <c r="O59" s="93">
        <f t="shared" si="49"/>
        <v>7.396173445234854E-3</v>
      </c>
      <c r="P59" s="93">
        <f t="shared" si="50"/>
        <v>0.68591304644241824</v>
      </c>
      <c r="Q59" s="93">
        <f t="shared" si="51"/>
        <v>0.32652048305503084</v>
      </c>
      <c r="R59" s="93">
        <f t="shared" si="52"/>
        <v>0.69612925343318177</v>
      </c>
      <c r="S59" s="93">
        <f t="shared" si="53"/>
        <v>0.16002396675578756</v>
      </c>
      <c r="T59" s="93">
        <f t="shared" si="54"/>
        <v>0.5964970449742607</v>
      </c>
      <c r="U59" s="93">
        <f t="shared" si="55"/>
        <v>0.32086863664262522</v>
      </c>
      <c r="V59" s="93">
        <f t="shared" si="56"/>
        <v>6.345705729561615E-10</v>
      </c>
      <c r="W59" s="93">
        <f t="shared" si="57"/>
        <v>2.9960348296404052E-2</v>
      </c>
      <c r="X59" s="93">
        <f t="shared" si="58"/>
        <v>0.32622445673963252</v>
      </c>
      <c r="Y59" s="93">
        <f t="shared" si="59"/>
        <v>0.32615049210467201</v>
      </c>
      <c r="Z59" s="93">
        <f t="shared" si="60"/>
        <v>0.32622445673963252</v>
      </c>
      <c r="AA59" s="93">
        <f t="shared" si="61"/>
        <v>0.32629843814834419</v>
      </c>
      <c r="AB59" s="93">
        <f t="shared" si="62"/>
        <v>0.11302593935387491</v>
      </c>
      <c r="AC59" s="93">
        <f t="shared" si="63"/>
        <v>0.11297606935948808</v>
      </c>
      <c r="AD59" s="93">
        <f t="shared" si="64"/>
        <v>0.33248395603598158</v>
      </c>
      <c r="AE59" s="93">
        <f t="shared" si="65"/>
        <v>9.2786895150837739E-3</v>
      </c>
      <c r="AF59" s="93">
        <f t="shared" si="66"/>
        <v>9.2786895150837739E-3</v>
      </c>
      <c r="AG59" s="93">
        <f t="shared" si="67"/>
        <v>0.11646925586655103</v>
      </c>
      <c r="AH59" s="93">
        <f t="shared" si="68"/>
        <v>0.11292622136904436</v>
      </c>
      <c r="AI59" s="93">
        <f t="shared" si="69"/>
        <v>0.68679032201898638</v>
      </c>
      <c r="AJ59" s="93">
        <f t="shared" si="70"/>
        <v>0.1132256395651777</v>
      </c>
      <c r="AK59" s="93">
        <f t="shared" si="71"/>
        <v>1.754388890184045E-2</v>
      </c>
      <c r="AL59" s="93">
        <f t="shared" si="72"/>
        <v>9.2874840834018049E-3</v>
      </c>
      <c r="AM59" s="93">
        <f t="shared" si="73"/>
        <v>0.18866916081219437</v>
      </c>
      <c r="AN59" s="93">
        <f t="shared" si="74"/>
        <v>3.7616224593538011E-4</v>
      </c>
      <c r="AO59" s="260">
        <f t="shared" si="39"/>
        <v>3.0923017181134719E-2</v>
      </c>
      <c r="AP59" s="261">
        <f t="shared" si="40"/>
        <v>0.16431048202549675</v>
      </c>
      <c r="AQ59" s="262">
        <f t="shared" si="41"/>
        <v>0.73053521305867641</v>
      </c>
      <c r="AR59" s="263">
        <f t="shared" si="42"/>
        <v>4.4082591723617237E-4</v>
      </c>
      <c r="AS59" s="260">
        <f t="shared" si="43"/>
        <v>1.6362716497027308E-6</v>
      </c>
      <c r="AT59" s="260">
        <f t="shared" si="38"/>
        <v>0.99999836372835027</v>
      </c>
    </row>
    <row r="60" spans="7:46" ht="12" customHeight="1">
      <c r="G60" s="218">
        <f t="shared" si="36"/>
        <v>11.731391585760518</v>
      </c>
      <c r="H60" s="215">
        <f t="shared" si="37"/>
        <v>2416.6666666666665</v>
      </c>
      <c r="I60" s="92">
        <v>58000</v>
      </c>
      <c r="J60" s="93">
        <f t="shared" si="44"/>
        <v>0.69433249403214903</v>
      </c>
      <c r="K60" s="93">
        <f t="shared" si="45"/>
        <v>0.18070602165258517</v>
      </c>
      <c r="L60" s="93">
        <f t="shared" si="46"/>
        <v>0.21507490386728861</v>
      </c>
      <c r="M60" s="93">
        <f t="shared" si="47"/>
        <v>0.68318006404058118</v>
      </c>
      <c r="N60" s="93">
        <f t="shared" si="48"/>
        <v>0.13485549927045509</v>
      </c>
      <c r="O60" s="93">
        <f t="shared" si="49"/>
        <v>6.7861154912891245E-3</v>
      </c>
      <c r="P60" s="93">
        <f t="shared" si="50"/>
        <v>0.68139131049236268</v>
      </c>
      <c r="Q60" s="93">
        <f t="shared" si="51"/>
        <v>0.32017140597954025</v>
      </c>
      <c r="R60" s="93">
        <f t="shared" si="52"/>
        <v>0.69171956216240971</v>
      </c>
      <c r="S60" s="93">
        <f t="shared" si="53"/>
        <v>0.1549613408564556</v>
      </c>
      <c r="T60" s="93">
        <f t="shared" si="54"/>
        <v>0.59111448269371936</v>
      </c>
      <c r="U60" s="93">
        <f t="shared" si="55"/>
        <v>0.31453309171648214</v>
      </c>
      <c r="V60" s="93">
        <f t="shared" si="56"/>
        <v>4.3764294049774359E-10</v>
      </c>
      <c r="W60" s="93">
        <f t="shared" si="57"/>
        <v>2.8172125196882732E-2</v>
      </c>
      <c r="X60" s="93">
        <f t="shared" si="58"/>
        <v>0.31987604568296074</v>
      </c>
      <c r="Y60" s="93">
        <f t="shared" si="59"/>
        <v>0.31980224819236958</v>
      </c>
      <c r="Z60" s="93">
        <f t="shared" si="60"/>
        <v>0.31987604568296074</v>
      </c>
      <c r="AA60" s="93">
        <f t="shared" si="61"/>
        <v>0.31994986020304311</v>
      </c>
      <c r="AB60" s="93">
        <f t="shared" si="62"/>
        <v>0.10878454886512195</v>
      </c>
      <c r="AC60" s="93">
        <f t="shared" si="63"/>
        <v>0.10873570839158868</v>
      </c>
      <c r="AD60" s="93">
        <f t="shared" si="64"/>
        <v>0.32612245689666064</v>
      </c>
      <c r="AE60" s="93">
        <f t="shared" si="65"/>
        <v>8.547291458828302E-3</v>
      </c>
      <c r="AF60" s="93">
        <f t="shared" si="66"/>
        <v>8.547291458828302E-3</v>
      </c>
      <c r="AG60" s="93">
        <f t="shared" si="67"/>
        <v>0.11215768660749612</v>
      </c>
      <c r="AH60" s="93">
        <f t="shared" si="68"/>
        <v>0.10868688984572693</v>
      </c>
      <c r="AI60" s="93">
        <f t="shared" si="69"/>
        <v>0.68227810210001605</v>
      </c>
      <c r="AJ60" s="93">
        <f t="shared" si="70"/>
        <v>0.10898013023302026</v>
      </c>
      <c r="AK60" s="93">
        <f t="shared" si="71"/>
        <v>1.634259654036728E-2</v>
      </c>
      <c r="AL60" s="93">
        <f t="shared" si="72"/>
        <v>8.5555349873607193E-3</v>
      </c>
      <c r="AM60" s="93">
        <f t="shared" si="73"/>
        <v>0.18322887550418365</v>
      </c>
      <c r="AN60" s="93">
        <f t="shared" si="74"/>
        <v>3.275624177932305E-4</v>
      </c>
      <c r="AO60" s="260">
        <f t="shared" si="39"/>
        <v>2.8984946210020766E-2</v>
      </c>
      <c r="AP60" s="261">
        <f t="shared" si="40"/>
        <v>0.15885127649789069</v>
      </c>
      <c r="AQ60" s="262">
        <f t="shared" si="41"/>
        <v>0.72531600442644151</v>
      </c>
      <c r="AR60" s="263">
        <f t="shared" si="42"/>
        <v>3.8040683868583418E-4</v>
      </c>
      <c r="AS60" s="260">
        <f t="shared" si="43"/>
        <v>1.2703950242246305E-6</v>
      </c>
      <c r="AT60" s="260">
        <f t="shared" si="38"/>
        <v>0.99999872960497582</v>
      </c>
    </row>
    <row r="61" spans="7:46" ht="12" customHeight="1">
      <c r="G61" s="218">
        <f t="shared" si="36"/>
        <v>11.933656957928804</v>
      </c>
      <c r="H61" s="215">
        <f t="shared" si="37"/>
        <v>2458.3333333333335</v>
      </c>
      <c r="I61" s="92">
        <v>59000</v>
      </c>
      <c r="J61" s="93">
        <f t="shared" si="44"/>
        <v>0.68997903556332951</v>
      </c>
      <c r="K61" s="93">
        <f t="shared" si="45"/>
        <v>0.1754534078370015</v>
      </c>
      <c r="L61" s="93">
        <f t="shared" si="46"/>
        <v>0.20945110888449175</v>
      </c>
      <c r="M61" s="93">
        <f t="shared" si="47"/>
        <v>0.67870702283640394</v>
      </c>
      <c r="N61" s="93">
        <f t="shared" si="48"/>
        <v>0.13027659432790753</v>
      </c>
      <c r="O61" s="93">
        <f t="shared" si="49"/>
        <v>6.2263768963914529E-3</v>
      </c>
      <c r="P61" s="93">
        <f t="shared" si="50"/>
        <v>0.67689938312534559</v>
      </c>
      <c r="Q61" s="93">
        <f t="shared" si="51"/>
        <v>0.31394578449658511</v>
      </c>
      <c r="R61" s="93">
        <f t="shared" si="52"/>
        <v>0.68733780446432913</v>
      </c>
      <c r="S61" s="93">
        <f t="shared" si="53"/>
        <v>0.15005887959693479</v>
      </c>
      <c r="T61" s="93">
        <f t="shared" si="54"/>
        <v>0.58578049060635506</v>
      </c>
      <c r="U61" s="93">
        <f t="shared" si="55"/>
        <v>0.30832264200042614</v>
      </c>
      <c r="V61" s="93">
        <f t="shared" si="56"/>
        <v>3.0182827809877641E-10</v>
      </c>
      <c r="W61" s="93">
        <f t="shared" si="57"/>
        <v>2.6490634563286881E-2</v>
      </c>
      <c r="X61" s="93">
        <f t="shared" si="58"/>
        <v>0.31365117632315387</v>
      </c>
      <c r="Y61" s="93">
        <f t="shared" si="59"/>
        <v>0.31357756748707033</v>
      </c>
      <c r="Z61" s="93">
        <f t="shared" si="60"/>
        <v>0.31365117632315387</v>
      </c>
      <c r="AA61" s="93">
        <f t="shared" si="61"/>
        <v>0.31372480243809064</v>
      </c>
      <c r="AB61" s="93">
        <f t="shared" si="62"/>
        <v>0.10470232001113108</v>
      </c>
      <c r="AC61" s="93">
        <f t="shared" si="63"/>
        <v>0.10465450202377428</v>
      </c>
      <c r="AD61" s="93">
        <f t="shared" si="64"/>
        <v>0.31988267392007458</v>
      </c>
      <c r="AE61" s="93">
        <f t="shared" si="65"/>
        <v>7.8735462764861815E-3</v>
      </c>
      <c r="AF61" s="93">
        <f t="shared" si="66"/>
        <v>7.8735462764861815E-3</v>
      </c>
      <c r="AG61" s="93">
        <f t="shared" si="67"/>
        <v>0.10800572710414293</v>
      </c>
      <c r="AH61" s="93">
        <f t="shared" si="68"/>
        <v>0.1046067058750923</v>
      </c>
      <c r="AI61" s="93">
        <f t="shared" si="69"/>
        <v>0.67779552751521011</v>
      </c>
      <c r="AJ61" s="93">
        <f t="shared" si="70"/>
        <v>0.10489381054694175</v>
      </c>
      <c r="AK61" s="93">
        <f t="shared" si="71"/>
        <v>1.5223560931989621E-2</v>
      </c>
      <c r="AL61" s="93">
        <f t="shared" si="72"/>
        <v>7.8812709946677814E-3</v>
      </c>
      <c r="AM61" s="93">
        <f t="shared" si="73"/>
        <v>0.1779454611129945</v>
      </c>
      <c r="AN61" s="93">
        <f t="shared" si="74"/>
        <v>2.8524164429031824E-4</v>
      </c>
      <c r="AO61" s="260">
        <f t="shared" si="39"/>
        <v>2.7170031213600281E-2</v>
      </c>
      <c r="AP61" s="261">
        <f t="shared" si="40"/>
        <v>0.15357358573178281</v>
      </c>
      <c r="AQ61" s="262">
        <f t="shared" si="41"/>
        <v>0.72013413356816258</v>
      </c>
      <c r="AR61" s="263">
        <f t="shared" si="42"/>
        <v>3.2826317802241866E-4</v>
      </c>
      <c r="AS61" s="260">
        <f t="shared" si="43"/>
        <v>9.8637539006035647E-7</v>
      </c>
      <c r="AT61" s="260">
        <f t="shared" si="38"/>
        <v>0.99999901362460997</v>
      </c>
    </row>
    <row r="62" spans="7:46" ht="12" customHeight="1">
      <c r="G62" s="218">
        <f t="shared" si="36"/>
        <v>12.135922330097088</v>
      </c>
      <c r="H62" s="215">
        <f t="shared" si="37"/>
        <v>2500</v>
      </c>
      <c r="I62" s="92">
        <v>60000</v>
      </c>
      <c r="J62" s="93">
        <f t="shared" si="44"/>
        <v>0.68565287323980439</v>
      </c>
      <c r="K62" s="93">
        <f t="shared" si="45"/>
        <v>0.17035347267397935</v>
      </c>
      <c r="L62" s="93">
        <f t="shared" si="46"/>
        <v>0.20397436532164134</v>
      </c>
      <c r="M62" s="93">
        <f t="shared" si="47"/>
        <v>0.67426326834398465</v>
      </c>
      <c r="N62" s="93">
        <f t="shared" si="48"/>
        <v>0.12585316224769263</v>
      </c>
      <c r="O62" s="93">
        <f t="shared" si="49"/>
        <v>5.7128071730698929E-3</v>
      </c>
      <c r="P62" s="93">
        <f t="shared" si="50"/>
        <v>0.67243706783461976</v>
      </c>
      <c r="Q62" s="93">
        <f t="shared" si="51"/>
        <v>0.30784121805516457</v>
      </c>
      <c r="R62" s="93">
        <f t="shared" si="52"/>
        <v>0.68298380339129572</v>
      </c>
      <c r="S62" s="93">
        <f t="shared" si="53"/>
        <v>0.14531151590089827</v>
      </c>
      <c r="T62" s="93">
        <f t="shared" si="54"/>
        <v>0.58049463043323235</v>
      </c>
      <c r="U62" s="93">
        <f t="shared" si="55"/>
        <v>0.30223481749199188</v>
      </c>
      <c r="V62" s="93">
        <f t="shared" si="56"/>
        <v>2.0816126807954693E-10</v>
      </c>
      <c r="W62" s="93">
        <f t="shared" si="57"/>
        <v>2.4909505926917406E-2</v>
      </c>
      <c r="X62" s="93">
        <f t="shared" si="58"/>
        <v>0.30754744450731014</v>
      </c>
      <c r="Y62" s="93">
        <f t="shared" si="59"/>
        <v>0.30747404493529218</v>
      </c>
      <c r="Z62" s="93">
        <f t="shared" si="60"/>
        <v>0.30754744450731014</v>
      </c>
      <c r="AA62" s="93">
        <f t="shared" si="61"/>
        <v>0.30762086160112312</v>
      </c>
      <c r="AB62" s="93">
        <f t="shared" si="62"/>
        <v>0.10077328012184344</v>
      </c>
      <c r="AC62" s="93">
        <f t="shared" si="63"/>
        <v>0.1007264766639569</v>
      </c>
      <c r="AD62" s="93">
        <f t="shared" si="64"/>
        <v>0.3137622782802742</v>
      </c>
      <c r="AE62" s="93">
        <f t="shared" si="65"/>
        <v>7.2529094469966273E-3</v>
      </c>
      <c r="AF62" s="93">
        <f t="shared" si="66"/>
        <v>7.2529094469966273E-3</v>
      </c>
      <c r="AG62" s="93">
        <f t="shared" si="67"/>
        <v>0.10400746877133736</v>
      </c>
      <c r="AH62" s="93">
        <f t="shared" si="68"/>
        <v>0.10067969494361491</v>
      </c>
      <c r="AI62" s="93">
        <f t="shared" si="69"/>
        <v>0.67334240349439922</v>
      </c>
      <c r="AJ62" s="93">
        <f t="shared" si="70"/>
        <v>0.10096071153091679</v>
      </c>
      <c r="AK62" s="93">
        <f t="shared" si="71"/>
        <v>1.4181149664776111E-2</v>
      </c>
      <c r="AL62" s="93">
        <f t="shared" si="72"/>
        <v>7.2601459269531071E-3</v>
      </c>
      <c r="AM62" s="93">
        <f t="shared" si="73"/>
        <v>0.17281439425737918</v>
      </c>
      <c r="AN62" s="93">
        <f t="shared" si="74"/>
        <v>2.4838867714306481E-4</v>
      </c>
      <c r="AO62" s="260">
        <f t="shared" si="39"/>
        <v>2.5470337795237431E-2</v>
      </c>
      <c r="AP62" s="261">
        <f t="shared" si="40"/>
        <v>0.14847149942067894</v>
      </c>
      <c r="AQ62" s="262">
        <f t="shared" si="41"/>
        <v>0.7149899841678129</v>
      </c>
      <c r="AR62" s="263">
        <f t="shared" si="42"/>
        <v>2.8326254234106068E-4</v>
      </c>
      <c r="AS62" s="260">
        <f t="shared" si="43"/>
        <v>7.6589089404315384E-7</v>
      </c>
      <c r="AT62" s="260">
        <f t="shared" si="38"/>
        <v>0.99999923410910596</v>
      </c>
    </row>
    <row r="63" spans="7:46" ht="12" customHeight="1">
      <c r="G63" s="218">
        <f t="shared" si="36"/>
        <v>12.338187702265371</v>
      </c>
      <c r="H63" s="215">
        <f t="shared" si="37"/>
        <v>2541.6666666666665</v>
      </c>
      <c r="I63" s="92">
        <v>61000</v>
      </c>
      <c r="J63" s="93">
        <f t="shared" si="44"/>
        <v>0.6813538359149891</v>
      </c>
      <c r="K63" s="93">
        <f t="shared" si="45"/>
        <v>0.1654017782261856</v>
      </c>
      <c r="L63" s="93">
        <f t="shared" si="46"/>
        <v>0.19864082806699798</v>
      </c>
      <c r="M63" s="93">
        <f t="shared" si="47"/>
        <v>0.66984860881201869</v>
      </c>
      <c r="N63" s="93">
        <f t="shared" si="48"/>
        <v>0.12157992407966303</v>
      </c>
      <c r="O63" s="93">
        <f t="shared" si="49"/>
        <v>5.2415981781625482E-3</v>
      </c>
      <c r="P63" s="93">
        <f t="shared" si="50"/>
        <v>0.6680041694088672</v>
      </c>
      <c r="Q63" s="93">
        <f t="shared" si="51"/>
        <v>0.30185535278215575</v>
      </c>
      <c r="R63" s="93">
        <f t="shared" si="52"/>
        <v>0.67865738311655521</v>
      </c>
      <c r="S63" s="93">
        <f t="shared" si="53"/>
        <v>0.14071434299745592</v>
      </c>
      <c r="T63" s="93">
        <f t="shared" si="54"/>
        <v>0.57525646785027851</v>
      </c>
      <c r="U63" s="93">
        <f t="shared" si="55"/>
        <v>0.29626719695886433</v>
      </c>
      <c r="V63" s="93">
        <f t="shared" si="56"/>
        <v>1.4356214004012107E-10</v>
      </c>
      <c r="W63" s="93">
        <f t="shared" si="57"/>
        <v>2.3422749048943342E-2</v>
      </c>
      <c r="X63" s="93">
        <f t="shared" si="58"/>
        <v>0.30156249286795578</v>
      </c>
      <c r="Y63" s="93">
        <f t="shared" si="59"/>
        <v>0.30148932229588854</v>
      </c>
      <c r="Z63" s="93">
        <f t="shared" si="60"/>
        <v>0.30156249286795578</v>
      </c>
      <c r="AA63" s="93">
        <f t="shared" si="61"/>
        <v>0.30163568119830575</v>
      </c>
      <c r="AB63" s="93">
        <f t="shared" si="62"/>
        <v>9.6991680656511772E-2</v>
      </c>
      <c r="AC63" s="93">
        <f t="shared" si="63"/>
        <v>9.6945882928474794E-2</v>
      </c>
      <c r="AD63" s="93">
        <f t="shared" si="64"/>
        <v>0.30775898570932286</v>
      </c>
      <c r="AE63" s="93">
        <f t="shared" si="65"/>
        <v>6.6811946737943689E-3</v>
      </c>
      <c r="AF63" s="93">
        <f t="shared" si="66"/>
        <v>6.6811946737943689E-3</v>
      </c>
      <c r="AG63" s="93">
        <f t="shared" si="67"/>
        <v>0.1001572217535284</v>
      </c>
      <c r="AH63" s="93">
        <f t="shared" si="68"/>
        <v>9.6900106825301729E-2</v>
      </c>
      <c r="AI63" s="93">
        <f t="shared" si="69"/>
        <v>0.66891853654705624</v>
      </c>
      <c r="AJ63" s="93">
        <f t="shared" si="70"/>
        <v>9.7175088021684855E-2</v>
      </c>
      <c r="AK63" s="93">
        <f t="shared" si="71"/>
        <v>1.321011599803782E-2</v>
      </c>
      <c r="AL63" s="93">
        <f t="shared" si="72"/>
        <v>6.6879718913758291E-3</v>
      </c>
      <c r="AM63" s="93">
        <f t="shared" si="73"/>
        <v>0.16783128198802935</v>
      </c>
      <c r="AN63" s="93">
        <f t="shared" si="74"/>
        <v>2.162970806257406E-4</v>
      </c>
      <c r="AO63" s="260">
        <f t="shared" si="39"/>
        <v>2.3878446493614782E-2</v>
      </c>
      <c r="AP63" s="261">
        <f t="shared" si="40"/>
        <v>0.14353928163062396</v>
      </c>
      <c r="AQ63" s="262">
        <f t="shared" si="41"/>
        <v>0.7098838801973707</v>
      </c>
      <c r="AR63" s="263">
        <f t="shared" si="42"/>
        <v>2.4442728991264627E-4</v>
      </c>
      <c r="AS63" s="260">
        <f t="shared" si="43"/>
        <v>5.9472178063857032E-7</v>
      </c>
      <c r="AT63" s="260">
        <f t="shared" si="38"/>
        <v>0.9999994052782194</v>
      </c>
    </row>
    <row r="64" spans="7:46" ht="12" customHeight="1">
      <c r="G64" s="218">
        <f t="shared" si="36"/>
        <v>12.540453074433657</v>
      </c>
      <c r="H64" s="215">
        <f t="shared" si="37"/>
        <v>2583.3333333333335</v>
      </c>
      <c r="I64" s="92">
        <v>62000</v>
      </c>
      <c r="J64" s="93">
        <f t="shared" si="44"/>
        <v>0.67708175351538669</v>
      </c>
      <c r="K64" s="93">
        <f t="shared" si="45"/>
        <v>0.16059401555459485</v>
      </c>
      <c r="L64" s="93">
        <f t="shared" si="46"/>
        <v>0.19344675255109717</v>
      </c>
      <c r="M64" s="93">
        <f t="shared" si="47"/>
        <v>0.66546285374467096</v>
      </c>
      <c r="N64" s="93">
        <f t="shared" si="48"/>
        <v>0.11745178011597894</v>
      </c>
      <c r="O64" s="93">
        <f t="shared" si="49"/>
        <v>4.8092558752605456E-3</v>
      </c>
      <c r="P64" s="93">
        <f t="shared" si="50"/>
        <v>0.66360049392365872</v>
      </c>
      <c r="Q64" s="93">
        <f t="shared" si="51"/>
        <v>0.29598588057467923</v>
      </c>
      <c r="R64" s="93">
        <f t="shared" si="52"/>
        <v>0.67435836892714307</v>
      </c>
      <c r="S64" s="93">
        <f t="shared" si="53"/>
        <v>0.1362626093496232</v>
      </c>
      <c r="T64" s="93">
        <f t="shared" si="54"/>
        <v>0.57006557245259559</v>
      </c>
      <c r="U64" s="93">
        <f t="shared" si="55"/>
        <v>0.29041740697591267</v>
      </c>
      <c r="V64" s="93">
        <f t="shared" si="56"/>
        <v>9.9010196483926972E-11</v>
      </c>
      <c r="W64" s="93">
        <f t="shared" si="57"/>
        <v>2.2024731225878211E-2</v>
      </c>
      <c r="X64" s="93">
        <f t="shared" si="58"/>
        <v>0.29569400991258865</v>
      </c>
      <c r="Y64" s="93">
        <f t="shared" si="59"/>
        <v>0.29562108722888514</v>
      </c>
      <c r="Z64" s="93">
        <f t="shared" si="60"/>
        <v>0.29569400991258865</v>
      </c>
      <c r="AA64" s="93">
        <f t="shared" si="61"/>
        <v>0.29576695058458197</v>
      </c>
      <c r="AB64" s="93">
        <f t="shared" si="62"/>
        <v>9.3351988793065291E-2</v>
      </c>
      <c r="AC64" s="93">
        <f t="shared" si="63"/>
        <v>9.3307187226818009E-2</v>
      </c>
      <c r="AD64" s="93">
        <f t="shared" si="64"/>
        <v>0.30187055564475684</v>
      </c>
      <c r="AE64" s="93">
        <f t="shared" si="65"/>
        <v>6.1545456475570089E-3</v>
      </c>
      <c r="AF64" s="93">
        <f t="shared" si="66"/>
        <v>6.1545456475570089E-3</v>
      </c>
      <c r="AG64" s="93">
        <f t="shared" si="67"/>
        <v>9.6449506827628512E-2</v>
      </c>
      <c r="AH64" s="93">
        <f t="shared" si="68"/>
        <v>9.3262407161776723E-2</v>
      </c>
      <c r="AI64" s="93">
        <f t="shared" si="69"/>
        <v>0.6645237344538889</v>
      </c>
      <c r="AJ64" s="93">
        <f t="shared" si="70"/>
        <v>9.3531410276664992E-2</v>
      </c>
      <c r="AK64" s="93">
        <f t="shared" si="71"/>
        <v>1.2305572454048962E-2</v>
      </c>
      <c r="AL64" s="93">
        <f t="shared" si="72"/>
        <v>6.1608910440461078E-3</v>
      </c>
      <c r="AM64" s="93">
        <f t="shared" si="73"/>
        <v>0.1629918580265641</v>
      </c>
      <c r="AN64" s="93">
        <f t="shared" si="74"/>
        <v>1.8835168988106312E-4</v>
      </c>
      <c r="AO64" s="260">
        <f t="shared" si="39"/>
        <v>2.2387419807458373E-2</v>
      </c>
      <c r="AP64" s="261">
        <f t="shared" si="40"/>
        <v>0.13877136779277419</v>
      </c>
      <c r="AQ64" s="262">
        <f t="shared" si="41"/>
        <v>0.70481608992621081</v>
      </c>
      <c r="AR64" s="263">
        <f t="shared" si="42"/>
        <v>2.1091342068993009E-4</v>
      </c>
      <c r="AS64" s="260">
        <f t="shared" si="43"/>
        <v>4.6183191035789243E-7</v>
      </c>
      <c r="AT64" s="260">
        <f t="shared" si="38"/>
        <v>0.99999953816808962</v>
      </c>
    </row>
    <row r="65" spans="7:46" ht="12" customHeight="1">
      <c r="G65" s="218">
        <f t="shared" si="36"/>
        <v>12.742718446601941</v>
      </c>
      <c r="H65" s="215">
        <f t="shared" si="37"/>
        <v>2625</v>
      </c>
      <c r="I65" s="92">
        <v>63000</v>
      </c>
      <c r="J65" s="93">
        <f t="shared" si="44"/>
        <v>0.6728364570338593</v>
      </c>
      <c r="K65" s="93">
        <f t="shared" si="45"/>
        <v>0.15592600096887252</v>
      </c>
      <c r="L65" s="93">
        <f t="shared" si="46"/>
        <v>0.18838849211776229</v>
      </c>
      <c r="M65" s="93">
        <f t="shared" si="47"/>
        <v>0.66110581389335521</v>
      </c>
      <c r="N65" s="93">
        <f t="shared" si="48"/>
        <v>0.11346380380508707</v>
      </c>
      <c r="O65" s="93">
        <f t="shared" si="49"/>
        <v>4.4125744262670562E-3</v>
      </c>
      <c r="P65" s="93">
        <f t="shared" si="50"/>
        <v>0.65922584873297108</v>
      </c>
      <c r="Q65" s="93">
        <f t="shared" si="51"/>
        <v>0.29023053821011197</v>
      </c>
      <c r="R65" s="93">
        <f t="shared" si="52"/>
        <v>0.67008658721682934</v>
      </c>
      <c r="S65" s="93">
        <f t="shared" si="53"/>
        <v>0.13195171374323741</v>
      </c>
      <c r="T65" s="93">
        <f t="shared" si="54"/>
        <v>0.56492151771909571</v>
      </c>
      <c r="U65" s="93">
        <f t="shared" si="55"/>
        <v>0.28468312098123882</v>
      </c>
      <c r="V65" s="93">
        <f t="shared" si="56"/>
        <v>6.8284152110341604E-11</v>
      </c>
      <c r="W65" s="93">
        <f t="shared" si="57"/>
        <v>2.0710155949609108E-2</v>
      </c>
      <c r="X65" s="93">
        <f t="shared" si="58"/>
        <v>0.28993972913093979</v>
      </c>
      <c r="Y65" s="93">
        <f t="shared" si="59"/>
        <v>0.28986707240205267</v>
      </c>
      <c r="Z65" s="93">
        <f t="shared" si="60"/>
        <v>0.28993972913093979</v>
      </c>
      <c r="AA65" s="93">
        <f t="shared" si="61"/>
        <v>0.29001240407162387</v>
      </c>
      <c r="AB65" s="93">
        <f t="shared" si="62"/>
        <v>8.9848879333090645E-2</v>
      </c>
      <c r="AC65" s="93">
        <f t="shared" si="63"/>
        <v>8.9805063662206239E-2</v>
      </c>
      <c r="AD65" s="93">
        <f t="shared" si="64"/>
        <v>0.2960947903933574</v>
      </c>
      <c r="AE65" s="93">
        <f t="shared" si="65"/>
        <v>5.6694100347701925E-3</v>
      </c>
      <c r="AF65" s="93">
        <f t="shared" si="66"/>
        <v>5.6694100347701925E-3</v>
      </c>
      <c r="AG65" s="93">
        <f t="shared" si="67"/>
        <v>9.2879047605621559E-2</v>
      </c>
      <c r="AH65" s="93">
        <f t="shared" si="68"/>
        <v>8.9761269358455464E-2</v>
      </c>
      <c r="AI65" s="93">
        <f t="shared" si="69"/>
        <v>0.66015780625848763</v>
      </c>
      <c r="AJ65" s="93">
        <f t="shared" si="70"/>
        <v>9.0024355896540717E-2</v>
      </c>
      <c r="AK65" s="93">
        <f t="shared" si="71"/>
        <v>1.1462966218036323E-2</v>
      </c>
      <c r="AL65" s="93">
        <f t="shared" si="72"/>
        <v>5.6753495787792846E-3</v>
      </c>
      <c r="AM65" s="93">
        <f t="shared" si="73"/>
        <v>0.15829197911296705</v>
      </c>
      <c r="AN65" s="93">
        <f t="shared" si="74"/>
        <v>1.6401681880504439E-4</v>
      </c>
      <c r="AO65" s="260">
        <f t="shared" si="39"/>
        <v>2.0990771191250868E-2</v>
      </c>
      <c r="AP65" s="261">
        <f t="shared" si="40"/>
        <v>0.13416236147869159</v>
      </c>
      <c r="AQ65" s="262">
        <f t="shared" si="41"/>
        <v>0.69978682970428252</v>
      </c>
      <c r="AR65" s="263">
        <f t="shared" si="42"/>
        <v>1.8199233905031391E-4</v>
      </c>
      <c r="AS65" s="260">
        <f t="shared" si="43"/>
        <v>3.5865588390214499E-7</v>
      </c>
      <c r="AT65" s="260">
        <f t="shared" si="38"/>
        <v>0.99999964134411612</v>
      </c>
    </row>
    <row r="66" spans="7:46" ht="12" customHeight="1">
      <c r="G66" s="218">
        <f t="shared" si="36"/>
        <v>12.944983818770226</v>
      </c>
      <c r="H66" s="215">
        <f t="shared" si="37"/>
        <v>2666.6666666666665</v>
      </c>
      <c r="I66" s="92">
        <v>64000</v>
      </c>
      <c r="J66" s="93">
        <f t="shared" ref="J66:J77" si="75">EXP(-($E$2*$I66))</f>
        <v>0.66861777852294269</v>
      </c>
      <c r="K66" s="93">
        <f t="shared" ref="K66:K77" si="76">EXP(-($E$3*$I66))</f>
        <v>0.1513936723867492</v>
      </c>
      <c r="L66" s="93">
        <f t="shared" ref="L66:L77" si="77">EXP(-($E$4*$I66))</f>
        <v>0.1834624954638604</v>
      </c>
      <c r="M66" s="93">
        <f t="shared" ref="M66:M77" si="78">EXP(-($E$5*$I66))</f>
        <v>0.65677730124856815</v>
      </c>
      <c r="N66" s="93">
        <f t="shared" ref="N66:N77" si="79">EXP(-($E$6*$I66))</f>
        <v>0.10961123587234438</v>
      </c>
      <c r="O66" s="93">
        <f t="shared" ref="O66:O77" si="80">EXP(-($E$7*$I66))</f>
        <v>4.0486124199601275E-3</v>
      </c>
      <c r="P66" s="93">
        <f t="shared" ref="P66:P77" si="81">EXP(-($E$8*$I66))</f>
        <v>0.6548800424607587</v>
      </c>
      <c r="Q66" s="93">
        <f t="shared" ref="Q66:Q77" si="82">EXP(-($E$9*$I66))</f>
        <v>0.28458710647340663</v>
      </c>
      <c r="R66" s="93">
        <f t="shared" ref="R66:R77" si="83">EXP(-($E$10*$I66))</f>
        <v>0.66584186547910806</v>
      </c>
      <c r="S66" s="93">
        <f t="shared" ref="S66:S77" si="84">EXP(-($E$11*$I66))</f>
        <v>0.12777720053124325</v>
      </c>
      <c r="T66" s="93">
        <f t="shared" ref="T66:T77" si="85">EXP(-($E$12*$I66))</f>
        <v>0.55982388097745484</v>
      </c>
      <c r="U66" s="93">
        <f t="shared" ref="U66:U77" si="86">EXP(-($E$13*$I66))</f>
        <v>0.27906205835086373</v>
      </c>
      <c r="V66" s="93">
        <f t="shared" ref="V66:V77" si="87">EXP(-($E$14*$I66))</f>
        <v>4.709338628759533E-11</v>
      </c>
      <c r="W66" s="93">
        <f t="shared" ref="W66:W77" si="88">EXP(-($E$15*$I66))</f>
        <v>1.9474042841130152E-2</v>
      </c>
      <c r="X66" s="93">
        <f t="shared" ref="X66:X77" si="89">EXP(-($E$16*$I66))</f>
        <v>0.28429742811960773</v>
      </c>
      <c r="Y66" s="93">
        <f t="shared" ref="Y66:Y77" si="90">EXP(-($E$17*$I66))</f>
        <v>0.28422505461486913</v>
      </c>
      <c r="Z66" s="93">
        <f t="shared" ref="Z66:Z77" si="91">EXP(-($E$18*$I66))</f>
        <v>0.28429742811960773</v>
      </c>
      <c r="AA66" s="93">
        <f t="shared" ref="AA66:AA77" si="92">EXP(-($E$19*$I66))</f>
        <v>0.28436982005313766</v>
      </c>
      <c r="AB66" s="93">
        <f t="shared" ref="AB66:AB77" si="93">EXP(-($E$20*$I66))</f>
        <v>8.6477226910584876E-2</v>
      </c>
      <c r="AC66" s="93">
        <f t="shared" ref="AC66:AC77" si="94">EXP(-($E$21*$I66))</f>
        <v>8.6434386236164618E-2</v>
      </c>
      <c r="AD66" s="93">
        <f t="shared" ref="AD66:AD77" si="95">EXP(-($E$22*$I66))</f>
        <v>0.29042953431092289</v>
      </c>
      <c r="AE66" s="93">
        <f t="shared" ref="AE66:AE77" si="96">EXP(-($E$23*$I66))</f>
        <v>5.2225155166590589E-3</v>
      </c>
      <c r="AF66" s="93">
        <f t="shared" ref="AF66:AF77" si="97">EXP(-($E$24*$I66))</f>
        <v>5.2225155166590589E-3</v>
      </c>
      <c r="AG66" s="93">
        <f t="shared" ref="AG66:AG77" si="98">EXP(-($E$25*$I66))</f>
        <v>8.9440763025821921E-2</v>
      </c>
      <c r="AH66" s="93">
        <f t="shared" ref="AH66:AH77" si="99">EXP(-($E$26*$I66))</f>
        <v>8.6391566784943224E-2</v>
      </c>
      <c r="AI66" s="93">
        <f t="shared" ref="AI66:AI77" si="100">EXP(-($E$27*$I66))</f>
        <v>0.65582056225902863</v>
      </c>
      <c r="AJ66" s="93">
        <f t="shared" ref="AJ66:AJ77" si="101">EXP(-($E$28*$I66))</f>
        <v>8.6648802050715804E-2</v>
      </c>
      <c r="AK66" s="93">
        <f t="shared" ref="AK66:AK77" si="102">EXP(-($E$29*$I66))</f>
        <v>1.0678056222618634E-2</v>
      </c>
      <c r="AL66" s="93">
        <f t="shared" ref="AL66:AL77" si="103">EXP(-($E$30*$I66))</f>
        <v>5.2280737658033441E-3</v>
      </c>
      <c r="AM66" s="93">
        <f t="shared" ref="AM66:AM77" si="104">EXP(-($E$31*$I66))</f>
        <v>0.15372762145834529</v>
      </c>
      <c r="AN66" s="93">
        <f t="shared" ref="AN66:AN77" si="105">EXP(-($E$32*$I66))</f>
        <v>1.428259914626412E-4</v>
      </c>
      <c r="AO66" s="260">
        <f t="shared" si="39"/>
        <v>1.9682435930543092E-2</v>
      </c>
      <c r="AP66" s="261">
        <f t="shared" si="40"/>
        <v>0.12970703100044176</v>
      </c>
      <c r="AQ66" s="262">
        <f t="shared" si="41"/>
        <v>0.69479626753085688</v>
      </c>
      <c r="AR66" s="263">
        <f t="shared" si="42"/>
        <v>1.5703509935007824E-4</v>
      </c>
      <c r="AS66" s="260">
        <f t="shared" si="43"/>
        <v>2.7854577484961649E-7</v>
      </c>
      <c r="AT66" s="260">
        <f t="shared" si="38"/>
        <v>0.99999972145422511</v>
      </c>
    </row>
    <row r="67" spans="7:46" ht="12" customHeight="1">
      <c r="G67" s="218">
        <f t="shared" ref="G67:G77" si="106">H67/206</f>
        <v>13.147249190938512</v>
      </c>
      <c r="H67" s="215">
        <f t="shared" ref="H67:H77" si="107">I67/24</f>
        <v>2708.3333333333335</v>
      </c>
      <c r="I67" s="92">
        <v>65000</v>
      </c>
      <c r="J67" s="93">
        <f t="shared" si="75"/>
        <v>0.66442555108820123</v>
      </c>
      <c r="K67" s="93">
        <f t="shared" si="76"/>
        <v>0.14699308579921744</v>
      </c>
      <c r="L67" s="93">
        <f t="shared" si="77"/>
        <v>0.17866530414600357</v>
      </c>
      <c r="M67" s="93">
        <f t="shared" si="78"/>
        <v>0.65247712903177657</v>
      </c>
      <c r="N67" s="93">
        <f t="shared" si="79"/>
        <v>0.10588947864027139</v>
      </c>
      <c r="O67" s="93">
        <f t="shared" si="80"/>
        <v>3.7146710612929071E-3</v>
      </c>
      <c r="P67" s="93">
        <f t="shared" si="81"/>
        <v>0.65056288499258197</v>
      </c>
      <c r="Q67" s="93">
        <f t="shared" si="82"/>
        <v>0.27905340930137967</v>
      </c>
      <c r="R67" s="93">
        <f t="shared" si="83"/>
        <v>0.66162403230023037</v>
      </c>
      <c r="S67" s="93">
        <f t="shared" si="84"/>
        <v>0.12373475502843415</v>
      </c>
      <c r="T67" s="93">
        <f t="shared" si="85"/>
        <v>0.55477224336938336</v>
      </c>
      <c r="U67" s="93">
        <f t="shared" si="86"/>
        <v>0.2735519834916838</v>
      </c>
      <c r="V67" s="93">
        <f t="shared" si="87"/>
        <v>3.2478795789232348E-11</v>
      </c>
      <c r="W67" s="93">
        <f t="shared" si="88"/>
        <v>1.831170878195779E-2</v>
      </c>
      <c r="X67" s="93">
        <f t="shared" si="89"/>
        <v>0.27876492772372741</v>
      </c>
      <c r="Y67" s="93">
        <f t="shared" si="90"/>
        <v>0.27869285393953303</v>
      </c>
      <c r="Z67" s="93">
        <f t="shared" si="91"/>
        <v>0.27876492772372741</v>
      </c>
      <c r="AA67" s="93">
        <f t="shared" si="92"/>
        <v>0.27883702014718825</v>
      </c>
      <c r="AB67" s="93">
        <f t="shared" si="93"/>
        <v>8.3232098493081386E-2</v>
      </c>
      <c r="AC67" s="93">
        <f t="shared" si="94"/>
        <v>8.3190221345687362E-2</v>
      </c>
      <c r="AD67" s="93">
        <f t="shared" si="95"/>
        <v>0.28487267299773411</v>
      </c>
      <c r="AE67" s="93">
        <f t="shared" si="96"/>
        <v>4.810847716864808E-3</v>
      </c>
      <c r="AF67" s="93">
        <f t="shared" si="97"/>
        <v>4.810847716864808E-3</v>
      </c>
      <c r="AG67" s="93">
        <f t="shared" si="98"/>
        <v>8.6129760122099386E-2</v>
      </c>
      <c r="AH67" s="93">
        <f t="shared" si="99"/>
        <v>8.3148365268235214E-2</v>
      </c>
      <c r="AI67" s="93">
        <f t="shared" si="100"/>
        <v>0.65151181400003133</v>
      </c>
      <c r="AJ67" s="93">
        <f t="shared" si="101"/>
        <v>8.3399817994283809E-2</v>
      </c>
      <c r="AK67" s="93">
        <f t="shared" si="102"/>
        <v>9.9468918013558456E-3</v>
      </c>
      <c r="AL67" s="93">
        <f t="shared" si="103"/>
        <v>4.816047878862144E-3</v>
      </c>
      <c r="AM67" s="93">
        <f t="shared" si="104"/>
        <v>0.14929487729997296</v>
      </c>
      <c r="AN67" s="93">
        <f t="shared" si="105"/>
        <v>1.2437300019538648E-4</v>
      </c>
      <c r="AO67" s="260">
        <f t="shared" si="39"/>
        <v>1.8456743805072385E-2</v>
      </c>
      <c r="AP67" s="261">
        <f t="shared" si="40"/>
        <v>0.12540030587245274</v>
      </c>
      <c r="AQ67" s="262">
        <f t="shared" si="41"/>
        <v>0.68984452642003813</v>
      </c>
      <c r="AR67" s="263">
        <f t="shared" si="42"/>
        <v>1.3549879739893256E-4</v>
      </c>
      <c r="AS67" s="260">
        <f t="shared" si="43"/>
        <v>2.1634175235326149E-7</v>
      </c>
      <c r="AT67" s="260">
        <f t="shared" ref="AT67:AT77" si="108">1-AS67</f>
        <v>0.9999997836582476</v>
      </c>
    </row>
    <row r="68" spans="7:46" ht="12" customHeight="1">
      <c r="G68" s="218">
        <f t="shared" si="106"/>
        <v>13.349514563106796</v>
      </c>
      <c r="H68" s="215">
        <f t="shared" si="107"/>
        <v>2750</v>
      </c>
      <c r="I68" s="92">
        <v>66000</v>
      </c>
      <c r="J68" s="93">
        <f t="shared" si="75"/>
        <v>0.66025960888162616</v>
      </c>
      <c r="K68" s="93">
        <f t="shared" si="76"/>
        <v>0.14272041183847564</v>
      </c>
      <c r="L68" s="93">
        <f t="shared" si="77"/>
        <v>0.17399355015244522</v>
      </c>
      <c r="M68" s="93">
        <f t="shared" si="78"/>
        <v>0.64820511168735795</v>
      </c>
      <c r="N68" s="93">
        <f t="shared" si="79"/>
        <v>0.10229409054165681</v>
      </c>
      <c r="O68" s="93">
        <f t="shared" si="80"/>
        <v>3.4082741597040466E-3</v>
      </c>
      <c r="P68" s="93">
        <f t="shared" si="81"/>
        <v>0.64627418746729037</v>
      </c>
      <c r="Q68" s="93">
        <f t="shared" si="82"/>
        <v>0.27362731294363818</v>
      </c>
      <c r="R68" s="93">
        <f t="shared" si="83"/>
        <v>0.65743291735228282</v>
      </c>
      <c r="S68" s="93">
        <f t="shared" si="84"/>
        <v>0.11982019905188827</v>
      </c>
      <c r="T68" s="93">
        <f t="shared" si="85"/>
        <v>0.54976618981620906</v>
      </c>
      <c r="U68" s="93">
        <f t="shared" si="86"/>
        <v>0.2681507049523375</v>
      </c>
      <c r="V68" s="93">
        <f t="shared" si="87"/>
        <v>2.2399582172253347E-11</v>
      </c>
      <c r="W68" s="93">
        <f t="shared" si="88"/>
        <v>1.7218750171742483E-2</v>
      </c>
      <c r="X68" s="93">
        <f t="shared" si="89"/>
        <v>0.27334009119534269</v>
      </c>
      <c r="Y68" s="93">
        <f t="shared" si="90"/>
        <v>0.27326833287869701</v>
      </c>
      <c r="Z68" s="93">
        <f t="shared" si="91"/>
        <v>0.27334009119534269</v>
      </c>
      <c r="AA68" s="93">
        <f t="shared" si="92"/>
        <v>0.27341186835521086</v>
      </c>
      <c r="AB68" s="93">
        <f t="shared" si="93"/>
        <v>8.0108746164177236E-2</v>
      </c>
      <c r="AC68" s="93">
        <f t="shared" si="94"/>
        <v>8.0067820562007258E-2</v>
      </c>
      <c r="AD68" s="93">
        <f t="shared" si="95"/>
        <v>0.27942213250941356</v>
      </c>
      <c r="AE68" s="93">
        <f t="shared" si="96"/>
        <v>4.431629868984893E-3</v>
      </c>
      <c r="AF68" s="93">
        <f t="shared" si="97"/>
        <v>4.431629868984893E-3</v>
      </c>
      <c r="AG68" s="93">
        <f t="shared" si="98"/>
        <v>8.2941327060779627E-2</v>
      </c>
      <c r="AH68" s="93">
        <f t="shared" si="99"/>
        <v>8.0026915867728074E-2</v>
      </c>
      <c r="AI68" s="93">
        <f t="shared" si="100"/>
        <v>0.64723137426416943</v>
      </c>
      <c r="AJ68" s="93">
        <f t="shared" si="101"/>
        <v>8.0272657865582228E-2</v>
      </c>
      <c r="AK68" s="93">
        <f t="shared" si="102"/>
        <v>9.2657928039656286E-3</v>
      </c>
      <c r="AL68" s="93">
        <f t="shared" si="103"/>
        <v>4.4364938618895984E-3</v>
      </c>
      <c r="AM68" s="93">
        <f t="shared" si="104"/>
        <v>0.14498995155567082</v>
      </c>
      <c r="AN68" s="93">
        <f t="shared" si="105"/>
        <v>1.0830411901357407E-4</v>
      </c>
      <c r="AO68" s="260">
        <f t="shared" si="39"/>
        <v>1.7308393448502307E-2</v>
      </c>
      <c r="AP68" s="261">
        <f t="shared" si="40"/>
        <v>0.12123727316751899</v>
      </c>
      <c r="AQ68" s="262">
        <f t="shared" si="41"/>
        <v>0.68493168757367817</v>
      </c>
      <c r="AR68" s="263">
        <f t="shared" si="42"/>
        <v>1.1691481646345813E-4</v>
      </c>
      <c r="AS68" s="260">
        <f t="shared" si="43"/>
        <v>1.6803886121210071E-7</v>
      </c>
      <c r="AT68" s="260">
        <f t="shared" si="108"/>
        <v>0.99999983196113884</v>
      </c>
    </row>
    <row r="69" spans="7:46" ht="12" customHeight="1">
      <c r="G69" s="218">
        <f t="shared" si="106"/>
        <v>13.55177993527508</v>
      </c>
      <c r="H69" s="215">
        <f t="shared" si="107"/>
        <v>2791.6666666666665</v>
      </c>
      <c r="I69" s="92">
        <v>67000</v>
      </c>
      <c r="J69" s="93">
        <f t="shared" si="75"/>
        <v>0.65611978709507435</v>
      </c>
      <c r="K69" s="93">
        <f t="shared" si="76"/>
        <v>0.13857193244563165</v>
      </c>
      <c r="L69" s="93">
        <f t="shared" si="77"/>
        <v>0.16944395353846686</v>
      </c>
      <c r="M69" s="93">
        <f t="shared" si="78"/>
        <v>0.64396106487459326</v>
      </c>
      <c r="N69" s="93">
        <f t="shared" si="79"/>
        <v>9.8820780818964435E-2</v>
      </c>
      <c r="O69" s="93">
        <f t="shared" si="80"/>
        <v>3.1271497680505854E-3</v>
      </c>
      <c r="P69" s="93">
        <f t="shared" si="81"/>
        <v>0.64201376226876028</v>
      </c>
      <c r="Q69" s="93">
        <f t="shared" si="82"/>
        <v>0.26830672513982268</v>
      </c>
      <c r="R69" s="93">
        <f t="shared" si="83"/>
        <v>0.6532683513863089</v>
      </c>
      <c r="S69" s="93">
        <f t="shared" si="84"/>
        <v>0.11602948660249042</v>
      </c>
      <c r="T69" s="93">
        <f t="shared" si="85"/>
        <v>0.54480530898477197</v>
      </c>
      <c r="U69" s="93">
        <f t="shared" si="86"/>
        <v>0.26285607455162724</v>
      </c>
      <c r="V69" s="93">
        <f t="shared" si="87"/>
        <v>1.544827230503016E-11</v>
      </c>
      <c r="W69" s="93">
        <f t="shared" si="88"/>
        <v>1.6191026244858336E-2</v>
      </c>
      <c r="X69" s="93">
        <f t="shared" si="89"/>
        <v>0.26802082336815719</v>
      </c>
      <c r="Y69" s="93">
        <f t="shared" si="90"/>
        <v>0.26794939553959446</v>
      </c>
      <c r="Z69" s="93">
        <f t="shared" si="91"/>
        <v>0.26802082336815719</v>
      </c>
      <c r="AA69" s="93">
        <f t="shared" si="92"/>
        <v>0.26809227023738497</v>
      </c>
      <c r="AB69" s="93">
        <f t="shared" si="93"/>
        <v>7.7102600176901986E-2</v>
      </c>
      <c r="AC69" s="93">
        <f t="shared" si="94"/>
        <v>7.7062613680401487E-2</v>
      </c>
      <c r="AD69" s="93">
        <f t="shared" si="95"/>
        <v>0.27407587858288285</v>
      </c>
      <c r="AE69" s="93">
        <f t="shared" si="96"/>
        <v>4.082304086831052E-3</v>
      </c>
      <c r="AF69" s="93">
        <f t="shared" si="97"/>
        <v>4.082304086831052E-3</v>
      </c>
      <c r="AG69" s="93">
        <f t="shared" si="98"/>
        <v>7.9870926435311379E-2</v>
      </c>
      <c r="AH69" s="93">
        <f t="shared" si="99"/>
        <v>7.7022647921462351E-2</v>
      </c>
      <c r="AI69" s="93">
        <f t="shared" si="100"/>
        <v>0.64297905706413661</v>
      </c>
      <c r="AJ69" s="93">
        <f t="shared" si="101"/>
        <v>7.7262753753808741E-2</v>
      </c>
      <c r="AK69" s="93">
        <f t="shared" si="102"/>
        <v>8.6313310731215946E-3</v>
      </c>
      <c r="AL69" s="93">
        <f t="shared" si="103"/>
        <v>4.0868525981586209E-3</v>
      </c>
      <c r="AM69" s="93">
        <f t="shared" si="104"/>
        <v>0.14080915857465642</v>
      </c>
      <c r="AN69" s="93">
        <f t="shared" si="105"/>
        <v>9.4311323011258554E-5</v>
      </c>
      <c r="AO69" s="260">
        <f t="shared" si="39"/>
        <v>1.6232428315002625E-2</v>
      </c>
      <c r="AP69" s="261">
        <f t="shared" si="40"/>
        <v>0.11721317379524895</v>
      </c>
      <c r="AQ69" s="262">
        <f t="shared" si="41"/>
        <v>0.6800577933718035</v>
      </c>
      <c r="AR69" s="263">
        <f t="shared" si="42"/>
        <v>1.0087867580398998E-4</v>
      </c>
      <c r="AS69" s="260">
        <f t="shared" si="43"/>
        <v>1.3052842986959537E-7</v>
      </c>
      <c r="AT69" s="260">
        <f t="shared" si="108"/>
        <v>0.99999986947157016</v>
      </c>
    </row>
    <row r="70" spans="7:46" ht="12" customHeight="1">
      <c r="G70" s="218">
        <f t="shared" si="106"/>
        <v>13.754045307443366</v>
      </c>
      <c r="H70" s="215">
        <f t="shared" si="107"/>
        <v>2833.3333333333335</v>
      </c>
      <c r="I70" s="92">
        <v>68000</v>
      </c>
      <c r="J70" s="93">
        <f t="shared" si="75"/>
        <v>0.65200592195374785</v>
      </c>
      <c r="K70" s="93">
        <f t="shared" si="76"/>
        <v>0.13454403763526721</v>
      </c>
      <c r="L70" s="93">
        <f t="shared" si="77"/>
        <v>0.1650133201235944</v>
      </c>
      <c r="M70" s="93">
        <f t="shared" si="78"/>
        <v>0.63974480545971257</v>
      </c>
      <c r="N70" s="93">
        <f t="shared" si="79"/>
        <v>9.5465404403718021E-2</v>
      </c>
      <c r="O70" s="93">
        <f t="shared" si="80"/>
        <v>2.869213336015192E-3</v>
      </c>
      <c r="P70" s="93">
        <f t="shared" si="81"/>
        <v>0.6377814230176877</v>
      </c>
      <c r="Q70" s="93">
        <f t="shared" si="82"/>
        <v>0.26308959431284756</v>
      </c>
      <c r="R70" s="93">
        <f t="shared" si="83"/>
        <v>0.64913016622547459</v>
      </c>
      <c r="S70" s="93">
        <f t="shared" si="84"/>
        <v>0.11235869968307596</v>
      </c>
      <c r="T70" s="93">
        <f t="shared" si="85"/>
        <v>0.53988919325362605</v>
      </c>
      <c r="U70" s="93">
        <f t="shared" si="86"/>
        <v>0.25766598652415118</v>
      </c>
      <c r="V70" s="93">
        <f t="shared" si="87"/>
        <v>1.0654177179518127E-11</v>
      </c>
      <c r="W70" s="93">
        <f t="shared" si="88"/>
        <v>1.5224643382764351E-2</v>
      </c>
      <c r="X70" s="93">
        <f t="shared" si="89"/>
        <v>0.26280506984834462</v>
      </c>
      <c r="Y70" s="93">
        <f t="shared" si="90"/>
        <v>0.26273398682424159</v>
      </c>
      <c r="Z70" s="93">
        <f t="shared" si="91"/>
        <v>0.26280506984834462</v>
      </c>
      <c r="AA70" s="93">
        <f t="shared" si="92"/>
        <v>0.2628761721040529</v>
      </c>
      <c r="AB70" s="93">
        <f t="shared" si="93"/>
        <v>7.4209262267764559E-2</v>
      </c>
      <c r="AC70" s="93">
        <f t="shared" si="94"/>
        <v>7.4170202030860929E-2</v>
      </c>
      <c r="AD70" s="93">
        <f t="shared" si="95"/>
        <v>0.26883191587713068</v>
      </c>
      <c r="AE70" s="93">
        <f t="shared" si="96"/>
        <v>3.7605141110701218E-3</v>
      </c>
      <c r="AF70" s="93">
        <f t="shared" si="97"/>
        <v>3.7605141110701218E-3</v>
      </c>
      <c r="AG70" s="93">
        <f t="shared" si="98"/>
        <v>7.691418880915793E-2</v>
      </c>
      <c r="AH70" s="93">
        <f t="shared" si="99"/>
        <v>7.413116235341391E-2</v>
      </c>
      <c r="AI70" s="93">
        <f t="shared" si="100"/>
        <v>0.63875467763456539</v>
      </c>
      <c r="AJ70" s="93">
        <f t="shared" si="101"/>
        <v>7.4365709026574925E-2</v>
      </c>
      <c r="AK70" s="93">
        <f t="shared" si="102"/>
        <v>8.040313189600955E-3</v>
      </c>
      <c r="AL70" s="93">
        <f t="shared" si="103"/>
        <v>3.7647666556134911E-3</v>
      </c>
      <c r="AM70" s="93">
        <f t="shared" si="104"/>
        <v>0.13674891898208422</v>
      </c>
      <c r="AN70" s="93">
        <f t="shared" si="105"/>
        <v>8.2126383826816013E-5</v>
      </c>
      <c r="AO70" s="260">
        <f t="shared" si="39"/>
        <v>1.5224214164917541E-2</v>
      </c>
      <c r="AP70" s="261">
        <f t="shared" si="40"/>
        <v>0.11332339872761887</v>
      </c>
      <c r="AQ70" s="262">
        <f t="shared" si="41"/>
        <v>0.67522285019015538</v>
      </c>
      <c r="AR70" s="263">
        <f t="shared" si="42"/>
        <v>8.7041263852256757E-5</v>
      </c>
      <c r="AS70" s="260">
        <f t="shared" si="43"/>
        <v>1.0139739439336568E-7</v>
      </c>
      <c r="AT70" s="260">
        <f t="shared" si="108"/>
        <v>0.99999989860260563</v>
      </c>
    </row>
    <row r="71" spans="7:46" ht="12" customHeight="1">
      <c r="G71" s="218">
        <f t="shared" si="106"/>
        <v>13.956310679611651</v>
      </c>
      <c r="H71" s="215">
        <f t="shared" si="107"/>
        <v>2875</v>
      </c>
      <c r="I71" s="92">
        <v>69000</v>
      </c>
      <c r="J71" s="93">
        <f t="shared" si="75"/>
        <v>0.64791785070971553</v>
      </c>
      <c r="K71" s="93">
        <f t="shared" si="76"/>
        <v>0.13063322235404715</v>
      </c>
      <c r="L71" s="93">
        <f t="shared" si="77"/>
        <v>0.16069853924902824</v>
      </c>
      <c r="M71" s="93">
        <f t="shared" si="78"/>
        <v>0.63555615150799294</v>
      </c>
      <c r="N71" s="93">
        <f t="shared" si="79"/>
        <v>9.2223956969751497E-2</v>
      </c>
      <c r="O71" s="93">
        <f t="shared" si="80"/>
        <v>2.6325522530695296E-3</v>
      </c>
      <c r="P71" s="93">
        <f t="shared" si="81"/>
        <v>0.63357698456343414</v>
      </c>
      <c r="Q71" s="93">
        <f t="shared" si="82"/>
        <v>0.25797390877782922</v>
      </c>
      <c r="R71" s="93">
        <f t="shared" si="83"/>
        <v>0.64501819475827615</v>
      </c>
      <c r="S71" s="93">
        <f t="shared" si="84"/>
        <v>0.10880404424887533</v>
      </c>
      <c r="T71" s="93">
        <f t="shared" si="85"/>
        <v>0.53501743867954543</v>
      </c>
      <c r="U71" s="93">
        <f t="shared" si="86"/>
        <v>0.25257837668280375</v>
      </c>
      <c r="V71" s="93">
        <f t="shared" si="87"/>
        <v>7.3478437673320915E-12</v>
      </c>
      <c r="W71" s="93">
        <f t="shared" si="88"/>
        <v>1.4315940362702942E-2</v>
      </c>
      <c r="X71" s="93">
        <f t="shared" si="89"/>
        <v>0.25769081622110596</v>
      </c>
      <c r="Y71" s="93">
        <f t="shared" si="90"/>
        <v>0.25762009163540145</v>
      </c>
      <c r="Z71" s="93">
        <f t="shared" si="91"/>
        <v>0.25769081622110596</v>
      </c>
      <c r="AA71" s="93">
        <f t="shared" si="92"/>
        <v>0.25776156022286995</v>
      </c>
      <c r="AB71" s="93">
        <f t="shared" si="93"/>
        <v>7.1424499221695859E-2</v>
      </c>
      <c r="AC71" s="93">
        <f t="shared" si="94"/>
        <v>7.1386352039832179E-2</v>
      </c>
      <c r="AD71" s="93">
        <f t="shared" si="95"/>
        <v>0.26368828722850718</v>
      </c>
      <c r="AE71" s="93">
        <f t="shared" si="96"/>
        <v>3.4640894158707875E-3</v>
      </c>
      <c r="AF71" s="93">
        <f t="shared" si="97"/>
        <v>3.4640894158707875E-3</v>
      </c>
      <c r="AG71" s="93">
        <f t="shared" si="98"/>
        <v>7.4066906497723892E-2</v>
      </c>
      <c r="AH71" s="93">
        <f t="shared" si="99"/>
        <v>7.1348225232034823E-2</v>
      </c>
      <c r="AI71" s="93">
        <f t="shared" si="100"/>
        <v>0.63455805242399865</v>
      </c>
      <c r="AJ71" s="93">
        <f t="shared" si="101"/>
        <v>7.1577291907649443E-2</v>
      </c>
      <c r="AK71" s="93">
        <f t="shared" si="102"/>
        <v>7.4897643989330909E-3</v>
      </c>
      <c r="AL71" s="93">
        <f t="shared" si="103"/>
        <v>3.4680643920471221E-3</v>
      </c>
      <c r="AM71" s="93">
        <f t="shared" si="104"/>
        <v>0.13280575661457292</v>
      </c>
      <c r="AN71" s="93">
        <f t="shared" si="105"/>
        <v>7.1515727964757263E-5</v>
      </c>
      <c r="AO71" s="260">
        <f t="shared" si="39"/>
        <v>1.4279417984278652E-2</v>
      </c>
      <c r="AP71" s="261">
        <f t="shared" si="40"/>
        <v>0.10956348519306326</v>
      </c>
      <c r="AQ71" s="262">
        <f t="shared" si="41"/>
        <v>0.6704268310539685</v>
      </c>
      <c r="AR71" s="263">
        <f t="shared" si="42"/>
        <v>7.510126765131917E-5</v>
      </c>
      <c r="AS71" s="260">
        <f t="shared" si="43"/>
        <v>7.8772567208497045E-8</v>
      </c>
      <c r="AT71" s="260">
        <f t="shared" si="108"/>
        <v>0.99999992122743275</v>
      </c>
    </row>
    <row r="72" spans="7:46" ht="12" customHeight="1">
      <c r="G72" s="218">
        <f t="shared" si="106"/>
        <v>14.158576051779935</v>
      </c>
      <c r="H72" s="215">
        <f t="shared" si="107"/>
        <v>2916.6666666666665</v>
      </c>
      <c r="I72" s="92">
        <v>70000</v>
      </c>
      <c r="J72" s="93">
        <f t="shared" si="75"/>
        <v>0.64385541163547433</v>
      </c>
      <c r="K72" s="93">
        <f t="shared" si="76"/>
        <v>0.12683608343064007</v>
      </c>
      <c r="L72" s="93">
        <f t="shared" si="77"/>
        <v>0.15649658159371241</v>
      </c>
      <c r="M72" s="93">
        <f t="shared" si="78"/>
        <v>0.63139492227590766</v>
      </c>
      <c r="N72" s="93">
        <f t="shared" si="79"/>
        <v>8.9092570154422679E-2</v>
      </c>
      <c r="O72" s="93">
        <f t="shared" si="80"/>
        <v>2.4154116663790554E-3</v>
      </c>
      <c r="P72" s="93">
        <f t="shared" si="81"/>
        <v>0.62940026297592777</v>
      </c>
      <c r="Q72" s="93">
        <f t="shared" si="82"/>
        <v>0.25295769596639595</v>
      </c>
      <c r="R72" s="93">
        <f t="shared" si="83"/>
        <v>0.64093227093179272</v>
      </c>
      <c r="S72" s="93">
        <f t="shared" si="84"/>
        <v>0.10536184628607238</v>
      </c>
      <c r="T72" s="93">
        <f t="shared" si="85"/>
        <v>0.53018964496433496</v>
      </c>
      <c r="U72" s="93">
        <f t="shared" si="86"/>
        <v>0.24759122159781335</v>
      </c>
      <c r="V72" s="93">
        <f t="shared" si="87"/>
        <v>5.0675718189588809E-12</v>
      </c>
      <c r="W72" s="93">
        <f t="shared" si="88"/>
        <v>1.34614744868497E-2</v>
      </c>
      <c r="X72" s="93">
        <f t="shared" si="89"/>
        <v>0.25267608727266749</v>
      </c>
      <c r="Y72" s="93">
        <f t="shared" si="90"/>
        <v>0.25260573409800313</v>
      </c>
      <c r="Z72" s="93">
        <f t="shared" si="91"/>
        <v>0.25267608727266749</v>
      </c>
      <c r="AA72" s="93">
        <f t="shared" si="92"/>
        <v>0.25274646004138102</v>
      </c>
      <c r="AB72" s="93">
        <f t="shared" si="93"/>
        <v>6.8744236678472334E-2</v>
      </c>
      <c r="AC72" s="93">
        <f t="shared" si="94"/>
        <v>6.8706989033607987E-2</v>
      </c>
      <c r="AD72" s="93">
        <f t="shared" si="95"/>
        <v>0.25864307292026667</v>
      </c>
      <c r="AE72" s="93">
        <f t="shared" si="96"/>
        <v>3.191030568353116E-3</v>
      </c>
      <c r="AF72" s="93">
        <f t="shared" si="97"/>
        <v>3.191030568353116E-3</v>
      </c>
      <c r="AG72" s="93">
        <f t="shared" si="98"/>
        <v>7.1325027580468811E-2</v>
      </c>
      <c r="AH72" s="93">
        <f t="shared" si="99"/>
        <v>6.8669761570610763E-2</v>
      </c>
      <c r="AI72" s="93">
        <f t="shared" si="100"/>
        <v>0.63038899908691415</v>
      </c>
      <c r="AJ72" s="93">
        <f t="shared" si="101"/>
        <v>6.8893429295510678E-2</v>
      </c>
      <c r="AK72" s="93">
        <f t="shared" si="102"/>
        <v>6.9769136386476594E-3</v>
      </c>
      <c r="AL72" s="93">
        <f t="shared" si="103"/>
        <v>3.1947453129535955E-3</v>
      </c>
      <c r="AM72" s="93">
        <f t="shared" si="104"/>
        <v>0.12897629554409787</v>
      </c>
      <c r="AN72" s="93">
        <f t="shared" si="105"/>
        <v>6.227595941779629E-5</v>
      </c>
      <c r="AO72" s="260">
        <f t="shared" ref="AO72:AO77" si="109">J72*(1-(1-K72)*(1-AK72))*L72</f>
        <v>1.3393988255785078E-2</v>
      </c>
      <c r="AP72" s="261">
        <f t="shared" ref="AP72:AP77" si="110">M72*(1-(1-N72)*(1-O72)*(1-P72))*(Q72)</f>
        <v>0.1059291128576591</v>
      </c>
      <c r="AQ72" s="262">
        <f t="shared" ref="AQ72:AQ77" si="111">1-((1-(1-(1-S72)*(1-AL72)*(1-AM72))*T72*U72*V72*W72)*(1-R72)*(1-AJ72))</f>
        <v>0.66566967813665356</v>
      </c>
      <c r="AR72" s="263">
        <f t="shared" ref="AR72:AR77" si="112">X72*Y72*Z72*(1-(1-(AA72*AB72*AC72*AD72*AG72*AH72))*(1-AE72)*(1-AF72))*(1-(1-AI72)*(1-AN72))</f>
        <v>6.4798635716861922E-5</v>
      </c>
      <c r="AS72" s="260">
        <f t="shared" ref="AS72:AS77" si="113">AO72*AP72*AQ72*AR72</f>
        <v>6.1199783540065295E-8</v>
      </c>
      <c r="AT72" s="260">
        <f t="shared" si="108"/>
        <v>0.99999993880021643</v>
      </c>
    </row>
    <row r="73" spans="7:46" ht="12" customHeight="1">
      <c r="G73" s="218">
        <f t="shared" si="106"/>
        <v>14.360841423948221</v>
      </c>
      <c r="H73" s="215">
        <f t="shared" si="107"/>
        <v>2958.3333333333335</v>
      </c>
      <c r="I73" s="92">
        <v>71000</v>
      </c>
      <c r="J73" s="93">
        <f t="shared" si="75"/>
        <v>0.63981844401755095</v>
      </c>
      <c r="K73" s="93">
        <f t="shared" si="76"/>
        <v>0.123149316614296</v>
      </c>
      <c r="L73" s="93">
        <f t="shared" si="77"/>
        <v>0.15240449704750869</v>
      </c>
      <c r="M73" s="93">
        <f t="shared" si="78"/>
        <v>0.62726093820332696</v>
      </c>
      <c r="N73" s="93">
        <f t="shared" si="79"/>
        <v>8.6067506942085953E-2</v>
      </c>
      <c r="O73" s="93">
        <f t="shared" si="80"/>
        <v>2.2161814684883863E-3</v>
      </c>
      <c r="P73" s="93">
        <f t="shared" si="81"/>
        <v>0.6252510755376165</v>
      </c>
      <c r="Q73" s="93">
        <f t="shared" si="82"/>
        <v>0.24803902166608113</v>
      </c>
      <c r="R73" s="93">
        <f t="shared" si="83"/>
        <v>0.63687222974497981</v>
      </c>
      <c r="S73" s="93">
        <f t="shared" si="84"/>
        <v>0.10202854801442456</v>
      </c>
      <c r="T73" s="93">
        <f t="shared" si="85"/>
        <v>0.52540541542193753</v>
      </c>
      <c r="U73" s="93">
        <f t="shared" si="86"/>
        <v>0.24270253779198941</v>
      </c>
      <c r="V73" s="93">
        <f t="shared" si="87"/>
        <v>3.4949415030404899E-12</v>
      </c>
      <c r="W73" s="93">
        <f t="shared" si="88"/>
        <v>1.2658008539363009E-2</v>
      </c>
      <c r="X73" s="93">
        <f t="shared" si="89"/>
        <v>0.24775894622741892</v>
      </c>
      <c r="Y73" s="93">
        <f t="shared" si="90"/>
        <v>0.24768897679571558</v>
      </c>
      <c r="Z73" s="93">
        <f t="shared" si="91"/>
        <v>0.24775894622741892</v>
      </c>
      <c r="AA73" s="93">
        <f t="shared" si="92"/>
        <v>0.24782893542472276</v>
      </c>
      <c r="AB73" s="93">
        <f t="shared" si="93"/>
        <v>6.6164553171558324E-2</v>
      </c>
      <c r="AC73" s="93">
        <f t="shared" si="94"/>
        <v>6.6128191274297102E-2</v>
      </c>
      <c r="AD73" s="93">
        <f t="shared" si="95"/>
        <v>0.25369438996608673</v>
      </c>
      <c r="AE73" s="93">
        <f t="shared" si="96"/>
        <v>2.9394957420879231E-3</v>
      </c>
      <c r="AF73" s="93">
        <f t="shared" si="97"/>
        <v>2.9394957420879231E-3</v>
      </c>
      <c r="AG73" s="93">
        <f t="shared" si="98"/>
        <v>6.8684650134685582E-2</v>
      </c>
      <c r="AH73" s="93">
        <f t="shared" si="99"/>
        <v>6.6091849360357863E-2</v>
      </c>
      <c r="AI73" s="93">
        <f t="shared" si="100"/>
        <v>0.62624733647580189</v>
      </c>
      <c r="AJ73" s="93">
        <f t="shared" si="101"/>
        <v>6.6310200813678596E-2</v>
      </c>
      <c r="AK73" s="93">
        <f t="shared" si="102"/>
        <v>6.4991795907601256E-3</v>
      </c>
      <c r="AL73" s="93">
        <f t="shared" si="103"/>
        <v>2.9429665833321933E-3</v>
      </c>
      <c r="AM73" s="93">
        <f t="shared" si="104"/>
        <v>0.12525725718769865</v>
      </c>
      <c r="AN73" s="93">
        <f t="shared" si="105"/>
        <v>5.4229960762172794E-5</v>
      </c>
      <c r="AO73" s="260">
        <f t="shared" si="109"/>
        <v>1.2564136501995136E-2</v>
      </c>
      <c r="AP73" s="261">
        <f t="shared" si="110"/>
        <v>0.10241610000941725</v>
      </c>
      <c r="AQ73" s="262">
        <f t="shared" si="111"/>
        <v>0.66095130511161393</v>
      </c>
      <c r="AR73" s="263">
        <f t="shared" si="112"/>
        <v>5.5908933571939834E-5</v>
      </c>
      <c r="AS73" s="260">
        <f t="shared" si="113"/>
        <v>4.7550112958145321E-8</v>
      </c>
      <c r="AT73" s="260">
        <f t="shared" si="108"/>
        <v>0.99999995244988704</v>
      </c>
    </row>
    <row r="74" spans="7:46" ht="12" customHeight="1">
      <c r="G74" s="218">
        <f t="shared" si="106"/>
        <v>14.563106796116505</v>
      </c>
      <c r="H74" s="215">
        <f t="shared" si="107"/>
        <v>3000</v>
      </c>
      <c r="I74" s="92">
        <v>72000</v>
      </c>
      <c r="J74" s="93">
        <f t="shared" si="75"/>
        <v>0.63580678815014435</v>
      </c>
      <c r="K74" s="93">
        <f t="shared" si="76"/>
        <v>0.11956971369950466</v>
      </c>
      <c r="L74" s="93">
        <f t="shared" si="77"/>
        <v>0.14841941263998376</v>
      </c>
      <c r="M74" s="93">
        <f t="shared" si="78"/>
        <v>0.62315402090576999</v>
      </c>
      <c r="N74" s="93">
        <f t="shared" si="79"/>
        <v>8.3145157204315895E-2</v>
      </c>
      <c r="O74" s="93">
        <f t="shared" si="80"/>
        <v>2.0333843583003439E-3</v>
      </c>
      <c r="P74" s="93">
        <f t="shared" si="81"/>
        <v>0.62112924073547493</v>
      </c>
      <c r="Q74" s="93">
        <f t="shared" si="82"/>
        <v>0.24321598927450583</v>
      </c>
      <c r="R74" s="93">
        <f t="shared" si="83"/>
        <v>0.63283790724200628</v>
      </c>
      <c r="S74" s="93">
        <f t="shared" si="84"/>
        <v>9.8800704210019061E-2</v>
      </c>
      <c r="T74" s="93">
        <f t="shared" si="85"/>
        <v>0.52066435694584012</v>
      </c>
      <c r="U74" s="93">
        <f t="shared" si="86"/>
        <v>0.23791038095185957</v>
      </c>
      <c r="V74" s="93">
        <f t="shared" si="87"/>
        <v>2.4103488901681384E-12</v>
      </c>
      <c r="W74" s="93">
        <f t="shared" si="88"/>
        <v>1.1902498521919581E-2</v>
      </c>
      <c r="X74" s="93">
        <f t="shared" si="89"/>
        <v>0.24293749399989675</v>
      </c>
      <c r="Y74" s="93">
        <f t="shared" si="90"/>
        <v>0.24286792002238045</v>
      </c>
      <c r="Z74" s="93">
        <f t="shared" si="91"/>
        <v>0.24293749399989675</v>
      </c>
      <c r="AA74" s="93">
        <f t="shared" si="92"/>
        <v>0.24300708790815712</v>
      </c>
      <c r="AB74" s="93">
        <f t="shared" si="93"/>
        <v>6.3681674390645843E-2</v>
      </c>
      <c r="AC74" s="93">
        <f t="shared" si="94"/>
        <v>6.3646184219643215E-2</v>
      </c>
      <c r="AD74" s="93">
        <f t="shared" si="95"/>
        <v>0.24884039140729572</v>
      </c>
      <c r="AE74" s="93">
        <f t="shared" si="96"/>
        <v>2.7077882936773099E-3</v>
      </c>
      <c r="AF74" s="93">
        <f t="shared" si="97"/>
        <v>2.7077882936773099E-3</v>
      </c>
      <c r="AG74" s="93">
        <f t="shared" si="98"/>
        <v>6.6142016682738683E-2</v>
      </c>
      <c r="AH74" s="93">
        <f t="shared" si="99"/>
        <v>6.3610713827521259E-2</v>
      </c>
      <c r="AI74" s="93">
        <f t="shared" si="100"/>
        <v>0.62213288463329297</v>
      </c>
      <c r="AJ74" s="93">
        <f t="shared" si="101"/>
        <v>6.3823833084135792E-2</v>
      </c>
      <c r="AK74" s="93">
        <f t="shared" si="102"/>
        <v>6.0541576892931461E-3</v>
      </c>
      <c r="AL74" s="93">
        <f t="shared" si="103"/>
        <v>2.7110306024997911E-3</v>
      </c>
      <c r="AM74" s="93">
        <f t="shared" si="104"/>
        <v>0.12164545750052946</v>
      </c>
      <c r="AN74" s="93">
        <f t="shared" si="105"/>
        <v>4.722349798799564E-5</v>
      </c>
      <c r="AO74" s="260">
        <f t="shared" si="109"/>
        <v>1.1786320024770192E-2</v>
      </c>
      <c r="AP74" s="261">
        <f t="shared" si="110"/>
        <v>9.9020399759440811E-2</v>
      </c>
      <c r="AQ74" s="262">
        <f t="shared" si="111"/>
        <v>0.65627159936501478</v>
      </c>
      <c r="AR74" s="263">
        <f t="shared" si="112"/>
        <v>4.8238470316375459E-5</v>
      </c>
      <c r="AS74" s="260">
        <f t="shared" si="113"/>
        <v>3.6947073286825281E-8</v>
      </c>
      <c r="AT74" s="260">
        <f t="shared" si="108"/>
        <v>0.99999996305292671</v>
      </c>
    </row>
    <row r="75" spans="7:46" ht="12" customHeight="1">
      <c r="G75" s="218">
        <f t="shared" si="106"/>
        <v>14.765372168284788</v>
      </c>
      <c r="H75" s="215">
        <f t="shared" si="107"/>
        <v>3041.6666666666665</v>
      </c>
      <c r="I75" s="92">
        <v>73000</v>
      </c>
      <c r="J75" s="93">
        <f t="shared" si="75"/>
        <v>0.63182028532880719</v>
      </c>
      <c r="K75" s="93">
        <f t="shared" si="76"/>
        <v>0.11609415973423137</v>
      </c>
      <c r="L75" s="93">
        <f t="shared" si="77"/>
        <v>0.14453853052335408</v>
      </c>
      <c r="M75" s="93">
        <f t="shared" si="78"/>
        <v>0.6190739931667073</v>
      </c>
      <c r="N75" s="93">
        <f t="shared" si="79"/>
        <v>8.0322033391558273E-2</v>
      </c>
      <c r="O75" s="93">
        <f t="shared" si="80"/>
        <v>1.8656648868202431E-3</v>
      </c>
      <c r="P75" s="93">
        <f t="shared" si="81"/>
        <v>0.6170345782530634</v>
      </c>
      <c r="Q75" s="93">
        <f t="shared" si="82"/>
        <v>0.23848673906806386</v>
      </c>
      <c r="R75" s="93">
        <f t="shared" si="83"/>
        <v>0.62882914050563377</v>
      </c>
      <c r="S75" s="93">
        <f t="shared" si="84"/>
        <v>9.5674978644365388E-2</v>
      </c>
      <c r="T75" s="93">
        <f t="shared" si="85"/>
        <v>0.51596607997677324</v>
      </c>
      <c r="U75" s="93">
        <f t="shared" si="86"/>
        <v>0.23321284515438268</v>
      </c>
      <c r="V75" s="93">
        <f t="shared" si="87"/>
        <v>1.662340204344041E-12</v>
      </c>
      <c r="W75" s="93">
        <f t="shared" si="88"/>
        <v>1.1192082121270808E-2</v>
      </c>
      <c r="X75" s="93">
        <f t="shared" si="89"/>
        <v>0.23820986846132469</v>
      </c>
      <c r="Y75" s="93">
        <f t="shared" si="90"/>
        <v>0.23814070104801568</v>
      </c>
      <c r="Z75" s="93">
        <f t="shared" si="91"/>
        <v>0.23820986846132469</v>
      </c>
      <c r="AA75" s="93">
        <f t="shared" si="92"/>
        <v>0.23827905596414825</v>
      </c>
      <c r="AB75" s="93">
        <f t="shared" si="93"/>
        <v>6.1291967659497244E-2</v>
      </c>
      <c r="AC75" s="93">
        <f t="shared" si="94"/>
        <v>6.1257334998292223E-2</v>
      </c>
      <c r="AD75" s="93">
        <f t="shared" si="95"/>
        <v>0.24407926562354673</v>
      </c>
      <c r="AE75" s="93">
        <f t="shared" si="96"/>
        <v>2.4943453186184526E-3</v>
      </c>
      <c r="AF75" s="93">
        <f t="shared" si="97"/>
        <v>2.4943453186184526E-3</v>
      </c>
      <c r="AG75" s="93">
        <f t="shared" si="98"/>
        <v>6.3693508844859581E-2</v>
      </c>
      <c r="AH75" s="93">
        <f t="shared" si="99"/>
        <v>6.1222721906066098E-2</v>
      </c>
      <c r="AI75" s="93">
        <f t="shared" si="100"/>
        <v>0.61804546478434053</v>
      </c>
      <c r="AJ75" s="93">
        <f t="shared" si="101"/>
        <v>6.1430694215471877E-2</v>
      </c>
      <c r="AK75" s="93">
        <f t="shared" si="102"/>
        <v>5.6396080174390883E-3</v>
      </c>
      <c r="AL75" s="93">
        <f t="shared" si="103"/>
        <v>2.497373558135561E-3</v>
      </c>
      <c r="AM75" s="93">
        <f t="shared" si="104"/>
        <v>0.11813780424984735</v>
      </c>
      <c r="AN75" s="93">
        <f t="shared" si="105"/>
        <v>4.1122263982491544E-5</v>
      </c>
      <c r="AO75" s="260">
        <f t="shared" si="109"/>
        <v>1.1057225768411165E-2</v>
      </c>
      <c r="AP75" s="261">
        <f t="shared" si="110"/>
        <v>9.5738096271717615E-2</v>
      </c>
      <c r="AQ75" s="262">
        <f t="shared" si="111"/>
        <v>0.65163042407692617</v>
      </c>
      <c r="AR75" s="263">
        <f t="shared" si="112"/>
        <v>4.1620091118368545E-5</v>
      </c>
      <c r="AS75" s="260">
        <f t="shared" si="113"/>
        <v>2.871014224387168E-8</v>
      </c>
      <c r="AT75" s="260">
        <f t="shared" si="108"/>
        <v>0.99999997128985774</v>
      </c>
    </row>
    <row r="76" spans="7:46" ht="12" customHeight="1">
      <c r="G76" s="226">
        <f t="shared" si="106"/>
        <v>14.967637540453076</v>
      </c>
      <c r="H76" s="227">
        <f t="shared" si="107"/>
        <v>3083.3333333333335</v>
      </c>
      <c r="I76" s="228">
        <v>74000</v>
      </c>
      <c r="J76" s="93">
        <f t="shared" si="75"/>
        <v>0.62785877784416777</v>
      </c>
      <c r="K76" s="93">
        <f t="shared" si="76"/>
        <v>0.11271963030930185</v>
      </c>
      <c r="L76" s="93">
        <f t="shared" si="77"/>
        <v>0.14075912600817345</v>
      </c>
      <c r="M76" s="93">
        <f t="shared" si="78"/>
        <v>0.61502067892991374</v>
      </c>
      <c r="N76" s="93">
        <f t="shared" si="79"/>
        <v>7.7594766371067894E-2</v>
      </c>
      <c r="O76" s="93">
        <f t="shared" si="80"/>
        <v>1.7117794064391365E-3</v>
      </c>
      <c r="P76" s="93">
        <f t="shared" si="81"/>
        <v>0.6129669089626405</v>
      </c>
      <c r="Q76" s="93">
        <f t="shared" si="82"/>
        <v>0.23384944748482694</v>
      </c>
      <c r="R76" s="93">
        <f t="shared" si="83"/>
        <v>0.62484576765063715</v>
      </c>
      <c r="S76" s="93">
        <f t="shared" si="84"/>
        <v>9.2648140636142615E-2</v>
      </c>
      <c r="T76" s="93">
        <f t="shared" si="85"/>
        <v>0.51131019847070214</v>
      </c>
      <c r="U76" s="93">
        <f t="shared" si="86"/>
        <v>0.22860806210893073</v>
      </c>
      <c r="V76" s="93">
        <f t="shared" si="87"/>
        <v>1.1464626412593007E-12</v>
      </c>
      <c r="W76" s="93">
        <f t="shared" si="88"/>
        <v>1.0524067865128182E-2</v>
      </c>
      <c r="X76" s="93">
        <f t="shared" si="89"/>
        <v>0.23357424372042684</v>
      </c>
      <c r="Y76" s="93">
        <f t="shared" si="90"/>
        <v>0.2335054933991052</v>
      </c>
      <c r="Z76" s="93">
        <f t="shared" si="91"/>
        <v>0.23357424372042684</v>
      </c>
      <c r="AA76" s="93">
        <f t="shared" si="92"/>
        <v>0.23364301428369919</v>
      </c>
      <c r="AB76" s="93">
        <f t="shared" si="93"/>
        <v>5.8991936621011272E-2</v>
      </c>
      <c r="AC76" s="93">
        <f t="shared" si="94"/>
        <v>5.8958147092420206E-2</v>
      </c>
      <c r="AD76" s="93">
        <f t="shared" si="95"/>
        <v>0.23940923565668049</v>
      </c>
      <c r="AE76" s="93">
        <f t="shared" si="96"/>
        <v>2.2977271092579897E-3</v>
      </c>
      <c r="AF76" s="93">
        <f t="shared" si="97"/>
        <v>2.2977271092579897E-3</v>
      </c>
      <c r="AG76" s="93">
        <f t="shared" si="98"/>
        <v>6.1335642189890169E-2</v>
      </c>
      <c r="AH76" s="93">
        <f t="shared" si="99"/>
        <v>5.8924376917868115E-2</v>
      </c>
      <c r="AI76" s="93">
        <f t="shared" si="100"/>
        <v>0.61398489932845157</v>
      </c>
      <c r="AJ76" s="93">
        <f t="shared" si="101"/>
        <v>5.9127288497701012E-2</v>
      </c>
      <c r="AK76" s="93">
        <f t="shared" si="102"/>
        <v>5.2534440334468212E-3</v>
      </c>
      <c r="AL76" s="93">
        <f t="shared" si="103"/>
        <v>2.3005548823844964E-3</v>
      </c>
      <c r="AM76" s="93">
        <f t="shared" si="104"/>
        <v>0.11473129436760511</v>
      </c>
      <c r="AN76" s="93">
        <f t="shared" si="105"/>
        <v>3.5809303992592609E-5</v>
      </c>
      <c r="AO76" s="260">
        <f t="shared" si="109"/>
        <v>1.0373755237378199E-2</v>
      </c>
      <c r="AP76" s="261">
        <f t="shared" si="110"/>
        <v>9.2565401031557693E-2</v>
      </c>
      <c r="AQ76" s="262">
        <f t="shared" si="111"/>
        <v>0.6470276201778915</v>
      </c>
      <c r="AR76" s="263">
        <f t="shared" si="112"/>
        <v>3.5909544805710803E-5</v>
      </c>
      <c r="AS76" s="260">
        <f t="shared" si="113"/>
        <v>2.2310916148521487E-8</v>
      </c>
      <c r="AT76" s="260">
        <f t="shared" si="108"/>
        <v>0.99999997768908389</v>
      </c>
    </row>
    <row r="77" spans="7:46" ht="12" customHeight="1">
      <c r="G77" s="218">
        <f t="shared" si="106"/>
        <v>15.169902912621358</v>
      </c>
      <c r="H77" s="215">
        <f t="shared" si="107"/>
        <v>3125</v>
      </c>
      <c r="I77" s="92">
        <v>75000</v>
      </c>
      <c r="J77" s="93">
        <f t="shared" si="75"/>
        <v>0.62392210897569078</v>
      </c>
      <c r="K77" s="93">
        <f t="shared" si="76"/>
        <v>0.10944318892657688</v>
      </c>
      <c r="L77" s="93">
        <f t="shared" si="77"/>
        <v>0.13707854565038288</v>
      </c>
      <c r="M77" s="93">
        <f t="shared" si="78"/>
        <v>0.61099390329187175</v>
      </c>
      <c r="N77" s="93">
        <f t="shared" si="79"/>
        <v>7.4960101406165339E-2</v>
      </c>
      <c r="O77" s="93">
        <f t="shared" si="80"/>
        <v>1.5705868492295028E-3</v>
      </c>
      <c r="P77" s="93">
        <f t="shared" si="81"/>
        <v>0.6089260549173261</v>
      </c>
      <c r="Q77" s="93">
        <f t="shared" si="82"/>
        <v>0.22930232642139325</v>
      </c>
      <c r="R77" s="93">
        <f t="shared" si="83"/>
        <v>0.62088762781726725</v>
      </c>
      <c r="S77" s="93">
        <f t="shared" si="84"/>
        <v>8.9717061712038124E-2</v>
      </c>
      <c r="T77" s="93">
        <f t="shared" si="85"/>
        <v>0.50669632986710611</v>
      </c>
      <c r="U77" s="93">
        <f t="shared" si="86"/>
        <v>0.22409420041423728</v>
      </c>
      <c r="V77" s="93">
        <f t="shared" si="87"/>
        <v>7.9067845701409823E-13</v>
      </c>
      <c r="W77" s="93">
        <f t="shared" si="88"/>
        <v>9.895924925294234E-3</v>
      </c>
      <c r="X77" s="93">
        <f t="shared" si="89"/>
        <v>0.22902882941823677</v>
      </c>
      <c r="Y77" s="93">
        <f t="shared" si="90"/>
        <v>0.22896050615289767</v>
      </c>
      <c r="Z77" s="93">
        <f t="shared" si="91"/>
        <v>0.22902882941823677</v>
      </c>
      <c r="AA77" s="93">
        <f t="shared" si="92"/>
        <v>0.22909717307167102</v>
      </c>
      <c r="AB77" s="93">
        <f t="shared" si="93"/>
        <v>5.677821612173637E-2</v>
      </c>
      <c r="AC77" s="93">
        <f t="shared" si="94"/>
        <v>5.6745255219940005E-2</v>
      </c>
      <c r="AD77" s="93">
        <f t="shared" si="95"/>
        <v>0.23482855854752513</v>
      </c>
      <c r="AE77" s="93">
        <f t="shared" si="96"/>
        <v>2.116607443729269E-3</v>
      </c>
      <c r="AF77" s="93">
        <f t="shared" si="97"/>
        <v>2.116607443729269E-3</v>
      </c>
      <c r="AG77" s="93">
        <f t="shared" si="98"/>
        <v>5.9065061276646146E-2</v>
      </c>
      <c r="AH77" s="93">
        <f t="shared" si="99"/>
        <v>5.671231345261319E-2</v>
      </c>
      <c r="AI77" s="93">
        <f t="shared" si="100"/>
        <v>0.60995101183197009</v>
      </c>
      <c r="AJ77" s="93">
        <f t="shared" si="101"/>
        <v>5.6910251296002065E-2</v>
      </c>
      <c r="AK77" s="93">
        <f t="shared" si="102"/>
        <v>4.8937220684870213E-3</v>
      </c>
      <c r="AL77" s="93">
        <f t="shared" si="103"/>
        <v>2.1192475389281962E-3</v>
      </c>
      <c r="AM77" s="93">
        <f t="shared" si="104"/>
        <v>0.111423011379383</v>
      </c>
      <c r="AN77" s="93">
        <f t="shared" si="105"/>
        <v>3.118277371547129E-5</v>
      </c>
      <c r="AO77" s="260">
        <f t="shared" si="109"/>
        <v>9.733010402936091E-3</v>
      </c>
      <c r="AP77" s="261">
        <f t="shared" si="110"/>
        <v>8.9498649161133731E-2</v>
      </c>
      <c r="AQ77" s="262">
        <f t="shared" si="111"/>
        <v>0.64246300818761015</v>
      </c>
      <c r="AR77" s="263">
        <f t="shared" si="112"/>
        <v>3.0982348088752256E-5</v>
      </c>
      <c r="AS77" s="260">
        <f t="shared" si="113"/>
        <v>1.7339082930283296E-8</v>
      </c>
      <c r="AT77" s="260">
        <f t="shared" si="108"/>
        <v>0.99999998266091705</v>
      </c>
    </row>
    <row r="78" spans="7:46" ht="12" customHeight="1"/>
    <row r="79" spans="7:46" ht="12" customHeight="1"/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CFDA1-E382-437F-A2B7-F3CBE6F0FFA0}">
  <dimension ref="B1:O68"/>
  <sheetViews>
    <sheetView zoomScale="70" zoomScaleNormal="70" workbookViewId="0">
      <selection activeCell="O35" sqref="O35:O37"/>
    </sheetView>
  </sheetViews>
  <sheetFormatPr baseColWidth="10" defaultRowHeight="14.4"/>
  <cols>
    <col min="1" max="1" width="6.5546875" customWidth="1"/>
    <col min="2" max="2" width="8.44140625" bestFit="1" customWidth="1"/>
    <col min="3" max="3" width="57.109375" bestFit="1" customWidth="1"/>
    <col min="10" max="10" width="10.109375" bestFit="1" customWidth="1"/>
    <col min="11" max="11" width="17.109375" customWidth="1"/>
    <col min="12" max="13" width="13.88671875" customWidth="1"/>
  </cols>
  <sheetData>
    <row r="1" spans="2:11" ht="15" thickBot="1">
      <c r="B1" s="54" t="s">
        <v>243</v>
      </c>
    </row>
    <row r="2" spans="2:11" ht="29.4" customHeight="1" thickBot="1">
      <c r="B2" s="36" t="s">
        <v>56</v>
      </c>
      <c r="C2" s="332" t="s">
        <v>55</v>
      </c>
      <c r="D2" s="332" t="s">
        <v>239</v>
      </c>
      <c r="E2" s="333" t="str">
        <f>CM!I2</f>
        <v>R (t) antes</v>
      </c>
      <c r="F2" s="333" t="s">
        <v>241</v>
      </c>
      <c r="G2" s="333" t="str">
        <f>CM!K2</f>
        <v>A(t) antes</v>
      </c>
      <c r="H2" s="333" t="s">
        <v>592</v>
      </c>
    </row>
    <row r="3" spans="2:11" ht="15" customHeight="1">
      <c r="B3" s="38">
        <v>1</v>
      </c>
      <c r="C3" s="44" t="s">
        <v>28</v>
      </c>
      <c r="D3" s="49" t="s">
        <v>211</v>
      </c>
      <c r="E3" s="141">
        <f>CM!I3</f>
        <v>0.9672161004820059</v>
      </c>
      <c r="F3" s="519">
        <f>E3*(1-(1-E4)*(1-E5))*E6</f>
        <v>0.74238434551190846</v>
      </c>
      <c r="G3" s="141">
        <f>CM!K3</f>
        <v>0.99967648010352639</v>
      </c>
      <c r="H3" s="519">
        <f>G3*(1-(1-G4)*(1-G5))*G6</f>
        <v>0.99932931918125956</v>
      </c>
      <c r="I3" s="213"/>
    </row>
    <row r="4" spans="2:11" ht="15" customHeight="1">
      <c r="B4" s="39">
        <v>2</v>
      </c>
      <c r="C4" s="45" t="s">
        <v>20</v>
      </c>
      <c r="D4" s="50" t="s">
        <v>212</v>
      </c>
      <c r="E4" s="141">
        <f>CM!I4</f>
        <v>0.81873075307798182</v>
      </c>
      <c r="F4" s="520"/>
      <c r="G4" s="141">
        <f>CM!K4</f>
        <v>0.99967648010352639</v>
      </c>
      <c r="H4" s="520"/>
      <c r="I4" s="213"/>
    </row>
    <row r="5" spans="2:11" ht="15" customHeight="1">
      <c r="B5" s="39">
        <v>28</v>
      </c>
      <c r="C5" s="45" t="s">
        <v>49</v>
      </c>
      <c r="D5" s="49" t="s">
        <v>213</v>
      </c>
      <c r="E5" s="141">
        <f>CM!I30</f>
        <v>0.36787944117144233</v>
      </c>
      <c r="F5" s="520"/>
      <c r="G5" s="141">
        <f>CM!K30</f>
        <v>0.99798142914816312</v>
      </c>
      <c r="H5" s="520"/>
      <c r="I5" s="213"/>
    </row>
    <row r="6" spans="2:11" ht="15" customHeight="1" thickBot="1">
      <c r="B6" s="39">
        <v>3</v>
      </c>
      <c r="C6" s="45" t="s">
        <v>64</v>
      </c>
      <c r="D6" s="50" t="s">
        <v>422</v>
      </c>
      <c r="E6" s="141">
        <f>CM!I5</f>
        <v>0.86687789975018159</v>
      </c>
      <c r="F6" s="521"/>
      <c r="G6" s="141">
        <f>CM!K5</f>
        <v>0.99965337954939337</v>
      </c>
      <c r="H6" s="521"/>
      <c r="I6" s="213"/>
    </row>
    <row r="7" spans="2:11" ht="15" customHeight="1">
      <c r="B7" s="40">
        <v>4</v>
      </c>
      <c r="C7" s="46" t="s">
        <v>51</v>
      </c>
      <c r="D7" s="51" t="s">
        <v>240</v>
      </c>
      <c r="E7" s="162">
        <f>CM!I6</f>
        <v>0.9672161004820059</v>
      </c>
      <c r="F7" s="522">
        <f>E7*(1-(1-E8)*(1-E9)*(1-E10))*(E11)</f>
        <v>0.8696856741300345</v>
      </c>
      <c r="G7" s="162">
        <f>CM!K6</f>
        <v>0.99919159256265155</v>
      </c>
      <c r="H7" s="522">
        <f>G7*(1-(1-G8)*(1-G9)*(1-G10))*(G11)</f>
        <v>0.99902993681140884</v>
      </c>
      <c r="I7" s="213"/>
    </row>
    <row r="8" spans="2:11" ht="15" customHeight="1">
      <c r="B8" s="40">
        <v>5</v>
      </c>
      <c r="C8" s="46" t="s">
        <v>70</v>
      </c>
      <c r="D8" s="51" t="s">
        <v>214</v>
      </c>
      <c r="E8" s="162">
        <f>CM!I7</f>
        <v>0.77880078307140488</v>
      </c>
      <c r="F8" s="523"/>
      <c r="G8" s="162">
        <f>CM!K7</f>
        <v>0.99959563283461383</v>
      </c>
      <c r="H8" s="523"/>
      <c r="I8" s="213"/>
    </row>
    <row r="9" spans="2:11" ht="15" customHeight="1">
      <c r="B9" s="40">
        <v>6</v>
      </c>
      <c r="C9" s="46" t="s">
        <v>73</v>
      </c>
      <c r="D9" s="51" t="s">
        <v>215</v>
      </c>
      <c r="E9" s="162">
        <f>CM!I8</f>
        <v>0.1353352832366127</v>
      </c>
      <c r="F9" s="523"/>
      <c r="G9" s="162">
        <f>CM!K8</f>
        <v>0.99677419354838714</v>
      </c>
      <c r="H9" s="523"/>
      <c r="I9" s="213"/>
    </row>
    <row r="10" spans="2:11" ht="15" customHeight="1">
      <c r="B10" s="40">
        <v>7</v>
      </c>
      <c r="C10" s="46" t="s">
        <v>25</v>
      </c>
      <c r="D10" s="51" t="s">
        <v>216</v>
      </c>
      <c r="E10" s="162">
        <f>CM!I9</f>
        <v>0.9672161004820059</v>
      </c>
      <c r="F10" s="523"/>
      <c r="G10" s="162">
        <f>CM!K9</f>
        <v>0.99967648010352639</v>
      </c>
      <c r="H10" s="523"/>
      <c r="I10" s="213"/>
    </row>
    <row r="11" spans="2:11" ht="15" customHeight="1" thickBot="1">
      <c r="B11" s="40">
        <v>8</v>
      </c>
      <c r="C11" s="46" t="s">
        <v>31</v>
      </c>
      <c r="D11" s="51" t="s">
        <v>217</v>
      </c>
      <c r="E11" s="162">
        <f>CM!I10</f>
        <v>0.90483741803595952</v>
      </c>
      <c r="F11" s="524"/>
      <c r="G11" s="162">
        <f>CM!K10</f>
        <v>0.99983821388124894</v>
      </c>
      <c r="H11" s="524"/>
      <c r="I11" s="213"/>
    </row>
    <row r="12" spans="2:11" ht="15" customHeight="1">
      <c r="B12" s="41">
        <v>9</v>
      </c>
      <c r="C12" s="47" t="s">
        <v>32</v>
      </c>
      <c r="D12" s="52" t="s">
        <v>218</v>
      </c>
      <c r="E12" s="193">
        <f>CM!I11</f>
        <v>0.9672161004820059</v>
      </c>
      <c r="F12" s="525">
        <f>1-((1-(1-(1-E13)*(1-E14)*(1-E15))*E17*E18*E19*E20)*(1-E12)*(1-E16))</f>
        <v>0.99454688027449278</v>
      </c>
      <c r="G12" s="193">
        <f>CM!K11</f>
        <v>0.99838449111470118</v>
      </c>
      <c r="H12" s="525">
        <f>1-((1-(1-(1-G13)*(1-G14)*(1-G15))*G17*G18*G19*G20)*(1-G12)*(1-G16))</f>
        <v>0.99999999724710509</v>
      </c>
      <c r="I12" s="213"/>
    </row>
    <row r="13" spans="2:11" ht="15" customHeight="1" thickBot="1">
      <c r="B13" s="41">
        <v>10</v>
      </c>
      <c r="C13" s="47" t="s">
        <v>26</v>
      </c>
      <c r="D13" s="52" t="s">
        <v>219</v>
      </c>
      <c r="E13" s="193">
        <f>CM!I12</f>
        <v>0.81873075307798182</v>
      </c>
      <c r="F13" s="526"/>
      <c r="G13" s="193">
        <f>CM!K12</f>
        <v>0.99806201550387597</v>
      </c>
      <c r="H13" s="526"/>
      <c r="I13" s="213"/>
    </row>
    <row r="14" spans="2:11" ht="15" customHeight="1" thickBot="1">
      <c r="B14" s="41">
        <v>29</v>
      </c>
      <c r="C14" s="47" t="s">
        <v>44</v>
      </c>
      <c r="D14" s="52" t="s">
        <v>220</v>
      </c>
      <c r="E14" s="193">
        <f>CM!I31</f>
        <v>0.60653065971263342</v>
      </c>
      <c r="F14" s="526"/>
      <c r="G14" s="193">
        <f>CM!K31</f>
        <v>0.99949459213585368</v>
      </c>
      <c r="H14" s="526"/>
      <c r="I14" s="213"/>
      <c r="J14" s="214" t="s">
        <v>242</v>
      </c>
      <c r="K14" s="214" t="s">
        <v>593</v>
      </c>
    </row>
    <row r="15" spans="2:11" ht="15" customHeight="1">
      <c r="B15" s="41">
        <v>30</v>
      </c>
      <c r="C15" s="47" t="s">
        <v>45</v>
      </c>
      <c r="D15" s="52" t="s">
        <v>221</v>
      </c>
      <c r="E15" s="193">
        <f>CM!I32</f>
        <v>0.81873075307798182</v>
      </c>
      <c r="F15" s="526"/>
      <c r="G15" s="193">
        <f>CM!K32</f>
        <v>0.99806201550387597</v>
      </c>
      <c r="H15" s="526"/>
      <c r="I15" s="213"/>
      <c r="J15" s="514">
        <f>F3*F7*F12*F21</f>
        <v>0.42024792097326957</v>
      </c>
      <c r="K15" s="505">
        <f>G3*G7*G12*G21</f>
        <v>0.99717397602677027</v>
      </c>
    </row>
    <row r="16" spans="2:11" ht="15" customHeight="1">
      <c r="B16" s="41">
        <v>27</v>
      </c>
      <c r="C16" s="47" t="s">
        <v>43</v>
      </c>
      <c r="D16" s="52" t="s">
        <v>222</v>
      </c>
      <c r="E16" s="193">
        <f>CM!I29</f>
        <v>0.81873075307798182</v>
      </c>
      <c r="F16" s="526"/>
      <c r="G16" s="193">
        <f>CM!K29</f>
        <v>0.99967648010352639</v>
      </c>
      <c r="H16" s="526"/>
      <c r="I16" s="213"/>
      <c r="J16" s="515"/>
      <c r="K16" s="506"/>
    </row>
    <row r="17" spans="2:11" ht="15" customHeight="1" thickBot="1">
      <c r="B17" s="41">
        <v>11</v>
      </c>
      <c r="C17" s="47" t="s">
        <v>27</v>
      </c>
      <c r="D17" s="52" t="s">
        <v>223</v>
      </c>
      <c r="E17" s="193">
        <f>CM!I13</f>
        <v>0.95122942450071402</v>
      </c>
      <c r="F17" s="526"/>
      <c r="G17" s="193">
        <f>CM!K13</f>
        <v>0.99757869249394671</v>
      </c>
      <c r="H17" s="526"/>
      <c r="I17" s="213"/>
      <c r="J17" s="516"/>
      <c r="K17" s="507"/>
    </row>
    <row r="18" spans="2:11" ht="15" customHeight="1">
      <c r="B18" s="41">
        <v>12</v>
      </c>
      <c r="C18" s="47" t="s">
        <v>88</v>
      </c>
      <c r="D18" s="52" t="s">
        <v>439</v>
      </c>
      <c r="E18" s="193">
        <f>CM!I14</f>
        <v>0.90483741803595952</v>
      </c>
      <c r="F18" s="526"/>
      <c r="G18" s="193">
        <f>CM!K14</f>
        <v>0.99903006789524729</v>
      </c>
      <c r="H18" s="526"/>
      <c r="I18" s="213"/>
    </row>
    <row r="19" spans="2:11" ht="15" customHeight="1">
      <c r="B19" s="41">
        <v>13</v>
      </c>
      <c r="C19" s="47" t="s">
        <v>46</v>
      </c>
      <c r="D19" s="52" t="s">
        <v>440</v>
      </c>
      <c r="E19" s="193">
        <f>CM!I15</f>
        <v>0.1353352832366127</v>
      </c>
      <c r="F19" s="526"/>
      <c r="G19" s="193">
        <f>CM!K15</f>
        <v>0.99838449111470118</v>
      </c>
      <c r="H19" s="526"/>
      <c r="I19" s="213"/>
    </row>
    <row r="20" spans="2:11" ht="15" customHeight="1" thickBot="1">
      <c r="B20" s="41">
        <v>14</v>
      </c>
      <c r="C20" s="47" t="s">
        <v>47</v>
      </c>
      <c r="D20" s="52" t="s">
        <v>441</v>
      </c>
      <c r="E20" s="193">
        <f>CM!I16</f>
        <v>0.71653131057378927</v>
      </c>
      <c r="F20" s="527"/>
      <c r="G20" s="193">
        <f>CM!K16</f>
        <v>0.99973038554866545</v>
      </c>
      <c r="H20" s="527"/>
      <c r="I20" s="213"/>
    </row>
    <row r="21" spans="2:11" ht="15" customHeight="1">
      <c r="B21" s="42">
        <v>15</v>
      </c>
      <c r="C21" s="48" t="s">
        <v>33</v>
      </c>
      <c r="D21" s="53" t="s">
        <v>224</v>
      </c>
      <c r="E21" s="194">
        <f>CM!I17</f>
        <v>0.90483741803595952</v>
      </c>
      <c r="F21" s="517">
        <f>E21*E22*E23*(1-(1-(E24*E25*E26*E27*E30*E31))*(1-E28)*(1-E29))*(1-(1-E32)*(1-E33))</f>
        <v>0.65446916909137021</v>
      </c>
      <c r="G21" s="194">
        <f>CM!K17</f>
        <v>0.99991910039640808</v>
      </c>
      <c r="H21" s="517">
        <f>G21*G22*G23*(1-(1-(G24*G25*G26*G27*G30*G31))*(1-G28)*(1-G29))*(1-(1-G32)*(1-G33))</f>
        <v>0.99977744255914791</v>
      </c>
      <c r="I21" s="213"/>
    </row>
    <row r="22" spans="2:11" ht="15" customHeight="1">
      <c r="B22" s="42">
        <v>16</v>
      </c>
      <c r="C22" s="48" t="s">
        <v>34</v>
      </c>
      <c r="D22" s="53" t="s">
        <v>225</v>
      </c>
      <c r="E22" s="194">
        <f>CM!I18</f>
        <v>0.90483741803595952</v>
      </c>
      <c r="F22" s="517"/>
      <c r="G22" s="194">
        <f>CM!K18</f>
        <v>0.99993932407014141</v>
      </c>
      <c r="H22" s="517"/>
      <c r="I22" s="213"/>
    </row>
    <row r="23" spans="2:11" ht="15" customHeight="1">
      <c r="B23" s="42">
        <v>17</v>
      </c>
      <c r="C23" s="48" t="s">
        <v>53</v>
      </c>
      <c r="D23" s="53" t="s">
        <v>226</v>
      </c>
      <c r="E23" s="194">
        <f>CM!I19</f>
        <v>0.90483741803595952</v>
      </c>
      <c r="F23" s="517"/>
      <c r="G23" s="194">
        <f>CM!K19</f>
        <v>0.99991910039640808</v>
      </c>
      <c r="H23" s="517"/>
      <c r="I23" s="213"/>
    </row>
    <row r="24" spans="2:11" ht="15" customHeight="1">
      <c r="B24" s="42">
        <v>18</v>
      </c>
      <c r="C24" s="48" t="s">
        <v>35</v>
      </c>
      <c r="D24" s="53" t="s">
        <v>227</v>
      </c>
      <c r="E24" s="194">
        <f>CM!I20</f>
        <v>0.90483741803595952</v>
      </c>
      <c r="F24" s="517"/>
      <c r="G24" s="194">
        <f>CM!K20</f>
        <v>0.99989887754070184</v>
      </c>
      <c r="H24" s="517"/>
      <c r="I24" s="213"/>
    </row>
    <row r="25" spans="2:11" ht="15" customHeight="1">
      <c r="B25" s="42">
        <v>19</v>
      </c>
      <c r="C25" s="48" t="s">
        <v>36</v>
      </c>
      <c r="D25" s="53" t="s">
        <v>228</v>
      </c>
      <c r="E25" s="194">
        <f>CM!I21</f>
        <v>0.81873075307798182</v>
      </c>
      <c r="F25" s="517"/>
      <c r="G25" s="194">
        <f>CM!K21</f>
        <v>0.99983821388124894</v>
      </c>
      <c r="H25" s="517"/>
      <c r="I25" s="213"/>
    </row>
    <row r="26" spans="2:11" ht="15" customHeight="1">
      <c r="B26" s="42">
        <v>20</v>
      </c>
      <c r="C26" s="48" t="s">
        <v>101</v>
      </c>
      <c r="D26" s="53" t="s">
        <v>229</v>
      </c>
      <c r="E26" s="194">
        <f>CM!I22</f>
        <v>0.81873075307798182</v>
      </c>
      <c r="F26" s="517"/>
      <c r="G26" s="194">
        <f>CM!K22</f>
        <v>0.99987865550297295</v>
      </c>
      <c r="H26" s="517"/>
      <c r="I26" s="213"/>
    </row>
    <row r="27" spans="2:11" ht="15" customHeight="1">
      <c r="B27" s="42">
        <v>21</v>
      </c>
      <c r="C27" s="48" t="s">
        <v>37</v>
      </c>
      <c r="D27" s="53" t="s">
        <v>230</v>
      </c>
      <c r="E27" s="194">
        <f>CM!I23</f>
        <v>0.90483741803595952</v>
      </c>
      <c r="F27" s="517"/>
      <c r="G27" s="194">
        <f>CM!K23</f>
        <v>0.99991910039640808</v>
      </c>
      <c r="H27" s="517"/>
      <c r="I27" s="213"/>
    </row>
    <row r="28" spans="2:11" ht="15" customHeight="1">
      <c r="B28" s="42">
        <v>22</v>
      </c>
      <c r="C28" s="48" t="s">
        <v>106</v>
      </c>
      <c r="D28" s="53" t="s">
        <v>231</v>
      </c>
      <c r="E28" s="194">
        <f>CM!I24</f>
        <v>0.60653065971263342</v>
      </c>
      <c r="F28" s="517"/>
      <c r="G28" s="194">
        <f>CM!K24</f>
        <v>0.99959563283461383</v>
      </c>
      <c r="H28" s="517"/>
      <c r="I28" s="213"/>
    </row>
    <row r="29" spans="2:11" ht="15" customHeight="1">
      <c r="B29" s="42">
        <v>23</v>
      </c>
      <c r="C29" s="48" t="s">
        <v>110</v>
      </c>
      <c r="D29" s="53" t="s">
        <v>232</v>
      </c>
      <c r="E29" s="194">
        <f>CM!I25</f>
        <v>0.60653065971263342</v>
      </c>
      <c r="F29" s="517"/>
      <c r="G29" s="194">
        <f>CM!K25</f>
        <v>0.99959563283461383</v>
      </c>
      <c r="H29" s="517"/>
      <c r="I29" s="213"/>
    </row>
    <row r="30" spans="2:11" ht="15" customHeight="1">
      <c r="B30" s="42">
        <v>24</v>
      </c>
      <c r="C30" s="48" t="s">
        <v>113</v>
      </c>
      <c r="D30" s="53" t="s">
        <v>233</v>
      </c>
      <c r="E30" s="194">
        <f>CM!I26</f>
        <v>0.81873075307798182</v>
      </c>
      <c r="F30" s="517"/>
      <c r="G30" s="194">
        <f>CM!K26</f>
        <v>0.99709583736689256</v>
      </c>
      <c r="H30" s="517"/>
      <c r="I30" s="213"/>
    </row>
    <row r="31" spans="2:11" ht="15" customHeight="1">
      <c r="B31" s="42">
        <v>25</v>
      </c>
      <c r="C31" s="48" t="s">
        <v>115</v>
      </c>
      <c r="D31" s="53" t="s">
        <v>234</v>
      </c>
      <c r="E31" s="194">
        <f>CM!I27</f>
        <v>0.81873075307798182</v>
      </c>
      <c r="F31" s="517"/>
      <c r="G31" s="194">
        <f>CM!K27</f>
        <v>0.99991910039640808</v>
      </c>
      <c r="H31" s="517"/>
      <c r="I31" s="213"/>
    </row>
    <row r="32" spans="2:11" ht="15" customHeight="1">
      <c r="B32" s="42">
        <v>31</v>
      </c>
      <c r="C32" s="48" t="s">
        <v>48</v>
      </c>
      <c r="D32" s="53" t="s">
        <v>235</v>
      </c>
      <c r="E32" s="194">
        <f>CM!I33</f>
        <v>0.36787944117144233</v>
      </c>
      <c r="F32" s="517"/>
      <c r="G32" s="194">
        <f>CM!K33</f>
        <v>0.99959563283461383</v>
      </c>
      <c r="H32" s="517"/>
      <c r="I32" s="213"/>
    </row>
    <row r="33" spans="2:15" ht="15" customHeight="1" thickBot="1">
      <c r="B33" s="42">
        <v>26</v>
      </c>
      <c r="C33" s="48" t="s">
        <v>42</v>
      </c>
      <c r="D33" s="53" t="s">
        <v>442</v>
      </c>
      <c r="E33" s="194">
        <f>CM!I28</f>
        <v>0.9672161004820059</v>
      </c>
      <c r="F33" s="518"/>
      <c r="G33" s="194">
        <f>CM!K28</f>
        <v>0.99975734045134679</v>
      </c>
      <c r="H33" s="518"/>
      <c r="I33" s="213"/>
    </row>
    <row r="34" spans="2:15" ht="34.200000000000003" customHeight="1" thickBot="1">
      <c r="N34" s="214" t="s">
        <v>594</v>
      </c>
      <c r="O34" s="214" t="s">
        <v>595</v>
      </c>
    </row>
    <row r="35" spans="2:15" ht="24.6" customHeight="1">
      <c r="L35" s="237">
        <f>J50-J15</f>
        <v>6.7854876903746919E-2</v>
      </c>
      <c r="M35" s="334">
        <f>K50-K15</f>
        <v>3.7212478327997012E-5</v>
      </c>
      <c r="N35" s="511">
        <f>(J50-J15)/J15</f>
        <v>0.1614639205033995</v>
      </c>
      <c r="O35" s="508">
        <f>(K50-K15)/K15</f>
        <v>3.7317939720278062E-5</v>
      </c>
    </row>
    <row r="36" spans="2:15" ht="15" customHeight="1" thickBot="1">
      <c r="B36" s="54" t="s">
        <v>573</v>
      </c>
      <c r="N36" s="512"/>
      <c r="O36" s="509"/>
    </row>
    <row r="37" spans="2:15" ht="32.4" customHeight="1" thickBot="1">
      <c r="B37" s="36" t="s">
        <v>56</v>
      </c>
      <c r="C37" s="332" t="s">
        <v>55</v>
      </c>
      <c r="D37" s="332" t="s">
        <v>239</v>
      </c>
      <c r="E37" s="333" t="str">
        <f>CM!P2</f>
        <v>R (t) propuesto</v>
      </c>
      <c r="F37" s="333" t="s">
        <v>241</v>
      </c>
      <c r="G37" s="333" t="str">
        <f>CM!R2</f>
        <v>A(t) propuesto</v>
      </c>
      <c r="H37" s="333" t="s">
        <v>592</v>
      </c>
      <c r="N37" s="513"/>
      <c r="O37" s="510"/>
    </row>
    <row r="38" spans="2:15" ht="15" customHeight="1">
      <c r="B38" s="38">
        <v>1</v>
      </c>
      <c r="C38" s="44" t="s">
        <v>28</v>
      </c>
      <c r="D38" s="49" t="s">
        <v>211</v>
      </c>
      <c r="E38" s="141">
        <f>CM!P3</f>
        <v>0.96938209618292892</v>
      </c>
      <c r="F38" s="519">
        <f>E38*(1-((1-E39)*(1-E40)))*E41</f>
        <v>0.81622909297130464</v>
      </c>
      <c r="G38" s="141">
        <f>CM!R3</f>
        <v>0.99969522600659455</v>
      </c>
      <c r="H38" s="519">
        <f>G38*(1-((1-G39)*(1-G40)))*G41</f>
        <v>0.99937653113924374</v>
      </c>
      <c r="I38" s="213"/>
    </row>
    <row r="39" spans="2:15">
      <c r="B39" s="39">
        <v>2</v>
      </c>
      <c r="C39" s="45" t="s">
        <v>20</v>
      </c>
      <c r="D39" s="50" t="s">
        <v>212</v>
      </c>
      <c r="E39" s="141">
        <f>CM!P4</f>
        <v>0.86429762910723851</v>
      </c>
      <c r="F39" s="520"/>
      <c r="G39" s="141">
        <f>CM!R4</f>
        <v>0.99976368941931992</v>
      </c>
      <c r="H39" s="520"/>
      <c r="I39" s="213"/>
    </row>
    <row r="40" spans="2:15">
      <c r="B40" s="39">
        <v>28</v>
      </c>
      <c r="C40" s="45" t="s">
        <v>49</v>
      </c>
      <c r="D40" s="49" t="s">
        <v>213</v>
      </c>
      <c r="E40" s="141">
        <f>CM!P30</f>
        <v>0.70420811063137079</v>
      </c>
      <c r="F40" s="520"/>
      <c r="G40" s="141">
        <f>CM!R30</f>
        <v>0.99928976026148641</v>
      </c>
      <c r="H40" s="520"/>
      <c r="I40" s="213"/>
    </row>
    <row r="41" spans="2:15" ht="15" thickBot="1">
      <c r="B41" s="39">
        <v>3</v>
      </c>
      <c r="C41" s="45" t="s">
        <v>64</v>
      </c>
      <c r="D41" s="50" t="s">
        <v>422</v>
      </c>
      <c r="E41" s="141">
        <f>CM!P5</f>
        <v>0.87722101786986395</v>
      </c>
      <c r="F41" s="521"/>
      <c r="G41" s="141">
        <f>CM!R5</f>
        <v>0.99968137575681815</v>
      </c>
      <c r="H41" s="521"/>
      <c r="I41" s="213"/>
    </row>
    <row r="42" spans="2:15">
      <c r="B42" s="40">
        <v>4</v>
      </c>
      <c r="C42" s="46" t="s">
        <v>51</v>
      </c>
      <c r="D42" s="51" t="s">
        <v>240</v>
      </c>
      <c r="E42" s="162">
        <f>CM!P6</f>
        <v>0.96804501062102155</v>
      </c>
      <c r="F42" s="522">
        <f>E42*(1-((1-E43)*(1-E44)*(1-E45)))*(E46)</f>
        <v>0.87694565368696287</v>
      </c>
      <c r="G42" s="162">
        <f>CM!R6</f>
        <v>0.99919277417450603</v>
      </c>
      <c r="H42" s="522">
        <f>G42*(1-((1-G43)*(1-G44)*(1-G45)))*(G46)</f>
        <v>0.99903558176954688</v>
      </c>
      <c r="I42" s="213"/>
    </row>
    <row r="43" spans="2:15">
      <c r="B43" s="40">
        <v>5</v>
      </c>
      <c r="C43" s="46" t="s">
        <v>70</v>
      </c>
      <c r="D43" s="51" t="s">
        <v>214</v>
      </c>
      <c r="E43" s="162">
        <f>CM!P7</f>
        <v>0.843002387294149</v>
      </c>
      <c r="F43" s="523"/>
      <c r="G43" s="162">
        <f>CM!R7</f>
        <v>0.99972327677670936</v>
      </c>
      <c r="H43" s="523"/>
      <c r="I43" s="213"/>
    </row>
    <row r="44" spans="2:15">
      <c r="B44" s="40">
        <v>6</v>
      </c>
      <c r="C44" s="46" t="s">
        <v>73</v>
      </c>
      <c r="D44" s="51" t="s">
        <v>215</v>
      </c>
      <c r="E44" s="162">
        <f>CM!P8</f>
        <v>0.65337784504573371</v>
      </c>
      <c r="F44" s="523"/>
      <c r="G44" s="162">
        <f>CM!R8</f>
        <v>0.9993106866838859</v>
      </c>
      <c r="H44" s="523"/>
      <c r="I44" s="213"/>
    </row>
    <row r="45" spans="2:15">
      <c r="B45" s="40">
        <v>7</v>
      </c>
      <c r="C45" s="46" t="s">
        <v>25</v>
      </c>
      <c r="D45" s="51" t="s">
        <v>216</v>
      </c>
      <c r="E45" s="162">
        <f>CM!P9</f>
        <v>0.96782869793566784</v>
      </c>
      <c r="F45" s="523"/>
      <c r="G45" s="162">
        <f>CM!R9</f>
        <v>0.9996795128203706</v>
      </c>
      <c r="H45" s="523"/>
      <c r="I45" s="213"/>
    </row>
    <row r="46" spans="2:15" ht="15" thickBot="1">
      <c r="B46" s="40">
        <v>8</v>
      </c>
      <c r="C46" s="46" t="s">
        <v>31</v>
      </c>
      <c r="D46" s="51" t="s">
        <v>217</v>
      </c>
      <c r="E46" s="162">
        <f>CM!P10</f>
        <v>0.90748222197068684</v>
      </c>
      <c r="F46" s="524"/>
      <c r="G46" s="162">
        <f>CM!R10</f>
        <v>0.9998426806638836</v>
      </c>
      <c r="H46" s="524"/>
      <c r="I46" s="213"/>
    </row>
    <row r="47" spans="2:15">
      <c r="B47" s="41">
        <v>9</v>
      </c>
      <c r="C47" s="47" t="s">
        <v>32</v>
      </c>
      <c r="D47" s="52" t="s">
        <v>218</v>
      </c>
      <c r="E47" s="193">
        <f>CM!P11</f>
        <v>0.96907059856428845</v>
      </c>
      <c r="F47" s="525">
        <f>1-((1-((1-((1-E48)*(1-E49)*(1-E50)))*E52*E53*E54*E55))*(1-E47)*(1-E51))</f>
        <v>0.99521353756824193</v>
      </c>
      <c r="G47" s="193">
        <f>CM!R11</f>
        <v>0.99839961571243963</v>
      </c>
      <c r="H47" s="525">
        <f>1-((1-((1-((1-G48)*(1-G49)*(1-G50)))*G52*G53*G54*G55))*(1-G47)*(1-G51))</f>
        <v>0.99999999756487368</v>
      </c>
      <c r="I47" s="213"/>
    </row>
    <row r="48" spans="2:15" ht="15" thickBot="1">
      <c r="B48" s="41">
        <v>10</v>
      </c>
      <c r="C48" s="47" t="s">
        <v>26</v>
      </c>
      <c r="D48" s="52" t="s">
        <v>219</v>
      </c>
      <c r="E48" s="193">
        <f>CM!P12</f>
        <v>0.85304810540066989</v>
      </c>
      <c r="F48" s="526"/>
      <c r="G48" s="193">
        <f>CM!R12</f>
        <v>0.99844419550001817</v>
      </c>
      <c r="H48" s="526"/>
      <c r="I48" s="213"/>
    </row>
    <row r="49" spans="2:11" ht="15" thickBot="1">
      <c r="B49" s="41">
        <v>29</v>
      </c>
      <c r="C49" s="47" t="s">
        <v>44</v>
      </c>
      <c r="D49" s="52" t="s">
        <v>220</v>
      </c>
      <c r="E49" s="193">
        <f>CM!P31</f>
        <v>0.66641060069017</v>
      </c>
      <c r="F49" s="526"/>
      <c r="G49" s="193">
        <f>CM!R31</f>
        <v>0.99958930694333259</v>
      </c>
      <c r="H49" s="526"/>
      <c r="I49" s="213"/>
      <c r="J49" s="214" t="s">
        <v>242</v>
      </c>
      <c r="K49" s="214" t="s">
        <v>593</v>
      </c>
    </row>
    <row r="50" spans="2:11">
      <c r="B50" s="41">
        <v>30</v>
      </c>
      <c r="C50" s="47" t="s">
        <v>45</v>
      </c>
      <c r="D50" s="52" t="s">
        <v>221</v>
      </c>
      <c r="E50" s="193">
        <f>CM!P32</f>
        <v>0.86531968769278145</v>
      </c>
      <c r="F50" s="526"/>
      <c r="G50" s="193">
        <f>CM!R32</f>
        <v>0.99858380981953898</v>
      </c>
      <c r="H50" s="526"/>
      <c r="I50" s="213"/>
      <c r="J50" s="514">
        <f>F38*F42*F47*F56</f>
        <v>0.48810279787701649</v>
      </c>
      <c r="K50" s="505">
        <f>G38*G42*G47*G56</f>
        <v>0.99721118850509827</v>
      </c>
    </row>
    <row r="51" spans="2:11">
      <c r="B51" s="41">
        <v>27</v>
      </c>
      <c r="C51" s="47" t="s">
        <v>43</v>
      </c>
      <c r="D51" s="52" t="s">
        <v>222</v>
      </c>
      <c r="E51" s="193">
        <f>CM!P29</f>
        <v>0.82783190060317757</v>
      </c>
      <c r="F51" s="526"/>
      <c r="G51" s="193">
        <f>CM!R29</f>
        <v>0.99969386171725261</v>
      </c>
      <c r="H51" s="526"/>
      <c r="I51" s="213"/>
      <c r="J51" s="515"/>
      <c r="K51" s="506"/>
    </row>
    <row r="52" spans="2:11" ht="15" thickBot="1">
      <c r="B52" s="41">
        <v>11</v>
      </c>
      <c r="C52" s="47" t="s">
        <v>27</v>
      </c>
      <c r="D52" s="52" t="s">
        <v>223</v>
      </c>
      <c r="E52" s="193">
        <f>CM!P13</f>
        <v>0.95617409232283801</v>
      </c>
      <c r="F52" s="526"/>
      <c r="G52" s="193">
        <f>CM!R13</f>
        <v>0.99771872237349102</v>
      </c>
      <c r="H52" s="526"/>
      <c r="I52" s="213"/>
      <c r="J52" s="516"/>
      <c r="K52" s="507"/>
    </row>
    <row r="53" spans="2:11">
      <c r="B53" s="41">
        <v>12</v>
      </c>
      <c r="C53" s="47" t="s">
        <v>88</v>
      </c>
      <c r="D53" s="52" t="s">
        <v>439</v>
      </c>
      <c r="E53" s="193">
        <f>CM!P14</f>
        <v>0.90610887938014351</v>
      </c>
      <c r="F53" s="526"/>
      <c r="G53" s="193">
        <f>CM!R14</f>
        <v>0.9990343079308116</v>
      </c>
      <c r="H53" s="526"/>
      <c r="I53" s="213"/>
    </row>
    <row r="54" spans="2:11">
      <c r="B54" s="41">
        <v>13</v>
      </c>
      <c r="C54" s="47" t="s">
        <v>46</v>
      </c>
      <c r="D54" s="52" t="s">
        <v>440</v>
      </c>
      <c r="E54" s="193">
        <f>CM!P15</f>
        <v>0.15930747486543848</v>
      </c>
      <c r="F54" s="526"/>
      <c r="G54" s="193">
        <f>CM!R15</f>
        <v>0.99851482510625067</v>
      </c>
      <c r="H54" s="526"/>
      <c r="I54" s="213"/>
    </row>
    <row r="55" spans="2:11" ht="15" thickBot="1">
      <c r="B55" s="41">
        <v>14</v>
      </c>
      <c r="C55" s="47" t="s">
        <v>47</v>
      </c>
      <c r="D55" s="52" t="s">
        <v>441</v>
      </c>
      <c r="E55" s="193">
        <f>CM!P16</f>
        <v>0.73766722063868939</v>
      </c>
      <c r="F55" s="527"/>
      <c r="G55" s="193">
        <f>CM!R16</f>
        <v>0.99975369430361172</v>
      </c>
      <c r="H55" s="527"/>
      <c r="I55" s="213"/>
    </row>
    <row r="56" spans="2:11">
      <c r="B56" s="42">
        <v>15</v>
      </c>
      <c r="C56" s="48" t="s">
        <v>33</v>
      </c>
      <c r="D56" s="53" t="s">
        <v>224</v>
      </c>
      <c r="E56" s="194">
        <f>CM!P17</f>
        <v>0.90741083129702471</v>
      </c>
      <c r="F56" s="517">
        <f>E56*E57*E58*(1-(1-(E59*E60*E61*E62*E65*E66))*(1-E63)*(1-E64))*(1-(1-E67)*(1-E68))</f>
        <v>0.68518882586686569</v>
      </c>
      <c r="G56" s="194">
        <f>CM!R17</f>
        <v>0.99992133414411166</v>
      </c>
      <c r="H56" s="517">
        <f>G56*G57*G58*(1-(1-(G59*G60*G61*G62*G65*G66))*(1-G63)*(1-G64))*(1-(1-G67)*(1-G68))</f>
        <v>0.99978361673669114</v>
      </c>
      <c r="I56" s="213"/>
    </row>
    <row r="57" spans="2:11">
      <c r="B57" s="42">
        <v>16</v>
      </c>
      <c r="C57" s="48" t="s">
        <v>34</v>
      </c>
      <c r="D57" s="53" t="s">
        <v>225</v>
      </c>
      <c r="E57" s="194">
        <f>CM!P18</f>
        <v>0.90739298450616224</v>
      </c>
      <c r="F57" s="517"/>
      <c r="G57" s="194">
        <f>CM!R18</f>
        <v>0.9999409994477515</v>
      </c>
      <c r="H57" s="517"/>
      <c r="I57" s="213"/>
    </row>
    <row r="58" spans="2:11">
      <c r="B58" s="42">
        <v>17</v>
      </c>
      <c r="C58" s="48" t="s">
        <v>53</v>
      </c>
      <c r="D58" s="53" t="s">
        <v>226</v>
      </c>
      <c r="E58" s="194">
        <f>CM!P19</f>
        <v>0.90741083129702471</v>
      </c>
      <c r="F58" s="517"/>
      <c r="G58" s="194">
        <f>CM!R19</f>
        <v>0.99992133414411166</v>
      </c>
      <c r="H58" s="517"/>
      <c r="I58" s="213"/>
    </row>
    <row r="59" spans="2:11">
      <c r="B59" s="42">
        <v>18</v>
      </c>
      <c r="C59" s="48" t="s">
        <v>35</v>
      </c>
      <c r="D59" s="53" t="s">
        <v>227</v>
      </c>
      <c r="E59" s="194">
        <f>CM!P20</f>
        <v>0.9074286784389014</v>
      </c>
      <c r="F59" s="517"/>
      <c r="G59" s="194">
        <f>CM!R20</f>
        <v>0.99990166961395066</v>
      </c>
      <c r="H59" s="517"/>
      <c r="I59" s="213"/>
    </row>
    <row r="60" spans="2:11">
      <c r="B60" s="42">
        <v>19</v>
      </c>
      <c r="C60" s="48" t="s">
        <v>36</v>
      </c>
      <c r="D60" s="53" t="s">
        <v>228</v>
      </c>
      <c r="E60" s="194">
        <f>CM!P21</f>
        <v>0.82770515598416305</v>
      </c>
      <c r="F60" s="517"/>
      <c r="G60" s="194">
        <f>CM!R21</f>
        <v>0.99984690742487725</v>
      </c>
      <c r="H60" s="517"/>
      <c r="I60" s="213"/>
    </row>
    <row r="61" spans="2:11">
      <c r="B61" s="42">
        <v>20</v>
      </c>
      <c r="C61" s="48" t="s">
        <v>101</v>
      </c>
      <c r="D61" s="53" t="s">
        <v>229</v>
      </c>
      <c r="E61" s="194">
        <f>CM!P22</f>
        <v>0.82767347286157944</v>
      </c>
      <c r="F61" s="517"/>
      <c r="G61" s="194">
        <f>CM!R22</f>
        <v>0.9998851761739892</v>
      </c>
      <c r="H61" s="517"/>
      <c r="I61" s="213"/>
    </row>
    <row r="62" spans="2:11">
      <c r="B62" s="42">
        <v>21</v>
      </c>
      <c r="C62" s="48" t="s">
        <v>37</v>
      </c>
      <c r="D62" s="53" t="s">
        <v>230</v>
      </c>
      <c r="E62" s="194">
        <f>CM!P23</f>
        <v>0.90890794587241819</v>
      </c>
      <c r="F62" s="517"/>
      <c r="G62" s="194">
        <f>CM!R23</f>
        <v>0.99992266876633107</v>
      </c>
      <c r="H62" s="517"/>
      <c r="I62" s="213"/>
    </row>
    <row r="63" spans="2:11">
      <c r="B63" s="42">
        <v>22</v>
      </c>
      <c r="C63" s="48" t="s">
        <v>106</v>
      </c>
      <c r="D63" s="53" t="s">
        <v>231</v>
      </c>
      <c r="E63" s="194">
        <f>CM!P24</f>
        <v>0.66635584240892087</v>
      </c>
      <c r="F63" s="517"/>
      <c r="G63" s="194">
        <f>CM!R24</f>
        <v>0.99967141856544328</v>
      </c>
      <c r="H63" s="517"/>
      <c r="I63" s="213"/>
    </row>
    <row r="64" spans="2:11">
      <c r="B64" s="42">
        <v>23</v>
      </c>
      <c r="C64" s="48" t="s">
        <v>110</v>
      </c>
      <c r="D64" s="53" t="s">
        <v>232</v>
      </c>
      <c r="E64" s="194">
        <f>CM!P25</f>
        <v>0.66635584240892087</v>
      </c>
      <c r="F64" s="517"/>
      <c r="G64" s="194">
        <f>CM!R25</f>
        <v>0.99967141856544328</v>
      </c>
      <c r="H64" s="517"/>
      <c r="I64" s="213"/>
    </row>
    <row r="65" spans="2:9">
      <c r="B65" s="42">
        <v>24</v>
      </c>
      <c r="C65" s="48" t="s">
        <v>113</v>
      </c>
      <c r="D65" s="53" t="s">
        <v>233</v>
      </c>
      <c r="E65" s="194">
        <f>CM!P26</f>
        <v>0.82986245603330255</v>
      </c>
      <c r="F65" s="517"/>
      <c r="G65" s="194">
        <f>CM!R26</f>
        <v>0.99725148685602527</v>
      </c>
      <c r="H65" s="517"/>
      <c r="I65" s="213"/>
    </row>
    <row r="66" spans="2:9">
      <c r="B66" s="42">
        <v>25</v>
      </c>
      <c r="C66" s="48" t="s">
        <v>115</v>
      </c>
      <c r="D66" s="53" t="s">
        <v>234</v>
      </c>
      <c r="E66" s="194">
        <f>CM!P27</f>
        <v>0.82764179095177093</v>
      </c>
      <c r="F66" s="517"/>
      <c r="G66" s="194">
        <f>CM!R27</f>
        <v>0.99992344785265597</v>
      </c>
      <c r="H66" s="517"/>
      <c r="I66" s="213"/>
    </row>
    <row r="67" spans="2:9">
      <c r="B67" s="42">
        <v>31</v>
      </c>
      <c r="C67" s="48" t="s">
        <v>48</v>
      </c>
      <c r="D67" s="53" t="s">
        <v>235</v>
      </c>
      <c r="E67" s="194">
        <f>CM!P33</f>
        <v>0.50461349394426103</v>
      </c>
      <c r="F67" s="517"/>
      <c r="G67" s="194">
        <f>CM!R33</f>
        <v>0.99972328076257078</v>
      </c>
      <c r="H67" s="517"/>
      <c r="I67" s="213"/>
    </row>
    <row r="68" spans="2:9" ht="15" thickBot="1">
      <c r="B68" s="42">
        <v>26</v>
      </c>
      <c r="C68" s="48" t="s">
        <v>42</v>
      </c>
      <c r="D68" s="53" t="s">
        <v>442</v>
      </c>
      <c r="E68" s="194">
        <f>CM!P28</f>
        <v>0.96793600185134898</v>
      </c>
      <c r="F68" s="518"/>
      <c r="G68" s="194">
        <f>CM!R28</f>
        <v>0.99976101575049003</v>
      </c>
      <c r="H68" s="518"/>
      <c r="I68" s="213"/>
    </row>
  </sheetData>
  <mergeCells count="22">
    <mergeCell ref="F56:F68"/>
    <mergeCell ref="H38:H41"/>
    <mergeCell ref="H42:H46"/>
    <mergeCell ref="H47:H55"/>
    <mergeCell ref="H56:H68"/>
    <mergeCell ref="F3:F6"/>
    <mergeCell ref="F7:F11"/>
    <mergeCell ref="F12:F20"/>
    <mergeCell ref="H3:H6"/>
    <mergeCell ref="H7:H11"/>
    <mergeCell ref="H12:H20"/>
    <mergeCell ref="K50:K52"/>
    <mergeCell ref="O35:O37"/>
    <mergeCell ref="N35:N37"/>
    <mergeCell ref="J15:J17"/>
    <mergeCell ref="F21:F33"/>
    <mergeCell ref="H21:H33"/>
    <mergeCell ref="K15:K17"/>
    <mergeCell ref="F38:F41"/>
    <mergeCell ref="F42:F46"/>
    <mergeCell ref="F47:F55"/>
    <mergeCell ref="J50:J5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BFFA-6B2E-47C8-BEF4-D8CE716CE6CC}">
  <dimension ref="A2:O105"/>
  <sheetViews>
    <sheetView topLeftCell="A2" zoomScale="70" zoomScaleNormal="70" workbookViewId="0">
      <selection activeCell="Q16" sqref="Q16"/>
    </sheetView>
  </sheetViews>
  <sheetFormatPr baseColWidth="10" defaultRowHeight="14.4"/>
  <cols>
    <col min="1" max="1" width="46.44140625" customWidth="1"/>
    <col min="2" max="2" width="17.44140625" bestFit="1" customWidth="1"/>
    <col min="3" max="3" width="18" bestFit="1" customWidth="1"/>
    <col min="4" max="4" width="14.21875" customWidth="1"/>
    <col min="5" max="5" width="14" customWidth="1"/>
    <col min="6" max="6" width="12" bestFit="1" customWidth="1"/>
    <col min="7" max="7" width="13.21875" customWidth="1"/>
    <col min="8" max="8" width="13.44140625" customWidth="1"/>
    <col min="9" max="9" width="12.6640625" customWidth="1"/>
    <col min="10" max="10" width="13.33203125" bestFit="1" customWidth="1"/>
    <col min="11" max="11" width="12.6640625" customWidth="1"/>
    <col min="12" max="12" width="13.77734375" customWidth="1"/>
    <col min="13" max="13" width="12.33203125" customWidth="1"/>
    <col min="14" max="14" width="12.44140625" bestFit="1" customWidth="1"/>
    <col min="15" max="15" width="13.33203125" customWidth="1"/>
    <col min="16" max="16" width="15.5546875" bestFit="1" customWidth="1"/>
    <col min="17" max="17" width="13.33203125" customWidth="1"/>
  </cols>
  <sheetData>
    <row r="2" spans="1:15" ht="15.6">
      <c r="A2" s="298" t="s">
        <v>569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</row>
    <row r="3" spans="1:15" ht="15.6">
      <c r="B3" s="531" t="s">
        <v>601</v>
      </c>
      <c r="C3" s="531"/>
      <c r="D3" s="531"/>
      <c r="E3" s="531"/>
    </row>
    <row r="5" spans="1:15">
      <c r="B5" s="105" t="s">
        <v>561</v>
      </c>
      <c r="C5" s="105">
        <v>0.95</v>
      </c>
      <c r="D5" s="105"/>
      <c r="E5" s="105"/>
      <c r="F5" s="105"/>
    </row>
    <row r="6" spans="1:15">
      <c r="B6" s="105" t="s">
        <v>563</v>
      </c>
      <c r="C6" s="105" t="s">
        <v>562</v>
      </c>
      <c r="E6" s="105"/>
      <c r="F6" s="105"/>
    </row>
    <row r="7" spans="1:15" ht="33" customHeight="1">
      <c r="A7" s="76" t="s">
        <v>55</v>
      </c>
      <c r="B7" s="142" t="s">
        <v>536</v>
      </c>
      <c r="C7" s="189" t="s">
        <v>566</v>
      </c>
      <c r="D7" s="296" t="s">
        <v>564</v>
      </c>
      <c r="E7" s="296" t="s">
        <v>565</v>
      </c>
      <c r="F7" s="189" t="s">
        <v>567</v>
      </c>
      <c r="G7" s="189" t="s">
        <v>568</v>
      </c>
    </row>
    <row r="8" spans="1:15">
      <c r="A8" s="92" t="s">
        <v>28</v>
      </c>
      <c r="B8" s="145">
        <f>CM!AG3</f>
        <v>1128.2703482741324</v>
      </c>
      <c r="C8" s="292">
        <f>1-CM!R3</f>
        <v>3.0477399340544942E-4</v>
      </c>
      <c r="D8" s="297">
        <f t="shared" ref="D8:D38" si="0">B8+($C$5*$C$51)</f>
        <v>1511.312390589705</v>
      </c>
      <c r="E8" s="297">
        <f t="shared" ref="E8:E38" si="1">B8-($C$5*$C$51)</f>
        <v>745.22830595855976</v>
      </c>
      <c r="F8" s="297">
        <f t="shared" ref="F8:F37" si="2">3595795.68*C8+7.145</f>
        <v>1103.0500088636636</v>
      </c>
      <c r="G8" s="297">
        <f>F8-B8</f>
        <v>-25.220339410468796</v>
      </c>
    </row>
    <row r="9" spans="1:15">
      <c r="A9" s="92" t="s">
        <v>20</v>
      </c>
      <c r="B9" s="145">
        <f>CM!AG4</f>
        <v>889.69284731984635</v>
      </c>
      <c r="C9" s="292">
        <f>1-CM!R4</f>
        <v>2.3631058068007693E-4</v>
      </c>
      <c r="D9" s="297">
        <f t="shared" si="0"/>
        <v>1272.734889635419</v>
      </c>
      <c r="E9" s="297">
        <f t="shared" si="1"/>
        <v>506.65080500427371</v>
      </c>
      <c r="F9" s="297">
        <f t="shared" si="2"/>
        <v>856.86956514771214</v>
      </c>
      <c r="G9" s="297">
        <f t="shared" ref="G9:G38" si="3">F9-B9</f>
        <v>-32.823282172134213</v>
      </c>
    </row>
    <row r="10" spans="1:15">
      <c r="A10" s="92" t="s">
        <v>64</v>
      </c>
      <c r="B10" s="145">
        <f>CM!AG5</f>
        <v>1118.2465543465846</v>
      </c>
      <c r="C10" s="292">
        <f>1-CM!R5</f>
        <v>3.1862424318185312E-4</v>
      </c>
      <c r="D10" s="297">
        <f t="shared" si="0"/>
        <v>1501.2885966621573</v>
      </c>
      <c r="E10" s="297">
        <f t="shared" si="1"/>
        <v>735.20451203101197</v>
      </c>
      <c r="F10" s="297">
        <f t="shared" si="2"/>
        <v>1152.8526771765769</v>
      </c>
      <c r="G10" s="297">
        <f t="shared" si="3"/>
        <v>34.606122829992273</v>
      </c>
    </row>
    <row r="11" spans="1:15">
      <c r="A11" s="92" t="s">
        <v>51</v>
      </c>
      <c r="B11" s="145">
        <f>CM!AG6</f>
        <v>2747.4070035766094</v>
      </c>
      <c r="C11" s="292">
        <f>1-CM!R6</f>
        <v>8.0722582549397348E-4</v>
      </c>
      <c r="D11" s="297">
        <f t="shared" si="0"/>
        <v>3130.4490458921819</v>
      </c>
      <c r="E11" s="297">
        <f t="shared" si="1"/>
        <v>2364.364961261037</v>
      </c>
      <c r="F11" s="297">
        <f t="shared" si="2"/>
        <v>2909.7641360956636</v>
      </c>
      <c r="G11" s="297">
        <f t="shared" si="3"/>
        <v>162.35713251905418</v>
      </c>
    </row>
    <row r="12" spans="1:15">
      <c r="A12" s="92" t="s">
        <v>70</v>
      </c>
      <c r="B12" s="145">
        <f>CM!AG7</f>
        <v>968.40035081536507</v>
      </c>
      <c r="C12" s="292">
        <f>1-CM!R7</f>
        <v>2.7672322329064247E-4</v>
      </c>
      <c r="D12" s="297">
        <f t="shared" si="0"/>
        <v>1351.4423931309377</v>
      </c>
      <c r="E12" s="297">
        <f t="shared" si="1"/>
        <v>585.35830849979243</v>
      </c>
      <c r="F12" s="297">
        <f t="shared" si="2"/>
        <v>1002.1851708641676</v>
      </c>
      <c r="G12" s="297">
        <f t="shared" si="3"/>
        <v>33.784820048802544</v>
      </c>
    </row>
    <row r="13" spans="1:15">
      <c r="A13" s="92" t="s">
        <v>73</v>
      </c>
      <c r="B13" s="145">
        <f>CM!AG8</f>
        <v>2353.2489670670379</v>
      </c>
      <c r="C13" s="292">
        <f>1-CM!R8</f>
        <v>6.8931331611410407E-4</v>
      </c>
      <c r="D13" s="297">
        <f t="shared" si="0"/>
        <v>2736.2910093826104</v>
      </c>
      <c r="E13" s="297">
        <f t="shared" si="1"/>
        <v>1970.2069247514653</v>
      </c>
      <c r="F13" s="297">
        <f t="shared" si="2"/>
        <v>2485.7748442495699</v>
      </c>
      <c r="G13" s="297">
        <f t="shared" si="3"/>
        <v>132.52587718253199</v>
      </c>
    </row>
    <row r="14" spans="1:15">
      <c r="A14" s="92" t="s">
        <v>25</v>
      </c>
      <c r="B14" s="145">
        <f>CM!AG9</f>
        <v>1078.3461557158928</v>
      </c>
      <c r="C14" s="292">
        <f>1-CM!R9</f>
        <v>3.2048717962940287E-4</v>
      </c>
      <c r="D14" s="297">
        <f t="shared" si="0"/>
        <v>1461.3881980314654</v>
      </c>
      <c r="E14" s="297">
        <f t="shared" si="1"/>
        <v>695.30411340032015</v>
      </c>
      <c r="F14" s="297">
        <f t="shared" si="2"/>
        <v>1159.551416006791</v>
      </c>
      <c r="G14" s="297">
        <f t="shared" si="3"/>
        <v>81.205260290898195</v>
      </c>
    </row>
    <row r="15" spans="1:15">
      <c r="A15" s="92" t="s">
        <v>31</v>
      </c>
      <c r="B15" s="145">
        <f>CM!AG10</f>
        <v>640.90930843242404</v>
      </c>
      <c r="C15" s="292">
        <f>1-CM!R10</f>
        <v>1.5731933611640159E-4</v>
      </c>
      <c r="D15" s="297">
        <f t="shared" si="0"/>
        <v>1023.9513507479967</v>
      </c>
      <c r="E15" s="297">
        <f t="shared" si="1"/>
        <v>257.8672661168514</v>
      </c>
      <c r="F15" s="297">
        <f t="shared" si="2"/>
        <v>572.83318918782481</v>
      </c>
      <c r="G15" s="297">
        <f t="shared" si="3"/>
        <v>-68.076119244599226</v>
      </c>
    </row>
    <row r="16" spans="1:15">
      <c r="A16" s="92" t="s">
        <v>32</v>
      </c>
      <c r="B16" s="145">
        <f>CM!AG11</f>
        <v>5202.7103745610611</v>
      </c>
      <c r="C16" s="292">
        <f>1-CM!R11</f>
        <v>1.6003842875603747E-3</v>
      </c>
      <c r="D16" s="297">
        <f t="shared" si="0"/>
        <v>5585.752416876634</v>
      </c>
      <c r="E16" s="297">
        <f t="shared" si="1"/>
        <v>4819.6683322454883</v>
      </c>
      <c r="F16" s="297">
        <f t="shared" si="2"/>
        <v>5761.7999075494736</v>
      </c>
      <c r="G16" s="297">
        <f t="shared" si="3"/>
        <v>559.08953298841243</v>
      </c>
    </row>
    <row r="17" spans="1:7">
      <c r="A17" s="92" t="s">
        <v>26</v>
      </c>
      <c r="B17" s="145">
        <f>CM!AG12</f>
        <v>7481.1453832815469</v>
      </c>
      <c r="C17" s="292">
        <f>1-CM!R12</f>
        <v>1.5558044999818277E-3</v>
      </c>
      <c r="D17" s="297">
        <f t="shared" si="0"/>
        <v>7864.1874255971197</v>
      </c>
      <c r="E17" s="297">
        <f t="shared" si="1"/>
        <v>7098.103340965974</v>
      </c>
      <c r="F17" s="297">
        <f t="shared" si="2"/>
        <v>5601.5000999592166</v>
      </c>
      <c r="G17" s="297">
        <f t="shared" si="3"/>
        <v>-1879.6452833223302</v>
      </c>
    </row>
    <row r="18" spans="1:7">
      <c r="A18" s="92" t="s">
        <v>27</v>
      </c>
      <c r="B18" s="145">
        <f>CM!AG13</f>
        <v>8613.1263757120159</v>
      </c>
      <c r="C18" s="292">
        <f>1-CM!R13</f>
        <v>2.2812776265089818E-3</v>
      </c>
      <c r="D18" s="297">
        <f t="shared" si="0"/>
        <v>8996.1684180275879</v>
      </c>
      <c r="E18" s="297">
        <f t="shared" si="1"/>
        <v>8230.084333396444</v>
      </c>
      <c r="F18" s="297">
        <f t="shared" si="2"/>
        <v>8210.1532342816517</v>
      </c>
      <c r="G18" s="297">
        <f t="shared" si="3"/>
        <v>-402.97314143036419</v>
      </c>
    </row>
    <row r="19" spans="1:7">
      <c r="A19" s="92" t="s">
        <v>88</v>
      </c>
      <c r="B19" s="145">
        <f>CM!AG14</f>
        <v>3279.9706426830171</v>
      </c>
      <c r="C19" s="292">
        <f>1-CM!R14</f>
        <v>9.6569206918839523E-4</v>
      </c>
      <c r="D19" s="297">
        <f t="shared" si="0"/>
        <v>3663.01268499859</v>
      </c>
      <c r="E19" s="297">
        <f t="shared" si="1"/>
        <v>2896.9286003674442</v>
      </c>
      <c r="F19" s="297">
        <f t="shared" si="2"/>
        <v>3479.5763705978929</v>
      </c>
      <c r="G19" s="297">
        <f t="shared" si="3"/>
        <v>199.60572791487584</v>
      </c>
    </row>
    <row r="20" spans="1:7">
      <c r="A20" s="92" t="s">
        <v>46</v>
      </c>
      <c r="B20" s="145">
        <f>CM!AG15</f>
        <v>5267.1436696108631</v>
      </c>
      <c r="C20" s="292">
        <f>1-CM!R15</f>
        <v>1.4851748937493303E-3</v>
      </c>
      <c r="D20" s="297">
        <f t="shared" si="0"/>
        <v>5650.1857119264359</v>
      </c>
      <c r="E20" s="297">
        <f t="shared" si="1"/>
        <v>4884.1016272952902</v>
      </c>
      <c r="F20" s="297">
        <f t="shared" si="2"/>
        <v>5347.5304669883017</v>
      </c>
      <c r="G20" s="297">
        <f t="shared" si="3"/>
        <v>80.386797377438597</v>
      </c>
    </row>
    <row r="21" spans="1:7">
      <c r="A21" s="92" t="s">
        <v>47</v>
      </c>
      <c r="B21" s="145">
        <f>CM!AG16</f>
        <v>867.40478368413039</v>
      </c>
      <c r="C21" s="292">
        <f>1-CM!R16</f>
        <v>2.4630569638828259E-4</v>
      </c>
      <c r="D21" s="297">
        <f t="shared" si="0"/>
        <v>1250.4468259997029</v>
      </c>
      <c r="E21" s="297">
        <f t="shared" si="1"/>
        <v>484.36274136855775</v>
      </c>
      <c r="F21" s="297">
        <f t="shared" si="2"/>
        <v>892.80995903237817</v>
      </c>
      <c r="G21" s="297">
        <f t="shared" si="3"/>
        <v>25.405175348247781</v>
      </c>
    </row>
    <row r="22" spans="1:7">
      <c r="A22" s="92" t="s">
        <v>33</v>
      </c>
      <c r="B22" s="145">
        <f>CM!AG17</f>
        <v>274.10962270569496</v>
      </c>
      <c r="C22" s="292">
        <f>1-CM!R17</f>
        <v>7.8665855888337965E-5</v>
      </c>
      <c r="D22" s="297">
        <f t="shared" si="0"/>
        <v>657.1516650212676</v>
      </c>
      <c r="E22" s="297">
        <f t="shared" si="1"/>
        <v>-108.93241960987768</v>
      </c>
      <c r="F22" s="297">
        <f t="shared" si="2"/>
        <v>290.01134476678823</v>
      </c>
      <c r="G22" s="297">
        <f t="shared" si="3"/>
        <v>15.901722061093267</v>
      </c>
    </row>
    <row r="23" spans="1:7">
      <c r="A23" s="92" t="s">
        <v>34</v>
      </c>
      <c r="B23" s="145">
        <f>CM!AG18</f>
        <v>202.39801837676885</v>
      </c>
      <c r="C23" s="292">
        <f>1-CM!R18</f>
        <v>5.9000552248500426E-5</v>
      </c>
      <c r="D23" s="297">
        <f t="shared" si="0"/>
        <v>585.44006069234149</v>
      </c>
      <c r="E23" s="297">
        <f t="shared" si="1"/>
        <v>-180.6440239388038</v>
      </c>
      <c r="F23" s="297">
        <f t="shared" si="2"/>
        <v>219.29893089277215</v>
      </c>
      <c r="G23" s="297">
        <f t="shared" si="3"/>
        <v>16.900912516003302</v>
      </c>
    </row>
    <row r="24" spans="1:7">
      <c r="A24" s="92" t="s">
        <v>53</v>
      </c>
      <c r="B24" s="145">
        <f>CM!AG19</f>
        <v>281.7913332445226</v>
      </c>
      <c r="C24" s="292">
        <f>1-CM!R19</f>
        <v>7.8665855888337965E-5</v>
      </c>
      <c r="D24" s="297">
        <f t="shared" si="0"/>
        <v>664.83337556009519</v>
      </c>
      <c r="E24" s="297">
        <f t="shared" si="1"/>
        <v>-101.25070907105004</v>
      </c>
      <c r="F24" s="297">
        <f t="shared" si="2"/>
        <v>290.01134476678823</v>
      </c>
      <c r="G24" s="297">
        <f t="shared" si="3"/>
        <v>8.2200115222656223</v>
      </c>
    </row>
    <row r="25" spans="1:7">
      <c r="A25" s="92" t="s">
        <v>35</v>
      </c>
      <c r="B25" s="145">
        <f>CM!AG20</f>
        <v>456.80533471536023</v>
      </c>
      <c r="C25" s="292">
        <f>1-CM!R20</f>
        <v>9.8330386049338969E-5</v>
      </c>
      <c r="D25" s="297">
        <f t="shared" si="0"/>
        <v>839.84737703093288</v>
      </c>
      <c r="E25" s="297">
        <f t="shared" si="1"/>
        <v>73.763292399787588</v>
      </c>
      <c r="F25" s="297">
        <f t="shared" si="2"/>
        <v>360.72097736894534</v>
      </c>
      <c r="G25" s="297">
        <f t="shared" si="3"/>
        <v>-96.08435734641489</v>
      </c>
    </row>
    <row r="26" spans="1:7">
      <c r="A26" s="92" t="s">
        <v>36</v>
      </c>
      <c r="B26" s="145">
        <f>CM!AG21</f>
        <v>536.88279951057621</v>
      </c>
      <c r="C26" s="292">
        <f>1-CM!R21</f>
        <v>1.5309257512274854E-4</v>
      </c>
      <c r="D26" s="297">
        <f t="shared" si="0"/>
        <v>919.92484182614885</v>
      </c>
      <c r="E26" s="297">
        <f t="shared" si="1"/>
        <v>153.84075719500356</v>
      </c>
      <c r="F26" s="297">
        <f t="shared" si="2"/>
        <v>557.6346202664547</v>
      </c>
      <c r="G26" s="297">
        <f t="shared" si="3"/>
        <v>20.751820755878498</v>
      </c>
    </row>
    <row r="27" spans="1:7">
      <c r="A27" s="92" t="s">
        <v>101</v>
      </c>
      <c r="B27" s="145">
        <f>CM!AG22</f>
        <v>414.98686058696779</v>
      </c>
      <c r="C27" s="292">
        <f>1-CM!R22</f>
        <v>1.1482382601080143E-4</v>
      </c>
      <c r="D27" s="297">
        <f t="shared" si="0"/>
        <v>798.02890290254049</v>
      </c>
      <c r="E27" s="297">
        <f t="shared" si="1"/>
        <v>31.94481827139515</v>
      </c>
      <c r="F27" s="297">
        <f t="shared" si="2"/>
        <v>420.02801753071145</v>
      </c>
      <c r="G27" s="297">
        <f t="shared" si="3"/>
        <v>5.0411569437436583</v>
      </c>
    </row>
    <row r="28" spans="1:7">
      <c r="A28" s="92" t="s">
        <v>37</v>
      </c>
      <c r="B28" s="145">
        <f>CM!AG23</f>
        <v>346.3393942362506</v>
      </c>
      <c r="C28" s="292">
        <f>1-CM!R23</f>
        <v>7.7331233668931354E-5</v>
      </c>
      <c r="D28" s="297">
        <f t="shared" si="0"/>
        <v>729.3814365518233</v>
      </c>
      <c r="E28" s="297">
        <f t="shared" si="1"/>
        <v>-36.702648079322046</v>
      </c>
      <c r="F28" s="297">
        <f t="shared" si="2"/>
        <v>285.21231595581389</v>
      </c>
      <c r="G28" s="297">
        <f t="shared" si="3"/>
        <v>-61.127078280436706</v>
      </c>
    </row>
    <row r="29" spans="1:7">
      <c r="A29" s="92" t="s">
        <v>106</v>
      </c>
      <c r="B29" s="145">
        <f>CM!AG24</f>
        <v>1129.677334650687</v>
      </c>
      <c r="C29" s="292">
        <f>1-CM!R24</f>
        <v>3.285814345567184E-4</v>
      </c>
      <c r="D29" s="297">
        <f t="shared" si="0"/>
        <v>1512.7193769662597</v>
      </c>
      <c r="E29" s="297">
        <f t="shared" si="1"/>
        <v>746.6352923351144</v>
      </c>
      <c r="F29" s="297">
        <f t="shared" si="2"/>
        <v>1188.6567029072507</v>
      </c>
      <c r="G29" s="297">
        <f t="shared" si="3"/>
        <v>58.979368256563703</v>
      </c>
    </row>
    <row r="30" spans="1:7">
      <c r="A30" s="92" t="s">
        <v>110</v>
      </c>
      <c r="B30" s="145">
        <f>CM!AG25</f>
        <v>1132.5949669706827</v>
      </c>
      <c r="C30" s="292">
        <f>1-CM!R25</f>
        <v>3.285814345567184E-4</v>
      </c>
      <c r="D30" s="297">
        <f t="shared" si="0"/>
        <v>1515.6370092862553</v>
      </c>
      <c r="E30" s="297">
        <f t="shared" si="1"/>
        <v>749.55292465511002</v>
      </c>
      <c r="F30" s="297">
        <f t="shared" si="2"/>
        <v>1188.6567029072507</v>
      </c>
      <c r="G30" s="297">
        <f t="shared" si="3"/>
        <v>56.061735936568084</v>
      </c>
    </row>
    <row r="31" spans="1:7">
      <c r="A31" s="92" t="s">
        <v>113</v>
      </c>
      <c r="B31" s="145">
        <f>CM!AG26</f>
        <v>9226.0178914686057</v>
      </c>
      <c r="C31" s="292">
        <f>1-CM!R26</f>
        <v>2.748513143974729E-3</v>
      </c>
      <c r="D31" s="297">
        <f t="shared" si="0"/>
        <v>9609.0599337841777</v>
      </c>
      <c r="E31" s="297">
        <f t="shared" si="1"/>
        <v>8842.9758491530338</v>
      </c>
      <c r="F31" s="297">
        <f t="shared" si="2"/>
        <v>9890.23668952755</v>
      </c>
      <c r="G31" s="297">
        <f t="shared" si="3"/>
        <v>664.21879805894423</v>
      </c>
    </row>
    <row r="32" spans="1:7">
      <c r="A32" s="92" t="s">
        <v>115</v>
      </c>
      <c r="B32" s="145">
        <f>CM!AG27</f>
        <v>299.84000781179935</v>
      </c>
      <c r="C32" s="292">
        <f>1-CM!R27</f>
        <v>7.6552147344033372E-5</v>
      </c>
      <c r="D32" s="297">
        <f t="shared" si="0"/>
        <v>682.88205012737194</v>
      </c>
      <c r="E32" s="297">
        <f t="shared" si="1"/>
        <v>-83.202034503773291</v>
      </c>
      <c r="F32" s="297">
        <f t="shared" si="2"/>
        <v>282.41088071439867</v>
      </c>
      <c r="G32" s="297">
        <f t="shared" si="3"/>
        <v>-17.429127097400681</v>
      </c>
    </row>
    <row r="33" spans="1:7">
      <c r="A33" s="92" t="s">
        <v>42</v>
      </c>
      <c r="B33" s="145">
        <f>CM!AG28</f>
        <v>916.11863359704535</v>
      </c>
      <c r="C33" s="292">
        <f>1-CM!R28</f>
        <v>2.3898424950996588E-4</v>
      </c>
      <c r="D33" s="297">
        <f t="shared" si="0"/>
        <v>1299.160675912618</v>
      </c>
      <c r="E33" s="297">
        <f t="shared" si="1"/>
        <v>533.0765912814727</v>
      </c>
      <c r="F33" s="297">
        <f t="shared" si="2"/>
        <v>866.48353197597748</v>
      </c>
      <c r="G33" s="297">
        <f t="shared" si="3"/>
        <v>-49.635101621067861</v>
      </c>
    </row>
    <row r="34" spans="1:7">
      <c r="A34" s="92" t="s">
        <v>43</v>
      </c>
      <c r="B34" s="145">
        <f>CM!AG29</f>
        <v>1085.084660762833</v>
      </c>
      <c r="C34" s="292">
        <f>1-CM!R29</f>
        <v>3.0613828274739241E-4</v>
      </c>
      <c r="D34" s="297">
        <f t="shared" si="0"/>
        <v>1468.1267030784056</v>
      </c>
      <c r="E34" s="297">
        <f t="shared" si="1"/>
        <v>702.04261844726034</v>
      </c>
      <c r="F34" s="297">
        <f t="shared" si="2"/>
        <v>1107.9557145856922</v>
      </c>
      <c r="G34" s="297">
        <f t="shared" si="3"/>
        <v>22.871053822859267</v>
      </c>
    </row>
    <row r="35" spans="1:7">
      <c r="A35" s="92" t="s">
        <v>49</v>
      </c>
      <c r="B35" s="145">
        <f>CM!AG30</f>
        <v>2574.4046629498175</v>
      </c>
      <c r="C35" s="292">
        <f>1-CM!R30</f>
        <v>7.1023973851358502E-4</v>
      </c>
      <c r="D35" s="297">
        <f t="shared" si="0"/>
        <v>2957.4467052653899</v>
      </c>
      <c r="E35" s="297">
        <f t="shared" si="1"/>
        <v>2191.3626206342451</v>
      </c>
      <c r="F35" s="297">
        <f t="shared" si="2"/>
        <v>2561.0219835114785</v>
      </c>
      <c r="G35" s="297">
        <f t="shared" si="3"/>
        <v>-13.382679438338982</v>
      </c>
    </row>
    <row r="36" spans="1:7">
      <c r="A36" s="92" t="s">
        <v>44</v>
      </c>
      <c r="B36" s="145">
        <f>CM!AG31</f>
        <v>1405.8307171216611</v>
      </c>
      <c r="C36" s="292">
        <f>1-CM!R31</f>
        <v>4.1069305666741052E-4</v>
      </c>
      <c r="D36" s="297">
        <f t="shared" si="0"/>
        <v>1788.8727594372338</v>
      </c>
      <c r="E36" s="297">
        <f t="shared" si="1"/>
        <v>1022.7886748060885</v>
      </c>
      <c r="F36" s="297">
        <f t="shared" si="2"/>
        <v>1483.9133189706699</v>
      </c>
      <c r="G36" s="297">
        <f t="shared" si="3"/>
        <v>78.082601849008825</v>
      </c>
    </row>
    <row r="37" spans="1:7">
      <c r="A37" s="92" t="s">
        <v>45</v>
      </c>
      <c r="B37" s="145">
        <f>CM!AG32</f>
        <v>4741.8149487279961</v>
      </c>
      <c r="C37" s="292">
        <f>1-CM!R32</f>
        <v>1.4161901804610189E-3</v>
      </c>
      <c r="D37" s="297">
        <f t="shared" si="0"/>
        <v>5124.856991043569</v>
      </c>
      <c r="E37" s="297">
        <f t="shared" si="1"/>
        <v>4358.7729064124233</v>
      </c>
      <c r="F37" s="297">
        <f t="shared" si="2"/>
        <v>5099.475532960153</v>
      </c>
      <c r="G37" s="297">
        <f t="shared" si="3"/>
        <v>357.66058423215691</v>
      </c>
    </row>
    <row r="38" spans="1:7">
      <c r="A38" s="92" t="s">
        <v>48</v>
      </c>
      <c r="B38" s="145">
        <f>CM!AG33</f>
        <v>969.4306783064402</v>
      </c>
      <c r="C38" s="292">
        <f>1-CM!R33</f>
        <v>2.7671923742922377E-4</v>
      </c>
      <c r="D38" s="297">
        <f t="shared" si="0"/>
        <v>1352.4727206220127</v>
      </c>
      <c r="E38" s="297">
        <f t="shared" si="1"/>
        <v>586.38863599086756</v>
      </c>
      <c r="F38" s="297">
        <f>3595795.68*C38+7.145</f>
        <v>1002.1708385208972</v>
      </c>
      <c r="G38" s="297">
        <f t="shared" si="3"/>
        <v>32.740160214456978</v>
      </c>
    </row>
    <row r="39" spans="1:7">
      <c r="B39" s="240">
        <f>SUM(B8:B38)</f>
        <v>67630.150630824239</v>
      </c>
      <c r="D39" s="240">
        <f t="shared" ref="D39:G39" si="4">SUM(D8:D38)</f>
        <v>79504.453942606997</v>
      </c>
      <c r="E39" s="240">
        <f t="shared" si="4"/>
        <v>55755.847319041488</v>
      </c>
      <c r="F39" s="240">
        <f t="shared" si="4"/>
        <v>67630.150494130474</v>
      </c>
      <c r="G39" s="240">
        <f t="shared" si="4"/>
        <v>-1.3669375988456522E-4</v>
      </c>
    </row>
    <row r="45" spans="1:7">
      <c r="B45" t="s">
        <v>538</v>
      </c>
    </row>
    <row r="46" spans="1:7" ht="15" thickBot="1"/>
    <row r="47" spans="1:7">
      <c r="B47" s="295" t="s">
        <v>539</v>
      </c>
      <c r="C47" s="295"/>
    </row>
    <row r="48" spans="1:7">
      <c r="B48" t="s">
        <v>540</v>
      </c>
      <c r="C48">
        <v>0.98755759334607296</v>
      </c>
    </row>
    <row r="49" spans="2:10">
      <c r="B49" t="s">
        <v>541</v>
      </c>
      <c r="C49">
        <v>0.97527000017548771</v>
      </c>
    </row>
    <row r="50" spans="2:10">
      <c r="B50" t="s">
        <v>542</v>
      </c>
      <c r="C50">
        <v>0.9744172415608493</v>
      </c>
    </row>
    <row r="51" spans="2:10">
      <c r="B51" t="s">
        <v>543</v>
      </c>
      <c r="C51" s="342">
        <v>403.20214980586599</v>
      </c>
    </row>
    <row r="52" spans="2:10" ht="15" thickBot="1">
      <c r="B52" s="293" t="s">
        <v>544</v>
      </c>
      <c r="C52" s="293">
        <v>31</v>
      </c>
    </row>
    <row r="54" spans="2:10" ht="15" thickBot="1">
      <c r="B54" t="s">
        <v>545</v>
      </c>
    </row>
    <row r="55" spans="2:10">
      <c r="B55" s="294"/>
      <c r="C55" s="294" t="s">
        <v>549</v>
      </c>
      <c r="D55" s="294" t="s">
        <v>550</v>
      </c>
      <c r="E55" s="294" t="s">
        <v>551</v>
      </c>
      <c r="F55" s="294" t="s">
        <v>146</v>
      </c>
      <c r="G55" s="294" t="s">
        <v>552</v>
      </c>
    </row>
    <row r="56" spans="2:10">
      <c r="B56" t="s">
        <v>546</v>
      </c>
      <c r="C56">
        <v>1</v>
      </c>
      <c r="D56">
        <v>185927841.72167426</v>
      </c>
      <c r="E56">
        <v>185927841.72167426</v>
      </c>
      <c r="F56">
        <v>1143.6647879413001</v>
      </c>
      <c r="G56">
        <v>7.4787760164899228E-25</v>
      </c>
    </row>
    <row r="57" spans="2:10">
      <c r="B57" t="s">
        <v>547</v>
      </c>
      <c r="C57">
        <v>29</v>
      </c>
      <c r="D57">
        <v>4714587.2346340874</v>
      </c>
      <c r="E57">
        <v>162571.97360807197</v>
      </c>
    </row>
    <row r="58" spans="2:10" ht="15" thickBot="1">
      <c r="B58" s="293" t="s">
        <v>369</v>
      </c>
      <c r="C58" s="293">
        <v>30</v>
      </c>
      <c r="D58" s="293">
        <v>190642428.95630836</v>
      </c>
      <c r="E58" s="293"/>
      <c r="F58" s="293"/>
      <c r="G58" s="293"/>
    </row>
    <row r="59" spans="2:10" ht="15" thickBot="1"/>
    <row r="60" spans="2:10">
      <c r="B60" s="294"/>
      <c r="C60" s="294" t="s">
        <v>553</v>
      </c>
      <c r="D60" s="294" t="s">
        <v>543</v>
      </c>
      <c r="E60" s="294" t="s">
        <v>554</v>
      </c>
      <c r="F60" s="294" t="s">
        <v>555</v>
      </c>
      <c r="G60" s="294" t="s">
        <v>556</v>
      </c>
      <c r="H60" s="294" t="s">
        <v>557</v>
      </c>
      <c r="I60" s="294" t="s">
        <v>558</v>
      </c>
      <c r="J60" s="294" t="s">
        <v>559</v>
      </c>
    </row>
    <row r="61" spans="2:10">
      <c r="B61" t="s">
        <v>548</v>
      </c>
      <c r="C61" s="342">
        <v>7.1450016575058726</v>
      </c>
      <c r="D61">
        <v>96.843305457160497</v>
      </c>
      <c r="E61">
        <v>7.3778994054127245E-2</v>
      </c>
      <c r="F61">
        <v>0.94169279797982774</v>
      </c>
      <c r="G61">
        <v>-190.9217973055907</v>
      </c>
      <c r="H61">
        <v>205.21180062060245</v>
      </c>
      <c r="I61">
        <v>-190.9217973055907</v>
      </c>
      <c r="J61">
        <v>205.21180062060245</v>
      </c>
    </row>
    <row r="62" spans="2:10" ht="15" thickBot="1">
      <c r="B62" s="293" t="s">
        <v>560</v>
      </c>
      <c r="C62" s="343">
        <v>3595795.6845507692</v>
      </c>
      <c r="D62" s="293">
        <v>106327.50713922353</v>
      </c>
      <c r="E62" s="293">
        <v>33.818113311379456</v>
      </c>
      <c r="F62" s="293">
        <v>7.4787760164898705E-25</v>
      </c>
      <c r="G62" s="293">
        <v>3378331.5151755526</v>
      </c>
      <c r="H62" s="293">
        <v>3813259.8539259857</v>
      </c>
      <c r="I62" s="293">
        <v>3378331.5151755526</v>
      </c>
      <c r="J62" s="293">
        <v>3813259.8539259857</v>
      </c>
    </row>
    <row r="69" spans="1:11" ht="15" thickBot="1"/>
    <row r="70" spans="1:11" ht="18.600000000000001" thickBot="1">
      <c r="A70" s="303" t="s">
        <v>574</v>
      </c>
      <c r="B70" s="290">
        <v>1740</v>
      </c>
      <c r="C70" s="290" t="s">
        <v>575</v>
      </c>
      <c r="D70" s="528" t="s">
        <v>243</v>
      </c>
      <c r="E70" s="529"/>
      <c r="F70" s="530"/>
      <c r="G70" s="528" t="s">
        <v>573</v>
      </c>
      <c r="H70" s="529"/>
      <c r="I70" s="530"/>
      <c r="J70" s="314"/>
      <c r="K70" s="314"/>
    </row>
    <row r="71" spans="1:11" ht="71.400000000000006" customHeight="1">
      <c r="A71" s="76" t="s">
        <v>55</v>
      </c>
      <c r="B71" s="142" t="s">
        <v>576</v>
      </c>
      <c r="C71" s="142" t="s">
        <v>577</v>
      </c>
      <c r="D71" s="307" t="s">
        <v>570</v>
      </c>
      <c r="E71" s="308" t="s">
        <v>572</v>
      </c>
      <c r="F71" s="309" t="s">
        <v>571</v>
      </c>
      <c r="G71" s="307" t="s">
        <v>570</v>
      </c>
      <c r="H71" s="308" t="s">
        <v>572</v>
      </c>
      <c r="I71" s="309" t="s">
        <v>571</v>
      </c>
      <c r="K71" s="315"/>
    </row>
    <row r="72" spans="1:11">
      <c r="A72" s="92" t="s">
        <v>28</v>
      </c>
      <c r="B72" s="312">
        <f>1-CM!K3</f>
        <v>3.235198964736119E-4</v>
      </c>
      <c r="C72" s="313">
        <f>1-CM!R3</f>
        <v>3.0477399340544942E-4</v>
      </c>
      <c r="D72" s="304">
        <f t="shared" ref="D72:D102" si="5">B72*$B$70</f>
        <v>0.56292461986408471</v>
      </c>
      <c r="E72" s="302">
        <f t="shared" ref="E72:E102" si="6">(1-B72)*$B$70</f>
        <v>1739.4370753801359</v>
      </c>
      <c r="F72" s="317">
        <f>B72*CM!D3</f>
        <v>1.5994823681655372</v>
      </c>
      <c r="G72" s="304">
        <f t="shared" ref="G72:G102" si="7">C72*$B$70</f>
        <v>0.53030674852548199</v>
      </c>
      <c r="H72" s="302">
        <f t="shared" ref="H72:H102" si="8">(1-C72)*$B$70</f>
        <v>1739.4696932514746</v>
      </c>
      <c r="I72" s="317">
        <f>C72*CM!D3</f>
        <v>1.5068026233965419</v>
      </c>
      <c r="K72" s="316"/>
    </row>
    <row r="73" spans="1:11">
      <c r="A73" s="92" t="s">
        <v>20</v>
      </c>
      <c r="B73" s="312">
        <f>1-CM!K4</f>
        <v>3.235198964736119E-4</v>
      </c>
      <c r="C73" s="313">
        <f>1-CM!R4</f>
        <v>2.3631058068007693E-4</v>
      </c>
      <c r="D73" s="304">
        <f t="shared" si="5"/>
        <v>0.56292461986408471</v>
      </c>
      <c r="E73" s="302">
        <f t="shared" si="6"/>
        <v>1739.4370753801359</v>
      </c>
      <c r="F73" s="317">
        <f>B73*CM!D4</f>
        <v>1.5994823681655372</v>
      </c>
      <c r="G73" s="304">
        <f t="shared" si="7"/>
        <v>0.41118041038333386</v>
      </c>
      <c r="H73" s="302">
        <f t="shared" si="8"/>
        <v>1739.5888195896166</v>
      </c>
      <c r="I73" s="317">
        <f>C73*CM!D4</f>
        <v>1.1683195108823003</v>
      </c>
      <c r="K73" s="316"/>
    </row>
    <row r="74" spans="1:11">
      <c r="A74" s="92" t="s">
        <v>64</v>
      </c>
      <c r="B74" s="312">
        <f>1-CM!K5</f>
        <v>3.4662045060662727E-4</v>
      </c>
      <c r="C74" s="313">
        <f>1-CM!R5</f>
        <v>3.1862424318185312E-4</v>
      </c>
      <c r="D74" s="304">
        <f t="shared" si="5"/>
        <v>0.60311958405553145</v>
      </c>
      <c r="E74" s="302">
        <f t="shared" si="6"/>
        <v>1739.3968804159445</v>
      </c>
      <c r="F74" s="317">
        <f>B74*CM!D5</f>
        <v>1.7136915077991652</v>
      </c>
      <c r="G74" s="304">
        <f t="shared" si="7"/>
        <v>0.55440618313642442</v>
      </c>
      <c r="H74" s="302">
        <f t="shared" si="8"/>
        <v>1739.4455938168635</v>
      </c>
      <c r="I74" s="317">
        <f>C74*CM!D5</f>
        <v>1.5752782582910818</v>
      </c>
      <c r="K74" s="316"/>
    </row>
    <row r="75" spans="1:11">
      <c r="A75" s="92" t="s">
        <v>51</v>
      </c>
      <c r="B75" s="312">
        <f>1-CM!K6</f>
        <v>8.0840743734844622E-4</v>
      </c>
      <c r="C75" s="313">
        <f>1-CM!R6</f>
        <v>8.0722582549397348E-4</v>
      </c>
      <c r="D75" s="304">
        <f t="shared" si="5"/>
        <v>1.4066289409862964</v>
      </c>
      <c r="E75" s="302">
        <f t="shared" si="6"/>
        <v>1738.5933710590136</v>
      </c>
      <c r="F75" s="317">
        <f>B75*CM!D6</f>
        <v>3.9967663702507181</v>
      </c>
      <c r="G75" s="304">
        <f t="shared" si="7"/>
        <v>1.4045729363595139</v>
      </c>
      <c r="H75" s="302">
        <f t="shared" si="8"/>
        <v>1738.5954270636405</v>
      </c>
      <c r="I75" s="317">
        <f>C75*CM!D6</f>
        <v>3.9909244812422049</v>
      </c>
      <c r="K75" s="316"/>
    </row>
    <row r="76" spans="1:11">
      <c r="A76" s="92" t="s">
        <v>70</v>
      </c>
      <c r="B76" s="312">
        <f>1-CM!K7</f>
        <v>4.0436716538616579E-4</v>
      </c>
      <c r="C76" s="313">
        <f>1-CM!R7</f>
        <v>2.7672322329064247E-4</v>
      </c>
      <c r="D76" s="304">
        <f t="shared" si="5"/>
        <v>0.70359886777192848</v>
      </c>
      <c r="E76" s="302">
        <f t="shared" si="6"/>
        <v>1739.2964011322281</v>
      </c>
      <c r="F76" s="317">
        <f>B76*CM!D7</f>
        <v>1.9991912656692037</v>
      </c>
      <c r="G76" s="304">
        <f t="shared" si="7"/>
        <v>0.4814984085257179</v>
      </c>
      <c r="H76" s="302">
        <f t="shared" si="8"/>
        <v>1739.5185015914742</v>
      </c>
      <c r="I76" s="317">
        <f>C76*CM!D7</f>
        <v>1.3681196159489364</v>
      </c>
      <c r="K76" s="316"/>
    </row>
    <row r="77" spans="1:11">
      <c r="A77" s="92" t="s">
        <v>73</v>
      </c>
      <c r="B77" s="312">
        <f>1-CM!K8</f>
        <v>3.225806451612856E-3</v>
      </c>
      <c r="C77" s="313">
        <f>1-CM!R8</f>
        <v>6.8931331611410407E-4</v>
      </c>
      <c r="D77" s="304">
        <f t="shared" si="5"/>
        <v>5.6129032258063694</v>
      </c>
      <c r="E77" s="302">
        <f t="shared" si="6"/>
        <v>1734.3870967741937</v>
      </c>
      <c r="F77" s="317">
        <f>B77*CM!D8</f>
        <v>15.94838709677396</v>
      </c>
      <c r="G77" s="304">
        <f t="shared" si="7"/>
        <v>1.1994051700385411</v>
      </c>
      <c r="H77" s="302">
        <f t="shared" si="8"/>
        <v>1738.8005948299615</v>
      </c>
      <c r="I77" s="317">
        <f>C77*CM!D8</f>
        <v>3.4079650348681305</v>
      </c>
      <c r="K77" s="316"/>
    </row>
    <row r="78" spans="1:11">
      <c r="A78" s="92" t="s">
        <v>25</v>
      </c>
      <c r="B78" s="312">
        <f>1-CM!K9</f>
        <v>3.235198964736119E-4</v>
      </c>
      <c r="C78" s="313">
        <f>1-CM!R9</f>
        <v>3.2048717962940287E-4</v>
      </c>
      <c r="D78" s="304">
        <f t="shared" si="5"/>
        <v>0.56292461986408471</v>
      </c>
      <c r="E78" s="302">
        <f t="shared" si="6"/>
        <v>1739.4370753801359</v>
      </c>
      <c r="F78" s="317">
        <f>B78*CM!D9</f>
        <v>1.5994823681655372</v>
      </c>
      <c r="G78" s="304">
        <f t="shared" si="7"/>
        <v>0.557647692555161</v>
      </c>
      <c r="H78" s="302">
        <f t="shared" si="8"/>
        <v>1739.4423523074449</v>
      </c>
      <c r="I78" s="317">
        <f>C78*CM!D9</f>
        <v>1.5844886160877678</v>
      </c>
      <c r="K78" s="316"/>
    </row>
    <row r="79" spans="1:11">
      <c r="A79" s="92" t="s">
        <v>31</v>
      </c>
      <c r="B79" s="312">
        <f>1-CM!K10</f>
        <v>1.6178611875106164E-4</v>
      </c>
      <c r="C79" s="313">
        <f>1-CM!R10</f>
        <v>1.5731933611640159E-4</v>
      </c>
      <c r="D79" s="304">
        <f t="shared" si="5"/>
        <v>0.28150784662684725</v>
      </c>
      <c r="E79" s="302">
        <f t="shared" si="6"/>
        <v>1739.7184921533731</v>
      </c>
      <c r="F79" s="317">
        <f>B79*CM!D10</f>
        <v>0.79987057110524873</v>
      </c>
      <c r="G79" s="304">
        <f t="shared" si="7"/>
        <v>0.27373564484253876</v>
      </c>
      <c r="H79" s="302">
        <f t="shared" si="8"/>
        <v>1739.7262643551574</v>
      </c>
      <c r="I79" s="317">
        <f>C79*CM!D10</f>
        <v>0.77778679775948945</v>
      </c>
      <c r="K79" s="316"/>
    </row>
    <row r="80" spans="1:11">
      <c r="A80" s="92" t="s">
        <v>32</v>
      </c>
      <c r="B80" s="312">
        <f>1-CM!K11</f>
        <v>1.615508885298822E-3</v>
      </c>
      <c r="C80" s="313">
        <f>1-CM!R11</f>
        <v>1.6003842875603747E-3</v>
      </c>
      <c r="D80" s="304">
        <f t="shared" si="5"/>
        <v>2.8109854604199502</v>
      </c>
      <c r="E80" s="302">
        <f t="shared" si="6"/>
        <v>1737.1890145395801</v>
      </c>
      <c r="F80" s="317">
        <f>B80*CM!D11</f>
        <v>7.9870759289173758</v>
      </c>
      <c r="G80" s="304">
        <f t="shared" si="7"/>
        <v>2.7846686603550519</v>
      </c>
      <c r="H80" s="302">
        <f t="shared" si="8"/>
        <v>1737.215331339645</v>
      </c>
      <c r="I80" s="317">
        <f>C80*CM!D11</f>
        <v>7.9122999176984923</v>
      </c>
      <c r="K80" s="316"/>
    </row>
    <row r="81" spans="1:11">
      <c r="A81" s="92" t="s">
        <v>26</v>
      </c>
      <c r="B81" s="312">
        <f>1-CM!K12</f>
        <v>1.9379844961240345E-3</v>
      </c>
      <c r="C81" s="313">
        <f>1-CM!R12</f>
        <v>1.5558044999818277E-3</v>
      </c>
      <c r="D81" s="304">
        <f t="shared" si="5"/>
        <v>3.3720930232558199</v>
      </c>
      <c r="E81" s="302">
        <f t="shared" si="6"/>
        <v>1736.6279069767443</v>
      </c>
      <c r="F81" s="317">
        <f>B81*CM!D12</f>
        <v>9.5813953488372263</v>
      </c>
      <c r="G81" s="304">
        <f t="shared" si="7"/>
        <v>2.7070998299683802</v>
      </c>
      <c r="H81" s="302">
        <f t="shared" si="8"/>
        <v>1737.2929001700315</v>
      </c>
      <c r="I81" s="317">
        <f>C81*CM!D12</f>
        <v>7.6918974479101561</v>
      </c>
      <c r="K81" s="316"/>
    </row>
    <row r="82" spans="1:11">
      <c r="A82" s="92" t="s">
        <v>27</v>
      </c>
      <c r="B82" s="312">
        <f>1-CM!K13</f>
        <v>2.421307506053294E-3</v>
      </c>
      <c r="C82" s="313">
        <f>1-CM!R13</f>
        <v>2.2812776265089818E-3</v>
      </c>
      <c r="D82" s="304">
        <f t="shared" si="5"/>
        <v>4.2130750605327316</v>
      </c>
      <c r="E82" s="302">
        <f t="shared" si="6"/>
        <v>1735.7869249394673</v>
      </c>
      <c r="F82" s="317">
        <f>B82*CM!D13</f>
        <v>11.970944309927486</v>
      </c>
      <c r="G82" s="304">
        <f t="shared" si="7"/>
        <v>3.9694230701256283</v>
      </c>
      <c r="H82" s="302">
        <f t="shared" si="8"/>
        <v>1736.0305769298743</v>
      </c>
      <c r="I82" s="317">
        <f>C82*CM!D13</f>
        <v>11.278636585460406</v>
      </c>
      <c r="K82" s="316"/>
    </row>
    <row r="83" spans="1:11">
      <c r="A83" s="92" t="s">
        <v>88</v>
      </c>
      <c r="B83" s="312">
        <f>1-CM!K14</f>
        <v>9.6993210475271319E-4</v>
      </c>
      <c r="C83" s="313">
        <f>1-CM!R14</f>
        <v>9.6569206918839523E-4</v>
      </c>
      <c r="D83" s="304">
        <f t="shared" si="5"/>
        <v>1.6876818622697209</v>
      </c>
      <c r="E83" s="302">
        <f t="shared" si="6"/>
        <v>1738.3123181377302</v>
      </c>
      <c r="F83" s="317">
        <f>B83*CM!D14</f>
        <v>4.795344325897414</v>
      </c>
      <c r="G83" s="304">
        <f t="shared" si="7"/>
        <v>1.6803042003878077</v>
      </c>
      <c r="H83" s="302">
        <f t="shared" si="8"/>
        <v>1738.3196957996122</v>
      </c>
      <c r="I83" s="317">
        <f>C83*CM!D14</f>
        <v>4.774381590067426</v>
      </c>
      <c r="K83" s="316"/>
    </row>
    <row r="84" spans="1:11">
      <c r="A84" s="92" t="s">
        <v>46</v>
      </c>
      <c r="B84" s="312">
        <f>1-CM!K15</f>
        <v>1.615508885298822E-3</v>
      </c>
      <c r="C84" s="313">
        <f>1-CM!R15</f>
        <v>1.4851748937493303E-3</v>
      </c>
      <c r="D84" s="304">
        <f t="shared" si="5"/>
        <v>2.8109854604199502</v>
      </c>
      <c r="E84" s="302">
        <f t="shared" si="6"/>
        <v>1737.1890145395801</v>
      </c>
      <c r="F84" s="317">
        <f>B84*CM!D15</f>
        <v>7.9870759289173758</v>
      </c>
      <c r="G84" s="304">
        <f t="shared" si="7"/>
        <v>2.5842043151238347</v>
      </c>
      <c r="H84" s="302">
        <f t="shared" si="8"/>
        <v>1737.4157956848762</v>
      </c>
      <c r="I84" s="317">
        <f>C84*CM!D15</f>
        <v>7.3427046746966891</v>
      </c>
      <c r="K84" s="316"/>
    </row>
    <row r="85" spans="1:11">
      <c r="A85" s="92" t="s">
        <v>47</v>
      </c>
      <c r="B85" s="312">
        <f>1-CM!K16</f>
        <v>2.6961445133455442E-4</v>
      </c>
      <c r="C85" s="313">
        <f>1-CM!R16</f>
        <v>2.4630569638828259E-4</v>
      </c>
      <c r="D85" s="304">
        <f t="shared" si="5"/>
        <v>0.46912914532212469</v>
      </c>
      <c r="E85" s="302">
        <f t="shared" si="6"/>
        <v>1739.5308708546779</v>
      </c>
      <c r="F85" s="317">
        <f>B85*CM!D16</f>
        <v>1.332973847398037</v>
      </c>
      <c r="G85" s="304">
        <f t="shared" si="7"/>
        <v>0.42857191171561171</v>
      </c>
      <c r="H85" s="302">
        <f t="shared" si="8"/>
        <v>1739.5714280882844</v>
      </c>
      <c r="I85" s="317">
        <f>C85*CM!D16</f>
        <v>1.2177353629436691</v>
      </c>
      <c r="K85" s="316"/>
    </row>
    <row r="86" spans="1:11">
      <c r="A86" s="92" t="s">
        <v>33</v>
      </c>
      <c r="B86" s="312">
        <f>1-CM!K17</f>
        <v>8.0899603591921831E-5</v>
      </c>
      <c r="C86" s="313">
        <f>1-CM!R17</f>
        <v>7.8665855888337965E-5</v>
      </c>
      <c r="D86" s="304">
        <f t="shared" si="5"/>
        <v>0.14076531024994399</v>
      </c>
      <c r="E86" s="302">
        <f t="shared" si="6"/>
        <v>1739.8592346897501</v>
      </c>
      <c r="F86" s="317">
        <f>B86*CM!D17</f>
        <v>0.39996764015846153</v>
      </c>
      <c r="G86" s="304">
        <f t="shared" si="7"/>
        <v>0.13687858924570806</v>
      </c>
      <c r="H86" s="302">
        <f t="shared" si="8"/>
        <v>1739.8631214107543</v>
      </c>
      <c r="I86" s="317">
        <f>C86*CM!D17</f>
        <v>0.3889239915119429</v>
      </c>
      <c r="K86" s="316"/>
    </row>
    <row r="87" spans="1:11">
      <c r="A87" s="92" t="s">
        <v>34</v>
      </c>
      <c r="B87" s="312">
        <f>1-CM!K18</f>
        <v>6.0675929858589051E-5</v>
      </c>
      <c r="C87" s="313">
        <f>1-CM!R18</f>
        <v>5.9000552248500426E-5</v>
      </c>
      <c r="D87" s="304">
        <f t="shared" si="5"/>
        <v>0.10557611795394495</v>
      </c>
      <c r="E87" s="302">
        <f t="shared" si="6"/>
        <v>1739.8944238820461</v>
      </c>
      <c r="F87" s="317">
        <f>B87*CM!D18</f>
        <v>0.29998179722086427</v>
      </c>
      <c r="G87" s="304">
        <f t="shared" si="7"/>
        <v>0.10266096091239074</v>
      </c>
      <c r="H87" s="302">
        <f t="shared" si="8"/>
        <v>1739.8973390390877</v>
      </c>
      <c r="I87" s="317">
        <f>C87*CM!D18</f>
        <v>0.29169873031658611</v>
      </c>
      <c r="K87" s="316"/>
    </row>
    <row r="88" spans="1:11">
      <c r="A88" s="92" t="s">
        <v>53</v>
      </c>
      <c r="B88" s="312">
        <f>1-CM!K19</f>
        <v>8.0899603591921831E-5</v>
      </c>
      <c r="C88" s="313">
        <f>1-CM!R19</f>
        <v>7.8665855888337965E-5</v>
      </c>
      <c r="D88" s="304">
        <f t="shared" si="5"/>
        <v>0.14076531024994399</v>
      </c>
      <c r="E88" s="302">
        <f t="shared" si="6"/>
        <v>1739.8592346897501</v>
      </c>
      <c r="F88" s="317">
        <f>B88*CM!D19</f>
        <v>0.39996764015846153</v>
      </c>
      <c r="G88" s="304">
        <f t="shared" si="7"/>
        <v>0.13687858924570806</v>
      </c>
      <c r="H88" s="302">
        <f t="shared" si="8"/>
        <v>1739.8631214107543</v>
      </c>
      <c r="I88" s="317">
        <f>C88*CM!D19</f>
        <v>0.3889239915119429</v>
      </c>
      <c r="K88" s="316"/>
    </row>
    <row r="89" spans="1:11">
      <c r="A89" s="92" t="s">
        <v>35</v>
      </c>
      <c r="B89" s="312">
        <f>1-CM!K20</f>
        <v>1.011224592981641E-4</v>
      </c>
      <c r="C89" s="313">
        <f>1-CM!R20</f>
        <v>9.8330386049338969E-5</v>
      </c>
      <c r="D89" s="304">
        <f t="shared" si="5"/>
        <v>0.17595307917880554</v>
      </c>
      <c r="E89" s="302">
        <f t="shared" si="6"/>
        <v>1739.8240469208213</v>
      </c>
      <c r="F89" s="317">
        <f>B89*CM!D20</f>
        <v>0.49994943877012332</v>
      </c>
      <c r="G89" s="304">
        <f t="shared" si="7"/>
        <v>0.17109487172584981</v>
      </c>
      <c r="H89" s="302">
        <f t="shared" si="8"/>
        <v>1739.8289051282741</v>
      </c>
      <c r="I89" s="317">
        <f>C89*CM!D20</f>
        <v>0.48614542862793186</v>
      </c>
      <c r="K89" s="316"/>
    </row>
    <row r="90" spans="1:11">
      <c r="A90" s="92" t="s">
        <v>36</v>
      </c>
      <c r="B90" s="312">
        <f>1-CM!K21</f>
        <v>1.6178611875106164E-4</v>
      </c>
      <c r="C90" s="313">
        <f>1-CM!R21</f>
        <v>1.5309257512274854E-4</v>
      </c>
      <c r="D90" s="304">
        <f t="shared" si="5"/>
        <v>0.28150784662684725</v>
      </c>
      <c r="E90" s="302">
        <f t="shared" si="6"/>
        <v>1739.7184921533731</v>
      </c>
      <c r="F90" s="317">
        <f>B90*CM!D21</f>
        <v>0.79987057110524873</v>
      </c>
      <c r="G90" s="304">
        <f t="shared" si="7"/>
        <v>0.26638108071358246</v>
      </c>
      <c r="H90" s="302">
        <f t="shared" si="8"/>
        <v>1739.7336189192865</v>
      </c>
      <c r="I90" s="317">
        <f>C90*CM!D21</f>
        <v>0.75688969140686879</v>
      </c>
      <c r="K90" s="345"/>
    </row>
    <row r="91" spans="1:11">
      <c r="A91" s="92" t="s">
        <v>101</v>
      </c>
      <c r="B91" s="312">
        <f>1-CM!K22</f>
        <v>1.2134449702705385E-4</v>
      </c>
      <c r="C91" s="313">
        <f>1-CM!R22</f>
        <v>1.1482382601080143E-4</v>
      </c>
      <c r="D91" s="304">
        <f t="shared" si="5"/>
        <v>0.21113942482707371</v>
      </c>
      <c r="E91" s="302">
        <f t="shared" si="6"/>
        <v>1739.788860575173</v>
      </c>
      <c r="F91" s="317">
        <f>B91*CM!D22</f>
        <v>0.59992719330175426</v>
      </c>
      <c r="G91" s="304">
        <f t="shared" si="7"/>
        <v>0.19979345725879449</v>
      </c>
      <c r="H91" s="302">
        <f t="shared" si="8"/>
        <v>1739.8002065427413</v>
      </c>
      <c r="I91" s="317">
        <f>C91*CM!D22</f>
        <v>0.56768899579740228</v>
      </c>
      <c r="K91" s="316"/>
    </row>
    <row r="92" spans="1:11">
      <c r="A92" s="92" t="s">
        <v>37</v>
      </c>
      <c r="B92" s="312">
        <f>1-CM!K23</f>
        <v>8.0899603591921831E-5</v>
      </c>
      <c r="C92" s="313">
        <f>1-CM!R23</f>
        <v>7.7331233668931354E-5</v>
      </c>
      <c r="D92" s="304">
        <f t="shared" si="5"/>
        <v>0.14076531024994399</v>
      </c>
      <c r="E92" s="302">
        <f t="shared" si="6"/>
        <v>1739.8592346897501</v>
      </c>
      <c r="F92" s="317">
        <f>B92*CM!D23</f>
        <v>0.39996764015846153</v>
      </c>
      <c r="G92" s="304">
        <f t="shared" si="7"/>
        <v>0.13455634658394056</v>
      </c>
      <c r="H92" s="302">
        <f t="shared" si="8"/>
        <v>1739.8654436534162</v>
      </c>
      <c r="I92" s="317">
        <f>C92*CM!D23</f>
        <v>0.38232561925919661</v>
      </c>
      <c r="K92" s="316"/>
    </row>
    <row r="93" spans="1:11">
      <c r="A93" s="92" t="s">
        <v>106</v>
      </c>
      <c r="B93" s="312">
        <f>1-CM!K24</f>
        <v>4.0436716538616579E-4</v>
      </c>
      <c r="C93" s="313">
        <f>1-CM!R24</f>
        <v>3.285814345567184E-4</v>
      </c>
      <c r="D93" s="304">
        <f t="shared" si="5"/>
        <v>0.70359886777192848</v>
      </c>
      <c r="E93" s="302">
        <f t="shared" si="6"/>
        <v>1739.2964011322281</v>
      </c>
      <c r="F93" s="317">
        <f>B93*CM!D24</f>
        <v>1.9991912656692037</v>
      </c>
      <c r="G93" s="304">
        <f t="shared" si="7"/>
        <v>0.57173169612869001</v>
      </c>
      <c r="H93" s="302">
        <f t="shared" si="8"/>
        <v>1739.4282683038714</v>
      </c>
      <c r="I93" s="317">
        <f>C93*CM!D24</f>
        <v>1.6245066124484158</v>
      </c>
      <c r="K93" s="316"/>
    </row>
    <row r="94" spans="1:11">
      <c r="A94" s="92" t="s">
        <v>110</v>
      </c>
      <c r="B94" s="312">
        <f>1-CM!K25</f>
        <v>4.0436716538616579E-4</v>
      </c>
      <c r="C94" s="313">
        <f>1-CM!R25</f>
        <v>3.285814345567184E-4</v>
      </c>
      <c r="D94" s="304">
        <f t="shared" si="5"/>
        <v>0.70359886777192848</v>
      </c>
      <c r="E94" s="302">
        <f t="shared" si="6"/>
        <v>1739.2964011322281</v>
      </c>
      <c r="F94" s="317">
        <f>B94*CM!D25</f>
        <v>1.9991912656692037</v>
      </c>
      <c r="G94" s="304">
        <f t="shared" si="7"/>
        <v>0.57173169612869001</v>
      </c>
      <c r="H94" s="302">
        <f t="shared" si="8"/>
        <v>1739.4282683038714</v>
      </c>
      <c r="I94" s="317">
        <f>C94*CM!D25</f>
        <v>1.6245066124484158</v>
      </c>
      <c r="K94" s="316"/>
    </row>
    <row r="95" spans="1:11">
      <c r="A95" s="92" t="s">
        <v>113</v>
      </c>
      <c r="B95" s="312">
        <f>1-CM!K26</f>
        <v>2.9041626331074433E-3</v>
      </c>
      <c r="C95" s="313">
        <f>1-CM!R26</f>
        <v>2.748513143974729E-3</v>
      </c>
      <c r="D95" s="304">
        <f t="shared" si="5"/>
        <v>5.0532429816069513</v>
      </c>
      <c r="E95" s="302">
        <f t="shared" si="6"/>
        <v>1734.9467570183931</v>
      </c>
      <c r="F95" s="317">
        <f>B95*CM!D26</f>
        <v>14.3581800580832</v>
      </c>
      <c r="G95" s="304">
        <f t="shared" si="7"/>
        <v>4.782412870516028</v>
      </c>
      <c r="H95" s="302">
        <f t="shared" si="8"/>
        <v>1735.2175871294839</v>
      </c>
      <c r="I95" s="317">
        <f>C95*CM!D26</f>
        <v>13.58864898381106</v>
      </c>
      <c r="K95" s="316"/>
    </row>
    <row r="96" spans="1:11">
      <c r="A96" s="92" t="s">
        <v>115</v>
      </c>
      <c r="B96" s="312">
        <f>1-CM!K27</f>
        <v>8.0899603591921831E-5</v>
      </c>
      <c r="C96" s="313">
        <f>1-CM!R27</f>
        <v>7.6552147344033372E-5</v>
      </c>
      <c r="D96" s="304">
        <f t="shared" si="5"/>
        <v>0.14076531024994399</v>
      </c>
      <c r="E96" s="302">
        <f t="shared" si="6"/>
        <v>1739.8592346897501</v>
      </c>
      <c r="F96" s="317">
        <f>B96*CM!D27</f>
        <v>0.39996764015846153</v>
      </c>
      <c r="G96" s="304">
        <f t="shared" si="7"/>
        <v>0.13320073637861807</v>
      </c>
      <c r="H96" s="302">
        <f t="shared" si="8"/>
        <v>1739.8667992636215</v>
      </c>
      <c r="I96" s="317">
        <f>C96*CM!D27</f>
        <v>0.37847381646890099</v>
      </c>
      <c r="K96" s="316"/>
    </row>
    <row r="97" spans="1:15">
      <c r="A97" s="92" t="s">
        <v>42</v>
      </c>
      <c r="B97" s="312">
        <f>1-CM!K28</f>
        <v>2.4265954865321238E-4</v>
      </c>
      <c r="C97" s="313">
        <f>1-CM!R28</f>
        <v>2.3898424950996588E-4</v>
      </c>
      <c r="D97" s="304">
        <f t="shared" si="5"/>
        <v>0.42222761465658953</v>
      </c>
      <c r="E97" s="302">
        <f t="shared" si="6"/>
        <v>1739.5777723853435</v>
      </c>
      <c r="F97" s="317">
        <f>B97*CM!D28</f>
        <v>1.199708808541482</v>
      </c>
      <c r="G97" s="304">
        <f t="shared" si="7"/>
        <v>0.41583259414734064</v>
      </c>
      <c r="H97" s="302">
        <f t="shared" si="8"/>
        <v>1739.5841674058527</v>
      </c>
      <c r="I97" s="317">
        <f>C97*CM!D28</f>
        <v>1.1815381295772713</v>
      </c>
      <c r="K97" s="316"/>
    </row>
    <row r="98" spans="1:15">
      <c r="A98" s="92" t="s">
        <v>43</v>
      </c>
      <c r="B98" s="312">
        <f>1-CM!K29</f>
        <v>3.235198964736119E-4</v>
      </c>
      <c r="C98" s="313">
        <f>1-CM!R29</f>
        <v>3.0613828274739241E-4</v>
      </c>
      <c r="D98" s="304">
        <f t="shared" si="5"/>
        <v>0.56292461986408471</v>
      </c>
      <c r="E98" s="302">
        <f t="shared" si="6"/>
        <v>1739.4370753801359</v>
      </c>
      <c r="F98" s="317">
        <f>B98*CM!D29</f>
        <v>1.5994823681655372</v>
      </c>
      <c r="G98" s="304">
        <f t="shared" si="7"/>
        <v>0.53268061198046279</v>
      </c>
      <c r="H98" s="302">
        <f t="shared" si="8"/>
        <v>1739.4673193880196</v>
      </c>
      <c r="I98" s="317">
        <f>C98*CM!D29</f>
        <v>1.5135476699031081</v>
      </c>
      <c r="K98" s="316"/>
    </row>
    <row r="99" spans="1:15">
      <c r="A99" s="92" t="s">
        <v>49</v>
      </c>
      <c r="B99" s="312">
        <f>1-CM!K30</f>
        <v>2.0185708518368761E-3</v>
      </c>
      <c r="C99" s="313">
        <f>1-CM!R30</f>
        <v>7.1023973851358502E-4</v>
      </c>
      <c r="D99" s="304">
        <f t="shared" si="5"/>
        <v>3.5123132821961645</v>
      </c>
      <c r="E99" s="302">
        <f t="shared" si="6"/>
        <v>1736.4876867178039</v>
      </c>
      <c r="F99" s="317">
        <f>B99*CM!D30</f>
        <v>9.9798142914815156</v>
      </c>
      <c r="G99" s="304">
        <f t="shared" si="7"/>
        <v>1.2358171450136379</v>
      </c>
      <c r="H99" s="302">
        <f t="shared" si="8"/>
        <v>1738.7641828549863</v>
      </c>
      <c r="I99" s="317">
        <f>C99*CM!D30</f>
        <v>3.5114252672111643</v>
      </c>
      <c r="K99" s="316"/>
    </row>
    <row r="100" spans="1:15">
      <c r="A100" s="92" t="s">
        <v>44</v>
      </c>
      <c r="B100" s="312">
        <f>1-CM!K31</f>
        <v>5.0540786414632333E-4</v>
      </c>
      <c r="C100" s="313">
        <f>1-CM!R31</f>
        <v>4.1069305666741052E-4</v>
      </c>
      <c r="D100" s="304">
        <f t="shared" si="5"/>
        <v>0.87940968361460259</v>
      </c>
      <c r="E100" s="302">
        <f t="shared" si="6"/>
        <v>1739.1205903163855</v>
      </c>
      <c r="F100" s="317">
        <f>B100*CM!D31</f>
        <v>2.4987364803394225</v>
      </c>
      <c r="G100" s="304">
        <f t="shared" si="7"/>
        <v>0.7146059186012943</v>
      </c>
      <c r="H100" s="302">
        <f t="shared" si="8"/>
        <v>1739.2853940813986</v>
      </c>
      <c r="I100" s="317">
        <f>C100*CM!D31</f>
        <v>2.0304664721636776</v>
      </c>
      <c r="K100" s="316"/>
    </row>
    <row r="101" spans="1:15" ht="15" thickBot="1">
      <c r="A101" s="92" t="s">
        <v>45</v>
      </c>
      <c r="B101" s="312">
        <f>1-CM!K32</f>
        <v>1.9379844961240345E-3</v>
      </c>
      <c r="C101" s="313">
        <f>1-CM!R32</f>
        <v>1.4161901804610189E-3</v>
      </c>
      <c r="D101" s="304">
        <f t="shared" si="5"/>
        <v>3.3720930232558199</v>
      </c>
      <c r="E101" s="302">
        <f t="shared" si="6"/>
        <v>1736.6279069767443</v>
      </c>
      <c r="F101" s="317">
        <f>B101*CM!D32</f>
        <v>9.5813953488372263</v>
      </c>
      <c r="G101" s="305">
        <f t="shared" si="7"/>
        <v>2.4641709140021728</v>
      </c>
      <c r="H101" s="306">
        <f t="shared" si="8"/>
        <v>1737.5358290859979</v>
      </c>
      <c r="I101" s="318">
        <f>C101*CM!D32</f>
        <v>7.0016442521992772</v>
      </c>
      <c r="K101" s="316"/>
    </row>
    <row r="102" spans="1:15" ht="15" thickBot="1">
      <c r="A102" s="92" t="s">
        <v>48</v>
      </c>
      <c r="B102" s="312">
        <f>1-CM!K33</f>
        <v>4.0436716538616579E-4</v>
      </c>
      <c r="C102" s="313">
        <f>1-CM!R33</f>
        <v>2.7671923742922377E-4</v>
      </c>
      <c r="D102" s="305">
        <f t="shared" si="5"/>
        <v>0.70359886777192848</v>
      </c>
      <c r="E102" s="306">
        <f t="shared" si="6"/>
        <v>1739.2964011322281</v>
      </c>
      <c r="F102" s="318">
        <f>B102*CM!D33</f>
        <v>1.9991912656692037</v>
      </c>
      <c r="G102" s="319">
        <f t="shared" si="7"/>
        <v>0.48149147312684937</v>
      </c>
      <c r="H102" s="320">
        <f t="shared" si="8"/>
        <v>1739.5185085268731</v>
      </c>
      <c r="I102" s="321">
        <f>C102*CM!D33</f>
        <v>1.3680999098500823</v>
      </c>
      <c r="K102" s="316"/>
    </row>
    <row r="103" spans="1:15">
      <c r="B103" s="240"/>
      <c r="C103" s="240"/>
      <c r="D103" s="301"/>
      <c r="E103" s="301"/>
      <c r="F103" s="66"/>
      <c r="G103" s="240"/>
      <c r="J103" s="66"/>
      <c r="K103" s="240"/>
    </row>
    <row r="105" spans="1:15">
      <c r="C105" s="236"/>
      <c r="G105" s="236"/>
      <c r="K105" s="236"/>
      <c r="O105" s="236"/>
    </row>
  </sheetData>
  <mergeCells count="3">
    <mergeCell ref="D70:F70"/>
    <mergeCell ref="G70:I70"/>
    <mergeCell ref="B3:E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D79E3-3D8A-423C-AC80-9BCA508931FD}">
  <dimension ref="B1:R56"/>
  <sheetViews>
    <sheetView tabSelected="1" topLeftCell="A2" zoomScale="80" zoomScaleNormal="80" workbookViewId="0">
      <selection activeCell="H34" sqref="H34"/>
    </sheetView>
  </sheetViews>
  <sheetFormatPr baseColWidth="10" defaultRowHeight="14.4"/>
  <cols>
    <col min="1" max="1" width="6.5546875" customWidth="1"/>
    <col min="2" max="2" width="7.77734375" bestFit="1" customWidth="1"/>
    <col min="3" max="3" width="57.109375" bestFit="1" customWidth="1"/>
    <col min="6" max="6" width="3.21875" customWidth="1"/>
    <col min="7" max="7" width="2.6640625" bestFit="1" customWidth="1"/>
    <col min="8" max="8" width="30.6640625" bestFit="1" customWidth="1"/>
    <col min="11" max="11" width="7.88671875" bestFit="1" customWidth="1"/>
    <col min="12" max="12" width="2.6640625" bestFit="1" customWidth="1"/>
    <col min="13" max="13" width="30.6640625" bestFit="1" customWidth="1"/>
    <col min="17" max="17" width="2.6640625" bestFit="1" customWidth="1"/>
    <col min="18" max="18" width="34.44140625" bestFit="1" customWidth="1"/>
  </cols>
  <sheetData>
    <row r="1" spans="2:15" ht="15" thickBot="1">
      <c r="B1" s="54" t="s">
        <v>243</v>
      </c>
    </row>
    <row r="2" spans="2:15" ht="15" thickBot="1">
      <c r="B2" s="36" t="s">
        <v>56</v>
      </c>
      <c r="C2" s="37" t="s">
        <v>55</v>
      </c>
      <c r="D2" s="37" t="s">
        <v>239</v>
      </c>
      <c r="E2" s="43" t="str">
        <f>CM!I2</f>
        <v>R (t) antes</v>
      </c>
    </row>
    <row r="3" spans="2:15" ht="15" customHeight="1">
      <c r="B3" s="148">
        <v>20</v>
      </c>
      <c r="C3" s="149" t="s">
        <v>101</v>
      </c>
      <c r="D3" s="150" t="s">
        <v>211</v>
      </c>
      <c r="E3" s="151">
        <f>CM!I22</f>
        <v>0.81873075307798182</v>
      </c>
    </row>
    <row r="4" spans="2:15" ht="15" customHeight="1">
      <c r="B4" s="148">
        <v>15</v>
      </c>
      <c r="C4" s="149" t="s">
        <v>33</v>
      </c>
      <c r="D4" s="150" t="s">
        <v>212</v>
      </c>
      <c r="E4" s="151">
        <f>CM!I17</f>
        <v>0.90483741803595952</v>
      </c>
    </row>
    <row r="5" spans="2:15" ht="15" customHeight="1">
      <c r="B5" s="148">
        <v>16</v>
      </c>
      <c r="C5" s="149" t="s">
        <v>34</v>
      </c>
      <c r="D5" s="150" t="s">
        <v>213</v>
      </c>
      <c r="E5" s="151">
        <f>CM!I18</f>
        <v>0.90483741803595952</v>
      </c>
    </row>
    <row r="6" spans="2:15" ht="15" customHeight="1">
      <c r="B6" s="148">
        <v>17</v>
      </c>
      <c r="C6" s="149" t="s">
        <v>53</v>
      </c>
      <c r="D6" s="150" t="s">
        <v>422</v>
      </c>
      <c r="E6" s="151">
        <f>CM!I19</f>
        <v>0.90483741803595952</v>
      </c>
    </row>
    <row r="7" spans="2:15" ht="15" customHeight="1">
      <c r="B7" s="152">
        <v>10</v>
      </c>
      <c r="C7" s="153" t="s">
        <v>26</v>
      </c>
      <c r="D7" s="154" t="s">
        <v>240</v>
      </c>
      <c r="E7" s="155">
        <f>CM!I12</f>
        <v>0.81873075307798182</v>
      </c>
      <c r="G7" s="8">
        <v>30</v>
      </c>
      <c r="H7" s="140" t="s">
        <v>45</v>
      </c>
      <c r="I7" s="156" t="s">
        <v>214</v>
      </c>
      <c r="J7" s="157">
        <f>CM!I32</f>
        <v>0.81873075307798182</v>
      </c>
    </row>
    <row r="8" spans="2:15" ht="15" customHeight="1">
      <c r="B8" s="152">
        <v>24</v>
      </c>
      <c r="C8" s="153" t="s">
        <v>113</v>
      </c>
      <c r="D8" s="154" t="s">
        <v>215</v>
      </c>
      <c r="E8" s="155">
        <f>CM!I26</f>
        <v>0.81873075307798182</v>
      </c>
    </row>
    <row r="9" spans="2:15" ht="15" customHeight="1">
      <c r="B9" s="152">
        <v>18</v>
      </c>
      <c r="C9" s="153" t="s">
        <v>35</v>
      </c>
      <c r="D9" s="154" t="s">
        <v>216</v>
      </c>
      <c r="E9" s="155">
        <f>CM!I20</f>
        <v>0.90483741803595952</v>
      </c>
    </row>
    <row r="10" spans="2:15" ht="15" customHeight="1">
      <c r="B10" s="152">
        <v>25</v>
      </c>
      <c r="C10" s="153" t="s">
        <v>115</v>
      </c>
      <c r="D10" s="154" t="s">
        <v>217</v>
      </c>
      <c r="E10" s="155">
        <f>CM!I27</f>
        <v>0.81873075307798182</v>
      </c>
      <c r="G10" s="8">
        <v>9</v>
      </c>
      <c r="H10" s="140" t="s">
        <v>32</v>
      </c>
      <c r="I10" s="156" t="s">
        <v>424</v>
      </c>
      <c r="J10" s="157">
        <f>CM!I11</f>
        <v>0.9672161004820059</v>
      </c>
      <c r="L10" s="8">
        <v>4</v>
      </c>
      <c r="M10" s="140" t="s">
        <v>51</v>
      </c>
      <c r="N10" s="156" t="s">
        <v>431</v>
      </c>
      <c r="O10" s="157">
        <f>CM!I6</f>
        <v>0.9672161004820059</v>
      </c>
    </row>
    <row r="11" spans="2:15" ht="15" customHeight="1">
      <c r="B11" s="152">
        <v>27</v>
      </c>
      <c r="C11" s="153" t="s">
        <v>43</v>
      </c>
      <c r="D11" s="154" t="s">
        <v>423</v>
      </c>
      <c r="E11" s="155">
        <f>CM!I29</f>
        <v>0.81873075307798182</v>
      </c>
      <c r="G11" s="8">
        <v>29</v>
      </c>
      <c r="H11" s="140" t="s">
        <v>44</v>
      </c>
      <c r="I11" s="156" t="s">
        <v>425</v>
      </c>
      <c r="J11" s="157">
        <f>CM!I31</f>
        <v>0.60653065971263342</v>
      </c>
      <c r="L11" s="8">
        <v>7</v>
      </c>
      <c r="M11" s="140" t="s">
        <v>25</v>
      </c>
      <c r="N11" s="156" t="s">
        <v>432</v>
      </c>
      <c r="O11" s="157">
        <f>CM!I9</f>
        <v>0.9672161004820059</v>
      </c>
    </row>
    <row r="12" spans="2:15" ht="15" customHeight="1">
      <c r="B12" s="152">
        <v>14</v>
      </c>
      <c r="C12" s="153" t="s">
        <v>47</v>
      </c>
      <c r="D12" s="154" t="s">
        <v>426</v>
      </c>
      <c r="E12" s="155">
        <f>CM!I16</f>
        <v>0.71653131057378927</v>
      </c>
    </row>
    <row r="13" spans="2:15" ht="15" customHeight="1">
      <c r="B13" s="152">
        <v>13</v>
      </c>
      <c r="C13" s="153" t="s">
        <v>46</v>
      </c>
      <c r="D13" s="154" t="s">
        <v>427</v>
      </c>
      <c r="E13" s="155">
        <f>CM!I15</f>
        <v>0.1353352832366127</v>
      </c>
    </row>
    <row r="14" spans="2:15" ht="15" customHeight="1">
      <c r="B14" s="152">
        <v>19</v>
      </c>
      <c r="C14" s="153" t="s">
        <v>36</v>
      </c>
      <c r="D14" s="154" t="s">
        <v>428</v>
      </c>
      <c r="E14" s="155">
        <f>CM!I21</f>
        <v>0.81873075307798182</v>
      </c>
    </row>
    <row r="15" spans="2:15" ht="15" customHeight="1">
      <c r="B15" s="152">
        <v>12</v>
      </c>
      <c r="C15" s="153" t="s">
        <v>88</v>
      </c>
      <c r="D15" s="154" t="s">
        <v>429</v>
      </c>
      <c r="E15" s="155">
        <f>CM!I14</f>
        <v>0.90483741803595952</v>
      </c>
      <c r="G15" s="8">
        <v>28</v>
      </c>
      <c r="H15" s="140" t="s">
        <v>49</v>
      </c>
      <c r="I15" s="156" t="s">
        <v>433</v>
      </c>
      <c r="J15" s="157">
        <f>CM!I30</f>
        <v>0.36787944117144233</v>
      </c>
    </row>
    <row r="16" spans="2:15" ht="15" customHeight="1">
      <c r="B16" s="206">
        <v>11</v>
      </c>
      <c r="C16" s="207" t="s">
        <v>27</v>
      </c>
      <c r="D16" s="208" t="s">
        <v>430</v>
      </c>
      <c r="E16" s="209">
        <f>CM!I13</f>
        <v>0.95122942450071402</v>
      </c>
    </row>
    <row r="17" spans="2:18" ht="15" customHeight="1">
      <c r="B17" s="8">
        <v>26</v>
      </c>
      <c r="C17" s="140" t="s">
        <v>42</v>
      </c>
      <c r="D17" s="156" t="s">
        <v>218</v>
      </c>
      <c r="E17" s="157">
        <f>CM!I28</f>
        <v>0.9672161004820059</v>
      </c>
    </row>
    <row r="18" spans="2:18" ht="15" customHeight="1">
      <c r="B18" s="8">
        <v>31</v>
      </c>
      <c r="C18" s="140" t="s">
        <v>48</v>
      </c>
      <c r="D18" s="156" t="s">
        <v>219</v>
      </c>
      <c r="E18" s="157">
        <f>CM!I33</f>
        <v>0.36787944117144233</v>
      </c>
      <c r="O18" s="205"/>
    </row>
    <row r="19" spans="2:18" ht="15" customHeight="1">
      <c r="B19" s="40">
        <v>5</v>
      </c>
      <c r="C19" s="46" t="s">
        <v>70</v>
      </c>
      <c r="D19" s="51" t="s">
        <v>224</v>
      </c>
      <c r="E19" s="162">
        <f>CM!I7</f>
        <v>0.77880078307140488</v>
      </c>
      <c r="O19" s="205"/>
    </row>
    <row r="20" spans="2:18" ht="15" customHeight="1">
      <c r="B20" s="40">
        <v>6</v>
      </c>
      <c r="C20" s="46" t="s">
        <v>73</v>
      </c>
      <c r="D20" s="51" t="s">
        <v>225</v>
      </c>
      <c r="E20" s="162">
        <f>CM!I8</f>
        <v>0.1353352832366127</v>
      </c>
      <c r="L20" t="s">
        <v>131</v>
      </c>
      <c r="M20" s="211">
        <f>E3*E4*E5*E6</f>
        <v>0.60653065971263331</v>
      </c>
    </row>
    <row r="21" spans="2:18" ht="15" customHeight="1">
      <c r="B21" s="38">
        <v>1</v>
      </c>
      <c r="C21" s="44" t="s">
        <v>28</v>
      </c>
      <c r="D21" s="49" t="s">
        <v>236</v>
      </c>
      <c r="E21" s="141">
        <f>CM!I3</f>
        <v>0.9672161004820059</v>
      </c>
      <c r="L21" t="s">
        <v>135</v>
      </c>
      <c r="M21" s="211">
        <f>1-((1-(1-(1-E7)*(1-J7))*E8*E9*E10*E11*(1-(1-J10)*(1-J11)*(1-(E12*E13*E14*(1-(1-E15)*(1-J15))*E16))))*(1-O10)*(1-O11))</f>
        <v>0.99943521469064422</v>
      </c>
      <c r="O21" t="s">
        <v>373</v>
      </c>
      <c r="P21" s="210">
        <f>M20*M21*M22*M23*M24*M25</f>
        <v>0.11957954729113625</v>
      </c>
    </row>
    <row r="22" spans="2:18" ht="15" customHeight="1">
      <c r="B22" s="39">
        <v>2</v>
      </c>
      <c r="C22" s="45" t="s">
        <v>20</v>
      </c>
      <c r="D22" s="50" t="s">
        <v>237</v>
      </c>
      <c r="E22" s="141">
        <f>CM!I4</f>
        <v>0.81873075307798182</v>
      </c>
      <c r="L22" t="s">
        <v>141</v>
      </c>
      <c r="M22" s="211">
        <f>E17*E18</f>
        <v>0.35581891853734193</v>
      </c>
    </row>
    <row r="23" spans="2:18" ht="15" customHeight="1">
      <c r="B23" s="39">
        <v>3</v>
      </c>
      <c r="C23" s="45" t="s">
        <v>64</v>
      </c>
      <c r="D23" s="50" t="s">
        <v>238</v>
      </c>
      <c r="E23" s="141">
        <f>CM!I5</f>
        <v>0.86687789975018159</v>
      </c>
      <c r="L23" t="s">
        <v>142</v>
      </c>
      <c r="M23" s="211">
        <f>1-(1-E19)*(1-E20)</f>
        <v>0.80873684174615323</v>
      </c>
    </row>
    <row r="24" spans="2:18" ht="15" customHeight="1">
      <c r="B24" s="8">
        <v>21</v>
      </c>
      <c r="C24" s="140" t="s">
        <v>37</v>
      </c>
      <c r="D24" s="156" t="s">
        <v>434</v>
      </c>
      <c r="E24" s="157">
        <f>CM!I23</f>
        <v>0.90483741803595952</v>
      </c>
      <c r="L24" t="s">
        <v>143</v>
      </c>
      <c r="M24" s="211">
        <f>E21*E22*E23</f>
        <v>0.68647156410011134</v>
      </c>
    </row>
    <row r="25" spans="2:18" ht="15" customHeight="1">
      <c r="B25" s="8">
        <v>22</v>
      </c>
      <c r="C25" s="140" t="s">
        <v>106</v>
      </c>
      <c r="D25" s="156" t="s">
        <v>435</v>
      </c>
      <c r="E25" s="157">
        <f>CM!I24</f>
        <v>0.60653065971263342</v>
      </c>
      <c r="L25" t="s">
        <v>146</v>
      </c>
      <c r="M25" s="211">
        <f>1-(1-E24)*(1-E25)*(1-E26)*(1-E27)</f>
        <v>0.99859797993843213</v>
      </c>
    </row>
    <row r="26" spans="2:18" ht="15" customHeight="1">
      <c r="B26" s="8">
        <v>23</v>
      </c>
      <c r="C26" s="140" t="s">
        <v>110</v>
      </c>
      <c r="D26" s="156" t="s">
        <v>436</v>
      </c>
      <c r="E26" s="157">
        <f>CM!I25</f>
        <v>0.60653065971263342</v>
      </c>
    </row>
    <row r="27" spans="2:18" ht="15" customHeight="1">
      <c r="B27" s="8">
        <v>8</v>
      </c>
      <c r="C27" s="140" t="s">
        <v>31</v>
      </c>
      <c r="D27" s="156" t="s">
        <v>437</v>
      </c>
      <c r="E27" s="157">
        <f>CM!I10</f>
        <v>0.90483741803595952</v>
      </c>
    </row>
    <row r="28" spans="2:18" ht="15" customHeight="1"/>
    <row r="29" spans="2:18" ht="15" customHeight="1"/>
    <row r="30" spans="2:18" ht="15" customHeight="1" thickBot="1">
      <c r="B30" t="s">
        <v>438</v>
      </c>
      <c r="P30" s="212">
        <f>(P50-P21)/P21</f>
        <v>0.75285763188010046</v>
      </c>
    </row>
    <row r="31" spans="2:18" ht="15" customHeight="1" thickBot="1">
      <c r="B31" s="36" t="s">
        <v>56</v>
      </c>
      <c r="C31" s="37" t="s">
        <v>55</v>
      </c>
      <c r="D31" s="37" t="s">
        <v>239</v>
      </c>
      <c r="E31" s="43" t="str">
        <f>CM!P2</f>
        <v>R (t) propuesto</v>
      </c>
    </row>
    <row r="32" spans="2:18" ht="15" customHeight="1">
      <c r="B32" s="148">
        <v>20</v>
      </c>
      <c r="C32" s="149" t="s">
        <v>101</v>
      </c>
      <c r="D32" s="150" t="s">
        <v>211</v>
      </c>
      <c r="E32" s="151">
        <f>CM!P22</f>
        <v>0.82767347286157944</v>
      </c>
      <c r="R32" s="212">
        <f>(P50-P21)/P21</f>
        <v>0.75285763188010046</v>
      </c>
    </row>
    <row r="33" spans="2:15" ht="15" customHeight="1">
      <c r="B33" s="148">
        <v>15</v>
      </c>
      <c r="C33" s="149" t="s">
        <v>33</v>
      </c>
      <c r="D33" s="150" t="s">
        <v>212</v>
      </c>
      <c r="E33" s="151">
        <f>CM!P17</f>
        <v>0.90741083129702471</v>
      </c>
    </row>
    <row r="34" spans="2:15">
      <c r="B34" s="148">
        <v>16</v>
      </c>
      <c r="C34" s="149" t="s">
        <v>34</v>
      </c>
      <c r="D34" s="150" t="s">
        <v>213</v>
      </c>
      <c r="E34" s="151">
        <f>CM!P18</f>
        <v>0.90739298450616224</v>
      </c>
    </row>
    <row r="35" spans="2:15">
      <c r="B35" s="148">
        <v>17</v>
      </c>
      <c r="C35" s="149" t="s">
        <v>53</v>
      </c>
      <c r="D35" s="150" t="s">
        <v>422</v>
      </c>
      <c r="E35" s="151">
        <f>CM!P19</f>
        <v>0.90741083129702471</v>
      </c>
    </row>
    <row r="36" spans="2:15">
      <c r="B36" s="152">
        <v>10</v>
      </c>
      <c r="C36" s="153" t="s">
        <v>26</v>
      </c>
      <c r="D36" s="154" t="s">
        <v>240</v>
      </c>
      <c r="E36" s="155">
        <f>CM!P12</f>
        <v>0.85304810540066989</v>
      </c>
      <c r="G36" s="8">
        <v>30</v>
      </c>
      <c r="H36" s="140" t="s">
        <v>45</v>
      </c>
      <c r="I36" s="156" t="s">
        <v>214</v>
      </c>
      <c r="J36" s="157">
        <f>CM!P32</f>
        <v>0.86531968769278145</v>
      </c>
    </row>
    <row r="37" spans="2:15">
      <c r="B37" s="152">
        <v>24</v>
      </c>
      <c r="C37" s="153" t="s">
        <v>113</v>
      </c>
      <c r="D37" s="154" t="s">
        <v>215</v>
      </c>
      <c r="E37" s="155">
        <f>CM!P26</f>
        <v>0.82986245603330255</v>
      </c>
    </row>
    <row r="38" spans="2:15">
      <c r="B38" s="152">
        <v>18</v>
      </c>
      <c r="C38" s="153" t="s">
        <v>35</v>
      </c>
      <c r="D38" s="154" t="s">
        <v>216</v>
      </c>
      <c r="E38" s="155">
        <f>CM!P20</f>
        <v>0.9074286784389014</v>
      </c>
    </row>
    <row r="39" spans="2:15">
      <c r="B39" s="152">
        <v>25</v>
      </c>
      <c r="C39" s="153" t="s">
        <v>115</v>
      </c>
      <c r="D39" s="154" t="s">
        <v>217</v>
      </c>
      <c r="E39" s="155">
        <f>CM!P27</f>
        <v>0.82764179095177093</v>
      </c>
      <c r="G39" s="8">
        <v>9</v>
      </c>
      <c r="H39" s="140" t="s">
        <v>32</v>
      </c>
      <c r="I39" s="156" t="s">
        <v>424</v>
      </c>
      <c r="J39" s="157">
        <f>CM!P11</f>
        <v>0.96907059856428845</v>
      </c>
      <c r="L39" s="8">
        <v>4</v>
      </c>
      <c r="M39" s="140" t="s">
        <v>51</v>
      </c>
      <c r="N39" s="156" t="s">
        <v>431</v>
      </c>
      <c r="O39" s="157">
        <f>CM!P6</f>
        <v>0.96804501062102155</v>
      </c>
    </row>
    <row r="40" spans="2:15">
      <c r="B40" s="152">
        <v>27</v>
      </c>
      <c r="C40" s="153" t="s">
        <v>43</v>
      </c>
      <c r="D40" s="154" t="s">
        <v>423</v>
      </c>
      <c r="E40" s="155">
        <f>CM!P29</f>
        <v>0.82783190060317757</v>
      </c>
      <c r="G40" s="8">
        <v>29</v>
      </c>
      <c r="H40" s="140" t="s">
        <v>44</v>
      </c>
      <c r="I40" s="156" t="s">
        <v>425</v>
      </c>
      <c r="J40" s="157">
        <f>CM!P31</f>
        <v>0.66641060069017</v>
      </c>
      <c r="L40" s="8">
        <v>7</v>
      </c>
      <c r="M40" s="140" t="s">
        <v>25</v>
      </c>
      <c r="N40" s="156" t="s">
        <v>432</v>
      </c>
      <c r="O40" s="157">
        <f>CM!P9</f>
        <v>0.96782869793566784</v>
      </c>
    </row>
    <row r="41" spans="2:15">
      <c r="B41" s="152">
        <v>14</v>
      </c>
      <c r="C41" s="153" t="s">
        <v>47</v>
      </c>
      <c r="D41" s="154" t="s">
        <v>426</v>
      </c>
      <c r="E41" s="155">
        <f>CM!P16</f>
        <v>0.73766722063868939</v>
      </c>
    </row>
    <row r="42" spans="2:15">
      <c r="B42" s="152">
        <v>13</v>
      </c>
      <c r="C42" s="153" t="s">
        <v>46</v>
      </c>
      <c r="D42" s="154" t="s">
        <v>427</v>
      </c>
      <c r="E42" s="155">
        <f>CM!P15</f>
        <v>0.15930747486543848</v>
      </c>
    </row>
    <row r="43" spans="2:15">
      <c r="B43" s="152">
        <v>19</v>
      </c>
      <c r="C43" s="153" t="s">
        <v>36</v>
      </c>
      <c r="D43" s="154" t="s">
        <v>428</v>
      </c>
      <c r="E43" s="155">
        <f>CM!P21</f>
        <v>0.82770515598416305</v>
      </c>
    </row>
    <row r="44" spans="2:15">
      <c r="B44" s="152">
        <v>12</v>
      </c>
      <c r="C44" s="153" t="s">
        <v>88</v>
      </c>
      <c r="D44" s="154" t="s">
        <v>429</v>
      </c>
      <c r="E44" s="155">
        <f>CM!P14</f>
        <v>0.90610887938014351</v>
      </c>
      <c r="G44" s="8">
        <v>28</v>
      </c>
      <c r="H44" s="140" t="s">
        <v>49</v>
      </c>
      <c r="I44" s="156" t="s">
        <v>433</v>
      </c>
      <c r="J44" s="157">
        <f>CM!P30</f>
        <v>0.70420811063137079</v>
      </c>
    </row>
    <row r="45" spans="2:15">
      <c r="B45" s="206">
        <v>11</v>
      </c>
      <c r="C45" s="207" t="s">
        <v>27</v>
      </c>
      <c r="D45" s="208" t="s">
        <v>430</v>
      </c>
      <c r="E45" s="209">
        <f>CM!P13</f>
        <v>0.95617409232283801</v>
      </c>
    </row>
    <row r="46" spans="2:15">
      <c r="B46" s="8">
        <v>26</v>
      </c>
      <c r="C46" s="140" t="s">
        <v>42</v>
      </c>
      <c r="D46" s="156" t="s">
        <v>218</v>
      </c>
      <c r="E46" s="157">
        <f>CM!P28</f>
        <v>0.96793600185134898</v>
      </c>
    </row>
    <row r="47" spans="2:15">
      <c r="B47" s="8">
        <v>31</v>
      </c>
      <c r="C47" s="140" t="s">
        <v>48</v>
      </c>
      <c r="D47" s="156" t="s">
        <v>219</v>
      </c>
      <c r="E47" s="157">
        <f>CM!P33</f>
        <v>0.50461349394426103</v>
      </c>
      <c r="O47" s="205"/>
    </row>
    <row r="48" spans="2:15">
      <c r="B48" s="40">
        <v>5</v>
      </c>
      <c r="C48" s="46" t="s">
        <v>70</v>
      </c>
      <c r="D48" s="51" t="s">
        <v>224</v>
      </c>
      <c r="E48" s="162">
        <f>CM!P7</f>
        <v>0.843002387294149</v>
      </c>
      <c r="O48" s="205"/>
    </row>
    <row r="49" spans="2:16">
      <c r="B49" s="40">
        <v>6</v>
      </c>
      <c r="C49" s="46" t="s">
        <v>73</v>
      </c>
      <c r="D49" s="51" t="s">
        <v>225</v>
      </c>
      <c r="E49" s="162">
        <f>CM!P8</f>
        <v>0.65337784504573371</v>
      </c>
      <c r="L49" t="s">
        <v>131</v>
      </c>
      <c r="M49" s="211">
        <f>E32*E33*E34*E35</f>
        <v>0.61838987643616039</v>
      </c>
    </row>
    <row r="50" spans="2:16">
      <c r="B50" s="38">
        <v>1</v>
      </c>
      <c r="C50" s="44" t="s">
        <v>28</v>
      </c>
      <c r="D50" s="49" t="s">
        <v>236</v>
      </c>
      <c r="E50" s="141">
        <f>CM!P3</f>
        <v>0.96938209618292892</v>
      </c>
      <c r="L50" t="s">
        <v>135</v>
      </c>
      <c r="M50" s="211">
        <f>1-((1-(1-(1-E36)*(1-J36))*E37*E38*E39*E40*(1-(1-J39)*(1-J40)*(1-(E41*E42*E43*(1-(1-E44)*(1-J44))*E45))))*(1-O39)*(1-O40))</f>
        <v>0.99948699808196484</v>
      </c>
      <c r="O50" t="s">
        <v>373</v>
      </c>
      <c r="P50" s="210">
        <f>M49*M50*M51*M52*M53*M54</f>
        <v>0.20960592208603557</v>
      </c>
    </row>
    <row r="51" spans="2:16">
      <c r="B51" s="39">
        <v>2</v>
      </c>
      <c r="C51" s="45" t="s">
        <v>20</v>
      </c>
      <c r="D51" s="50" t="s">
        <v>237</v>
      </c>
      <c r="E51" s="141">
        <f>CM!P4</f>
        <v>0.86429762910723851</v>
      </c>
      <c r="L51" t="s">
        <v>141</v>
      </c>
      <c r="M51" s="211">
        <f>E46*E47</f>
        <v>0.48843356780864794</v>
      </c>
    </row>
    <row r="52" spans="2:16">
      <c r="B52" s="39">
        <v>3</v>
      </c>
      <c r="C52" s="45" t="s">
        <v>64</v>
      </c>
      <c r="D52" s="50" t="s">
        <v>238</v>
      </c>
      <c r="E52" s="141">
        <f>CM!P5</f>
        <v>0.87722101786986395</v>
      </c>
      <c r="L52" t="s">
        <v>142</v>
      </c>
      <c r="M52" s="211">
        <f>1-(1-E48)*(1-E49)</f>
        <v>0.9455811491612226</v>
      </c>
    </row>
    <row r="53" spans="2:16">
      <c r="B53" s="8">
        <v>21</v>
      </c>
      <c r="C53" s="140" t="s">
        <v>37</v>
      </c>
      <c r="D53" s="156" t="s">
        <v>434</v>
      </c>
      <c r="E53" s="157">
        <f>CM!P23</f>
        <v>0.90890794587241819</v>
      </c>
      <c r="L53" t="s">
        <v>143</v>
      </c>
      <c r="M53" s="211">
        <f>E50*E51*E52</f>
        <v>0.73496616222510469</v>
      </c>
    </row>
    <row r="54" spans="2:16">
      <c r="B54" s="8">
        <v>22</v>
      </c>
      <c r="C54" s="140" t="s">
        <v>106</v>
      </c>
      <c r="D54" s="156" t="s">
        <v>435</v>
      </c>
      <c r="E54" s="157">
        <f>CM!P24</f>
        <v>0.66635584240892087</v>
      </c>
      <c r="L54" t="s">
        <v>146</v>
      </c>
      <c r="M54" s="211">
        <f>1-(1-E53)*(1-E54)*(1-E55)*(1-E56)</f>
        <v>0.9990618490165325</v>
      </c>
    </row>
    <row r="55" spans="2:16">
      <c r="B55" s="8">
        <v>23</v>
      </c>
      <c r="C55" s="140" t="s">
        <v>110</v>
      </c>
      <c r="D55" s="156" t="s">
        <v>436</v>
      </c>
      <c r="E55" s="157">
        <f>CM!P25</f>
        <v>0.66635584240892087</v>
      </c>
    </row>
    <row r="56" spans="2:16">
      <c r="B56" s="8">
        <v>8</v>
      </c>
      <c r="C56" s="140" t="s">
        <v>31</v>
      </c>
      <c r="D56" s="156" t="s">
        <v>437</v>
      </c>
      <c r="E56" s="157">
        <f>CM!P10</f>
        <v>0.90748222197068684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4D7E-6649-4CEE-AE39-8213F18FB99A}">
  <dimension ref="A1:Q59"/>
  <sheetViews>
    <sheetView zoomScale="70" zoomScaleNormal="70" workbookViewId="0">
      <pane xSplit="2" ySplit="3" topLeftCell="C4" activePane="bottomRight" state="frozenSplit"/>
      <selection activeCell="A3" sqref="A3"/>
      <selection pane="topRight" activeCell="M3" sqref="M3"/>
      <selection pane="bottomLeft" activeCell="A14" sqref="A14"/>
      <selection pane="bottomRight" activeCell="K33" sqref="K33"/>
    </sheetView>
  </sheetViews>
  <sheetFormatPr baseColWidth="10" defaultColWidth="11.5546875" defaultRowHeight="13.2"/>
  <cols>
    <col min="1" max="1" width="6.109375" style="1" customWidth="1"/>
    <col min="2" max="2" width="29.6640625" style="1" customWidth="1"/>
    <col min="3" max="3" width="5.5546875" style="1" customWidth="1"/>
    <col min="4" max="4" width="8.21875" style="1" customWidth="1"/>
    <col min="5" max="5" width="8.6640625" style="1" customWidth="1"/>
    <col min="6" max="6" width="8.33203125" style="1" customWidth="1"/>
    <col min="7" max="7" width="22.6640625" style="1" customWidth="1"/>
    <col min="8" max="8" width="8.33203125" style="1" customWidth="1"/>
    <col min="9" max="9" width="11.5546875" style="1"/>
    <col min="10" max="10" width="3.33203125" style="1" bestFit="1" customWidth="1"/>
    <col min="11" max="11" width="53.109375" style="1" customWidth="1"/>
    <col min="12" max="12" width="4.88671875" style="1" bestFit="1" customWidth="1"/>
    <col min="13" max="13" width="18.21875" style="1" bestFit="1" customWidth="1"/>
    <col min="14" max="14" width="3.33203125" style="1" bestFit="1" customWidth="1"/>
    <col min="15" max="15" width="45.6640625" style="1" bestFit="1" customWidth="1"/>
    <col min="16" max="16" width="4.88671875" style="1" bestFit="1" customWidth="1"/>
    <col min="17" max="17" width="18.21875" style="1" bestFit="1" customWidth="1"/>
    <col min="18" max="16384" width="11.5546875" style="1"/>
  </cols>
  <sheetData>
    <row r="1" spans="1:17" ht="12" customHeight="1">
      <c r="A1" s="493" t="s">
        <v>18</v>
      </c>
      <c r="B1" s="494"/>
      <c r="C1" s="469" t="s">
        <v>13</v>
      </c>
      <c r="D1" s="472" t="s">
        <v>14</v>
      </c>
      <c r="E1" s="475" t="s">
        <v>15</v>
      </c>
      <c r="F1" s="478" t="s">
        <v>16</v>
      </c>
      <c r="G1" s="487" t="s">
        <v>262</v>
      </c>
    </row>
    <row r="2" spans="1:17" ht="12" customHeight="1">
      <c r="A2" s="495"/>
      <c r="B2" s="496"/>
      <c r="C2" s="470"/>
      <c r="D2" s="473"/>
      <c r="E2" s="476"/>
      <c r="F2" s="479"/>
      <c r="G2" s="488"/>
    </row>
    <row r="3" spans="1:17" ht="12" customHeight="1" thickBot="1">
      <c r="A3" s="495"/>
      <c r="B3" s="496"/>
      <c r="C3" s="471"/>
      <c r="D3" s="474"/>
      <c r="E3" s="477"/>
      <c r="F3" s="480"/>
      <c r="G3" s="489"/>
      <c r="J3" s="65" t="s">
        <v>263</v>
      </c>
      <c r="K3" s="65" t="s">
        <v>55</v>
      </c>
      <c r="L3" s="65" t="s">
        <v>261</v>
      </c>
      <c r="M3" s="65" t="s">
        <v>264</v>
      </c>
      <c r="N3" s="65" t="s">
        <v>263</v>
      </c>
      <c r="O3" s="65" t="s">
        <v>55</v>
      </c>
      <c r="P3" s="65" t="s">
        <v>261</v>
      </c>
      <c r="Q3" s="65" t="s">
        <v>264</v>
      </c>
    </row>
    <row r="4" spans="1:17" ht="12" customHeight="1">
      <c r="A4" s="346">
        <v>1</v>
      </c>
      <c r="B4" s="364" t="s">
        <v>28</v>
      </c>
      <c r="C4" s="5">
        <v>9</v>
      </c>
      <c r="D4" s="6">
        <v>1</v>
      </c>
      <c r="E4" s="7">
        <v>1</v>
      </c>
      <c r="F4" s="32">
        <f t="shared" ref="F4:F59" si="0">E4*D4*C4</f>
        <v>9</v>
      </c>
      <c r="G4" s="67" t="str">
        <f>IF(F4&lt;75,"POCO IMPORTANTE",IF(AND(75&lt;F4,F4&lt;300),"NORMAL","CRITICO"))</f>
        <v>POCO IMPORTANTE</v>
      </c>
      <c r="H4" s="481">
        <f>AVERAGE(F4:F7)</f>
        <v>9</v>
      </c>
      <c r="J4" s="69">
        <v>1</v>
      </c>
      <c r="K4" s="69" t="s">
        <v>28</v>
      </c>
      <c r="L4" s="69">
        <v>9</v>
      </c>
      <c r="M4" s="69">
        <v>30</v>
      </c>
      <c r="N4" s="69">
        <v>17</v>
      </c>
      <c r="O4" s="69" t="s">
        <v>53</v>
      </c>
      <c r="P4" s="69">
        <v>10</v>
      </c>
      <c r="Q4" s="69">
        <v>20</v>
      </c>
    </row>
    <row r="5" spans="1:17" ht="12" customHeight="1">
      <c r="A5" s="346"/>
      <c r="B5" s="366"/>
      <c r="C5" s="10">
        <v>9</v>
      </c>
      <c r="D5" s="11">
        <v>1</v>
      </c>
      <c r="E5" s="12">
        <v>1</v>
      </c>
      <c r="F5" s="31">
        <f t="shared" si="0"/>
        <v>9</v>
      </c>
      <c r="G5" s="67" t="str">
        <f t="shared" ref="G5:G59" si="1">IF(F5&lt;75,"POCO IMPORTANTE",IF(AND(75&lt;F5,F5&lt;300),"NORMAL","CRITICO"))</f>
        <v>POCO IMPORTANTE</v>
      </c>
      <c r="H5" s="483"/>
      <c r="J5" s="69">
        <v>2</v>
      </c>
      <c r="K5" s="69" t="s">
        <v>20</v>
      </c>
      <c r="L5" s="69">
        <v>56</v>
      </c>
      <c r="M5" s="69">
        <v>8</v>
      </c>
      <c r="N5" s="69">
        <v>18</v>
      </c>
      <c r="O5" s="69" t="s">
        <v>35</v>
      </c>
      <c r="P5" s="69">
        <v>10</v>
      </c>
      <c r="Q5" s="69">
        <v>21</v>
      </c>
    </row>
    <row r="6" spans="1:17" ht="12" customHeight="1">
      <c r="A6" s="346"/>
      <c r="B6" s="366"/>
      <c r="C6" s="10">
        <v>9</v>
      </c>
      <c r="D6" s="11">
        <v>1</v>
      </c>
      <c r="E6" s="12">
        <v>1</v>
      </c>
      <c r="F6" s="31">
        <f t="shared" si="0"/>
        <v>9</v>
      </c>
      <c r="G6" s="67" t="str">
        <f t="shared" si="1"/>
        <v>POCO IMPORTANTE</v>
      </c>
      <c r="H6" s="483"/>
      <c r="J6" s="69">
        <v>3</v>
      </c>
      <c r="K6" s="69" t="s">
        <v>50</v>
      </c>
      <c r="L6" s="69">
        <v>20</v>
      </c>
      <c r="M6" s="69">
        <v>13</v>
      </c>
      <c r="N6" s="69">
        <v>19</v>
      </c>
      <c r="O6" s="69" t="s">
        <v>36</v>
      </c>
      <c r="P6" s="69">
        <v>10</v>
      </c>
      <c r="Q6" s="69">
        <v>22</v>
      </c>
    </row>
    <row r="7" spans="1:17" ht="12" customHeight="1" thickBot="1">
      <c r="A7" s="346"/>
      <c r="B7" s="365"/>
      <c r="C7" s="10">
        <v>9</v>
      </c>
      <c r="D7" s="11">
        <v>1</v>
      </c>
      <c r="E7" s="12">
        <v>1</v>
      </c>
      <c r="F7" s="31">
        <f t="shared" si="0"/>
        <v>9</v>
      </c>
      <c r="G7" s="67" t="str">
        <f t="shared" si="1"/>
        <v>POCO IMPORTANTE</v>
      </c>
      <c r="H7" s="482"/>
      <c r="J7" s="69">
        <v>4</v>
      </c>
      <c r="K7" s="69" t="s">
        <v>51</v>
      </c>
      <c r="L7" s="70">
        <v>4.666666666666667</v>
      </c>
      <c r="M7" s="69">
        <v>31</v>
      </c>
      <c r="N7" s="69">
        <v>20</v>
      </c>
      <c r="O7" s="69" t="s">
        <v>54</v>
      </c>
      <c r="P7" s="69">
        <v>10</v>
      </c>
      <c r="Q7" s="69">
        <v>23</v>
      </c>
    </row>
    <row r="8" spans="1:17" ht="12" customHeight="1">
      <c r="A8" s="346">
        <v>2</v>
      </c>
      <c r="B8" s="364" t="s">
        <v>20</v>
      </c>
      <c r="C8" s="2">
        <v>7</v>
      </c>
      <c r="D8" s="3">
        <v>4</v>
      </c>
      <c r="E8" s="4">
        <v>2</v>
      </c>
      <c r="F8" s="31">
        <f t="shared" si="0"/>
        <v>56</v>
      </c>
      <c r="G8" s="67" t="str">
        <f t="shared" si="1"/>
        <v>POCO IMPORTANTE</v>
      </c>
      <c r="H8" s="481">
        <f>AVERAGE(F8:F9)</f>
        <v>56</v>
      </c>
      <c r="J8" s="69">
        <v>5</v>
      </c>
      <c r="K8" s="69" t="s">
        <v>29</v>
      </c>
      <c r="L8" s="69">
        <v>37</v>
      </c>
      <c r="M8" s="69">
        <v>9</v>
      </c>
      <c r="N8" s="69">
        <v>21</v>
      </c>
      <c r="O8" s="69" t="s">
        <v>37</v>
      </c>
      <c r="P8" s="69">
        <v>10</v>
      </c>
      <c r="Q8" s="69">
        <v>24</v>
      </c>
    </row>
    <row r="9" spans="1:17" ht="12" customHeight="1" thickBot="1">
      <c r="A9" s="346"/>
      <c r="B9" s="365"/>
      <c r="C9" s="2">
        <v>7</v>
      </c>
      <c r="D9" s="3">
        <v>4</v>
      </c>
      <c r="E9" s="4">
        <v>2</v>
      </c>
      <c r="F9" s="31">
        <f t="shared" si="0"/>
        <v>56</v>
      </c>
      <c r="G9" s="67" t="str">
        <f t="shared" si="1"/>
        <v>POCO IMPORTANTE</v>
      </c>
      <c r="H9" s="482"/>
      <c r="J9" s="69">
        <v>6</v>
      </c>
      <c r="K9" s="69" t="s">
        <v>30</v>
      </c>
      <c r="L9" s="69">
        <v>200</v>
      </c>
      <c r="M9" s="69">
        <v>4</v>
      </c>
      <c r="N9" s="69">
        <v>22</v>
      </c>
      <c r="O9" s="69" t="s">
        <v>38</v>
      </c>
      <c r="P9" s="69">
        <v>10</v>
      </c>
      <c r="Q9" s="69">
        <v>25</v>
      </c>
    </row>
    <row r="10" spans="1:17" ht="12" customHeight="1">
      <c r="A10" s="346">
        <v>3</v>
      </c>
      <c r="B10" s="364" t="s">
        <v>50</v>
      </c>
      <c r="C10" s="2">
        <v>10</v>
      </c>
      <c r="D10" s="3">
        <v>2</v>
      </c>
      <c r="E10" s="4">
        <v>1</v>
      </c>
      <c r="F10" s="31">
        <f t="shared" si="0"/>
        <v>20</v>
      </c>
      <c r="G10" s="67" t="str">
        <f t="shared" si="1"/>
        <v>POCO IMPORTANTE</v>
      </c>
      <c r="H10" s="481">
        <f>AVERAGE(F10:F12)</f>
        <v>20</v>
      </c>
      <c r="J10" s="69">
        <v>7</v>
      </c>
      <c r="K10" s="69" t="s">
        <v>25</v>
      </c>
      <c r="L10" s="69">
        <v>10</v>
      </c>
      <c r="M10" s="69">
        <v>28</v>
      </c>
      <c r="N10" s="69">
        <v>23</v>
      </c>
      <c r="O10" s="69" t="s">
        <v>39</v>
      </c>
      <c r="P10" s="69">
        <v>10</v>
      </c>
      <c r="Q10" s="69">
        <v>26</v>
      </c>
    </row>
    <row r="11" spans="1:17" ht="12" customHeight="1">
      <c r="A11" s="346"/>
      <c r="B11" s="366"/>
      <c r="C11" s="2">
        <v>10</v>
      </c>
      <c r="D11" s="3">
        <v>2</v>
      </c>
      <c r="E11" s="4">
        <v>1</v>
      </c>
      <c r="F11" s="31">
        <f t="shared" si="0"/>
        <v>20</v>
      </c>
      <c r="G11" s="67" t="str">
        <f t="shared" si="1"/>
        <v>POCO IMPORTANTE</v>
      </c>
      <c r="H11" s="483"/>
      <c r="J11" s="69">
        <v>8</v>
      </c>
      <c r="K11" s="69" t="s">
        <v>31</v>
      </c>
      <c r="L11" s="69">
        <v>10</v>
      </c>
      <c r="M11" s="69">
        <v>29</v>
      </c>
      <c r="N11" s="69">
        <v>24</v>
      </c>
      <c r="O11" s="69" t="s">
        <v>40</v>
      </c>
      <c r="P11" s="69">
        <v>15</v>
      </c>
      <c r="Q11" s="69">
        <v>16</v>
      </c>
    </row>
    <row r="12" spans="1:17" ht="12" customHeight="1" thickBot="1">
      <c r="A12" s="346"/>
      <c r="B12" s="365"/>
      <c r="C12" s="17">
        <v>10</v>
      </c>
      <c r="D12" s="18">
        <v>2</v>
      </c>
      <c r="E12" s="19">
        <v>1</v>
      </c>
      <c r="F12" s="34">
        <f t="shared" si="0"/>
        <v>20</v>
      </c>
      <c r="G12" s="67" t="str">
        <f t="shared" si="1"/>
        <v>POCO IMPORTANTE</v>
      </c>
      <c r="H12" s="482"/>
      <c r="J12" s="69">
        <v>9</v>
      </c>
      <c r="K12" s="69" t="s">
        <v>32</v>
      </c>
      <c r="L12" s="69">
        <v>63</v>
      </c>
      <c r="M12" s="69">
        <v>7</v>
      </c>
      <c r="N12" s="69">
        <v>25</v>
      </c>
      <c r="O12" s="69" t="s">
        <v>41</v>
      </c>
      <c r="P12" s="69">
        <v>15</v>
      </c>
      <c r="Q12" s="69">
        <v>17</v>
      </c>
    </row>
    <row r="13" spans="1:17" ht="12" customHeight="1">
      <c r="A13" s="346">
        <v>4</v>
      </c>
      <c r="B13" s="364" t="s">
        <v>51</v>
      </c>
      <c r="C13" s="5">
        <v>2</v>
      </c>
      <c r="D13" s="6">
        <v>1</v>
      </c>
      <c r="E13" s="7">
        <v>1</v>
      </c>
      <c r="F13" s="32">
        <f t="shared" si="0"/>
        <v>2</v>
      </c>
      <c r="G13" s="67" t="str">
        <f t="shared" si="1"/>
        <v>POCO IMPORTANTE</v>
      </c>
      <c r="H13" s="484">
        <f>AVERAGE(F13:F15)</f>
        <v>4.666666666666667</v>
      </c>
      <c r="J13" s="69">
        <v>10</v>
      </c>
      <c r="K13" s="69" t="s">
        <v>26</v>
      </c>
      <c r="L13" s="69">
        <v>240</v>
      </c>
      <c r="M13" s="69">
        <v>3</v>
      </c>
      <c r="N13" s="69">
        <v>26</v>
      </c>
      <c r="O13" s="69" t="s">
        <v>42</v>
      </c>
      <c r="P13" s="69">
        <v>140</v>
      </c>
      <c r="Q13" s="69">
        <v>5</v>
      </c>
    </row>
    <row r="14" spans="1:17" ht="12" customHeight="1">
      <c r="A14" s="346"/>
      <c r="B14" s="366"/>
      <c r="C14" s="2">
        <v>2</v>
      </c>
      <c r="D14" s="3">
        <v>1</v>
      </c>
      <c r="E14" s="4">
        <v>1</v>
      </c>
      <c r="F14" s="31">
        <f t="shared" si="0"/>
        <v>2</v>
      </c>
      <c r="G14" s="67" t="str">
        <f t="shared" si="1"/>
        <v>POCO IMPORTANTE</v>
      </c>
      <c r="H14" s="485"/>
      <c r="J14" s="69">
        <v>11</v>
      </c>
      <c r="K14" s="69" t="s">
        <v>27</v>
      </c>
      <c r="L14" s="69">
        <v>490</v>
      </c>
      <c r="M14" s="69">
        <v>1</v>
      </c>
      <c r="N14" s="69">
        <v>27</v>
      </c>
      <c r="O14" s="69" t="s">
        <v>43</v>
      </c>
      <c r="P14" s="69">
        <v>10</v>
      </c>
      <c r="Q14" s="69">
        <v>27</v>
      </c>
    </row>
    <row r="15" spans="1:17" ht="12" customHeight="1" thickBot="1">
      <c r="A15" s="346"/>
      <c r="B15" s="365"/>
      <c r="C15" s="2">
        <v>2</v>
      </c>
      <c r="D15" s="3">
        <v>1</v>
      </c>
      <c r="E15" s="4">
        <v>5</v>
      </c>
      <c r="F15" s="31">
        <f t="shared" si="0"/>
        <v>10</v>
      </c>
      <c r="G15" s="67" t="str">
        <f t="shared" si="1"/>
        <v>POCO IMPORTANTE</v>
      </c>
      <c r="H15" s="486"/>
      <c r="J15" s="69">
        <v>12</v>
      </c>
      <c r="K15" s="69" t="s">
        <v>52</v>
      </c>
      <c r="L15" s="69">
        <v>63</v>
      </c>
      <c r="M15" s="69">
        <v>6</v>
      </c>
      <c r="N15" s="69">
        <v>28</v>
      </c>
      <c r="O15" s="69" t="s">
        <v>49</v>
      </c>
      <c r="P15" s="69">
        <v>15</v>
      </c>
      <c r="Q15" s="69">
        <v>15</v>
      </c>
    </row>
    <row r="16" spans="1:17" ht="12" customHeight="1">
      <c r="A16" s="490">
        <v>5</v>
      </c>
      <c r="B16" s="364" t="s">
        <v>29</v>
      </c>
      <c r="C16" s="2">
        <v>7</v>
      </c>
      <c r="D16" s="3">
        <v>4</v>
      </c>
      <c r="E16" s="4">
        <v>2</v>
      </c>
      <c r="F16" s="31">
        <f t="shared" si="0"/>
        <v>56</v>
      </c>
      <c r="G16" s="67" t="str">
        <f t="shared" si="1"/>
        <v>POCO IMPORTANTE</v>
      </c>
      <c r="H16" s="466">
        <f>AVERAGE(F16:F18)</f>
        <v>37.333333333333336</v>
      </c>
      <c r="J16" s="69">
        <v>13</v>
      </c>
      <c r="K16" s="69" t="s">
        <v>46</v>
      </c>
      <c r="L16" s="69">
        <v>350</v>
      </c>
      <c r="M16" s="69">
        <v>2</v>
      </c>
      <c r="N16" s="69">
        <v>29</v>
      </c>
      <c r="O16" s="69" t="s">
        <v>44</v>
      </c>
      <c r="P16" s="69">
        <v>35</v>
      </c>
      <c r="Q16" s="69">
        <v>10</v>
      </c>
    </row>
    <row r="17" spans="1:17" ht="12" customHeight="1">
      <c r="A17" s="491"/>
      <c r="B17" s="366"/>
      <c r="C17" s="2">
        <v>7</v>
      </c>
      <c r="D17" s="3">
        <v>4</v>
      </c>
      <c r="E17" s="4">
        <v>1</v>
      </c>
      <c r="F17" s="31">
        <f t="shared" si="0"/>
        <v>28</v>
      </c>
      <c r="G17" s="67" t="str">
        <f t="shared" si="1"/>
        <v>POCO IMPORTANTE</v>
      </c>
      <c r="H17" s="467"/>
      <c r="J17" s="69">
        <v>14</v>
      </c>
      <c r="K17" s="69" t="s">
        <v>47</v>
      </c>
      <c r="L17" s="69">
        <v>21</v>
      </c>
      <c r="M17" s="69">
        <v>12</v>
      </c>
      <c r="N17" s="69">
        <v>30</v>
      </c>
      <c r="O17" s="69" t="s">
        <v>45</v>
      </c>
      <c r="P17" s="69">
        <v>20</v>
      </c>
      <c r="Q17" s="69">
        <v>14</v>
      </c>
    </row>
    <row r="18" spans="1:17" ht="12" customHeight="1" thickBot="1">
      <c r="A18" s="492"/>
      <c r="B18" s="365"/>
      <c r="C18" s="2">
        <v>7</v>
      </c>
      <c r="D18" s="3">
        <v>4</v>
      </c>
      <c r="E18" s="4">
        <v>1</v>
      </c>
      <c r="F18" s="31">
        <f t="shared" ref="F18" si="2">E18*D18*C18</f>
        <v>28</v>
      </c>
      <c r="G18" s="67" t="str">
        <f t="shared" si="1"/>
        <v>POCO IMPORTANTE</v>
      </c>
      <c r="H18" s="468"/>
      <c r="J18" s="69">
        <v>15</v>
      </c>
      <c r="K18" s="69" t="s">
        <v>33</v>
      </c>
      <c r="L18" s="69">
        <v>10</v>
      </c>
      <c r="M18" s="69">
        <v>18</v>
      </c>
      <c r="N18" s="69">
        <v>31</v>
      </c>
      <c r="O18" s="69" t="s">
        <v>48</v>
      </c>
      <c r="P18" s="69">
        <v>35</v>
      </c>
      <c r="Q18" s="69">
        <v>11</v>
      </c>
    </row>
    <row r="19" spans="1:17" ht="12" customHeight="1">
      <c r="A19" s="346">
        <v>6</v>
      </c>
      <c r="B19" s="364" t="s">
        <v>30</v>
      </c>
      <c r="C19" s="2">
        <v>10</v>
      </c>
      <c r="D19" s="3">
        <v>4</v>
      </c>
      <c r="E19" s="4">
        <v>5</v>
      </c>
      <c r="F19" s="31">
        <f t="shared" si="0"/>
        <v>200</v>
      </c>
      <c r="G19" s="67" t="str">
        <f t="shared" si="1"/>
        <v>NORMAL</v>
      </c>
      <c r="H19" s="481">
        <f>AVERAGE(F19:F20)</f>
        <v>200</v>
      </c>
      <c r="J19" s="69">
        <v>16</v>
      </c>
      <c r="K19" s="69" t="s">
        <v>34</v>
      </c>
      <c r="L19" s="69">
        <v>10</v>
      </c>
      <c r="M19" s="69">
        <v>19</v>
      </c>
      <c r="N19" s="68"/>
      <c r="O19" s="68"/>
      <c r="P19" s="68"/>
      <c r="Q19" s="68"/>
    </row>
    <row r="20" spans="1:17" ht="12" customHeight="1" thickBot="1">
      <c r="A20" s="346"/>
      <c r="B20" s="365"/>
      <c r="C20" s="2">
        <v>10</v>
      </c>
      <c r="D20" s="3">
        <v>4</v>
      </c>
      <c r="E20" s="4">
        <v>5</v>
      </c>
      <c r="F20" s="31">
        <f t="shared" si="0"/>
        <v>200</v>
      </c>
      <c r="G20" s="67" t="str">
        <f t="shared" si="1"/>
        <v>NORMAL</v>
      </c>
      <c r="H20" s="482"/>
    </row>
    <row r="21" spans="1:17" ht="12" customHeight="1">
      <c r="A21" s="346">
        <v>7</v>
      </c>
      <c r="B21" s="364" t="s">
        <v>25</v>
      </c>
      <c r="C21" s="2">
        <v>5</v>
      </c>
      <c r="D21" s="3">
        <v>1</v>
      </c>
      <c r="E21" s="4">
        <v>2</v>
      </c>
      <c r="F21" s="31">
        <f t="shared" si="0"/>
        <v>10</v>
      </c>
      <c r="G21" s="67" t="str">
        <f t="shared" si="1"/>
        <v>POCO IMPORTANTE</v>
      </c>
      <c r="H21" s="481">
        <f>AVERAGE(F21:F22)</f>
        <v>10</v>
      </c>
    </row>
    <row r="22" spans="1:17" ht="12" customHeight="1" thickBot="1">
      <c r="A22" s="346"/>
      <c r="B22" s="365"/>
      <c r="C22" s="2">
        <v>5</v>
      </c>
      <c r="D22" s="3">
        <v>1</v>
      </c>
      <c r="E22" s="4">
        <v>2</v>
      </c>
      <c r="F22" s="31">
        <f t="shared" si="0"/>
        <v>10</v>
      </c>
      <c r="G22" s="67" t="str">
        <f t="shared" si="1"/>
        <v>POCO IMPORTANTE</v>
      </c>
      <c r="H22" s="482"/>
    </row>
    <row r="23" spans="1:17" ht="12" customHeight="1">
      <c r="A23" s="346">
        <v>8</v>
      </c>
      <c r="B23" s="364" t="s">
        <v>31</v>
      </c>
      <c r="C23" s="2">
        <v>10</v>
      </c>
      <c r="D23" s="3">
        <v>1</v>
      </c>
      <c r="E23" s="4">
        <v>1</v>
      </c>
      <c r="F23" s="31">
        <f t="shared" si="0"/>
        <v>10</v>
      </c>
      <c r="G23" s="67" t="str">
        <f t="shared" si="1"/>
        <v>POCO IMPORTANTE</v>
      </c>
      <c r="H23" s="481">
        <f>AVERAGE(F23:F24)</f>
        <v>10</v>
      </c>
    </row>
    <row r="24" spans="1:17" ht="12" customHeight="1" thickBot="1">
      <c r="A24" s="346"/>
      <c r="B24" s="365"/>
      <c r="C24" s="17">
        <v>10</v>
      </c>
      <c r="D24" s="18">
        <v>1</v>
      </c>
      <c r="E24" s="19">
        <v>1</v>
      </c>
      <c r="F24" s="34">
        <f t="shared" si="0"/>
        <v>10</v>
      </c>
      <c r="G24" s="67" t="str">
        <f t="shared" si="1"/>
        <v>POCO IMPORTANTE</v>
      </c>
      <c r="H24" s="482"/>
    </row>
    <row r="25" spans="1:17" ht="12" customHeight="1">
      <c r="A25" s="346">
        <v>9</v>
      </c>
      <c r="B25" s="364" t="s">
        <v>32</v>
      </c>
      <c r="C25" s="5">
        <v>9</v>
      </c>
      <c r="D25" s="6">
        <v>1</v>
      </c>
      <c r="E25" s="7">
        <v>7</v>
      </c>
      <c r="F25" s="32">
        <f t="shared" si="0"/>
        <v>63</v>
      </c>
      <c r="G25" s="67" t="str">
        <f t="shared" si="1"/>
        <v>POCO IMPORTANTE</v>
      </c>
      <c r="H25" s="481">
        <f>AVERAGE(F25:F26)</f>
        <v>63</v>
      </c>
    </row>
    <row r="26" spans="1:17" ht="12" customHeight="1" thickBot="1">
      <c r="A26" s="346"/>
      <c r="B26" s="365"/>
      <c r="C26" s="2">
        <v>9</v>
      </c>
      <c r="D26" s="3">
        <v>1</v>
      </c>
      <c r="E26" s="4">
        <v>7</v>
      </c>
      <c r="F26" s="31">
        <f t="shared" si="0"/>
        <v>63</v>
      </c>
      <c r="G26" s="67" t="str">
        <f t="shared" si="1"/>
        <v>POCO IMPORTANTE</v>
      </c>
      <c r="H26" s="482"/>
    </row>
    <row r="27" spans="1:17" ht="12" customHeight="1">
      <c r="A27" s="346">
        <v>10</v>
      </c>
      <c r="B27" s="364" t="s">
        <v>26</v>
      </c>
      <c r="C27" s="2">
        <v>10</v>
      </c>
      <c r="D27" s="3">
        <v>3</v>
      </c>
      <c r="E27" s="4">
        <v>8</v>
      </c>
      <c r="F27" s="31">
        <f t="shared" si="0"/>
        <v>240</v>
      </c>
      <c r="G27" s="67" t="str">
        <f t="shared" si="1"/>
        <v>NORMAL</v>
      </c>
      <c r="H27" s="481">
        <f>AVERAGE(F27:F28)</f>
        <v>240</v>
      </c>
    </row>
    <row r="28" spans="1:17" ht="12" customHeight="1" thickBot="1">
      <c r="A28" s="346"/>
      <c r="B28" s="365"/>
      <c r="C28" s="2">
        <v>10</v>
      </c>
      <c r="D28" s="3">
        <v>3</v>
      </c>
      <c r="E28" s="4">
        <v>8</v>
      </c>
      <c r="F28" s="31">
        <f t="shared" si="0"/>
        <v>240</v>
      </c>
      <c r="G28" s="67" t="str">
        <f t="shared" si="1"/>
        <v>NORMAL</v>
      </c>
      <c r="H28" s="482"/>
    </row>
    <row r="29" spans="1:17" ht="12" customHeight="1">
      <c r="A29" s="346">
        <v>11</v>
      </c>
      <c r="B29" s="364" t="s">
        <v>27</v>
      </c>
      <c r="C29" s="2">
        <v>10</v>
      </c>
      <c r="D29" s="3">
        <v>7</v>
      </c>
      <c r="E29" s="4">
        <v>7</v>
      </c>
      <c r="F29" s="33">
        <f t="shared" si="0"/>
        <v>490</v>
      </c>
      <c r="G29" s="67" t="str">
        <f t="shared" si="1"/>
        <v>CRITICO</v>
      </c>
      <c r="H29" s="484">
        <f>AVERAGE(F29:F31)</f>
        <v>490</v>
      </c>
    </row>
    <row r="30" spans="1:17" ht="12" customHeight="1">
      <c r="A30" s="346"/>
      <c r="B30" s="366"/>
      <c r="C30" s="2">
        <v>10</v>
      </c>
      <c r="D30" s="3">
        <v>7</v>
      </c>
      <c r="E30" s="4">
        <v>7</v>
      </c>
      <c r="F30" s="33">
        <f t="shared" si="0"/>
        <v>490</v>
      </c>
      <c r="G30" s="67" t="str">
        <f t="shared" si="1"/>
        <v>CRITICO</v>
      </c>
      <c r="H30" s="485"/>
    </row>
    <row r="31" spans="1:17" ht="12" customHeight="1" thickBot="1">
      <c r="A31" s="346"/>
      <c r="B31" s="365"/>
      <c r="C31" s="2">
        <v>10</v>
      </c>
      <c r="D31" s="3">
        <v>7</v>
      </c>
      <c r="E31" s="4">
        <v>7</v>
      </c>
      <c r="F31" s="33">
        <f t="shared" si="0"/>
        <v>490</v>
      </c>
      <c r="G31" s="67" t="str">
        <f t="shared" si="1"/>
        <v>CRITICO</v>
      </c>
      <c r="H31" s="486"/>
    </row>
    <row r="32" spans="1:17" ht="12" customHeight="1" thickBot="1">
      <c r="A32" s="65">
        <v>12</v>
      </c>
      <c r="B32" s="55" t="s">
        <v>52</v>
      </c>
      <c r="C32" s="2">
        <v>9</v>
      </c>
      <c r="D32" s="3">
        <v>1</v>
      </c>
      <c r="E32" s="4">
        <v>7</v>
      </c>
      <c r="F32" s="31">
        <f t="shared" si="0"/>
        <v>63</v>
      </c>
      <c r="G32" s="67" t="str">
        <f t="shared" si="1"/>
        <v>POCO IMPORTANTE</v>
      </c>
      <c r="H32" s="287">
        <f t="shared" ref="H32:H43" si="3">F32</f>
        <v>63</v>
      </c>
    </row>
    <row r="33" spans="1:8" ht="12" customHeight="1" thickBot="1">
      <c r="A33" s="65">
        <v>13</v>
      </c>
      <c r="B33" s="13" t="s">
        <v>46</v>
      </c>
      <c r="C33" s="2">
        <v>10</v>
      </c>
      <c r="D33" s="3">
        <v>7</v>
      </c>
      <c r="E33" s="4">
        <v>5</v>
      </c>
      <c r="F33" s="31">
        <f t="shared" si="0"/>
        <v>350</v>
      </c>
      <c r="G33" s="67" t="str">
        <f t="shared" si="1"/>
        <v>CRITICO</v>
      </c>
      <c r="H33" s="287">
        <f t="shared" si="3"/>
        <v>350</v>
      </c>
    </row>
    <row r="34" spans="1:8" ht="12" customHeight="1" thickBot="1">
      <c r="A34" s="65">
        <v>14</v>
      </c>
      <c r="B34" s="57" t="s">
        <v>47</v>
      </c>
      <c r="C34" s="17">
        <v>3</v>
      </c>
      <c r="D34" s="18">
        <v>1</v>
      </c>
      <c r="E34" s="19">
        <v>7</v>
      </c>
      <c r="F34" s="34">
        <f t="shared" si="0"/>
        <v>21</v>
      </c>
      <c r="G34" s="67" t="str">
        <f t="shared" si="1"/>
        <v>POCO IMPORTANTE</v>
      </c>
      <c r="H34" s="287">
        <f t="shared" si="3"/>
        <v>21</v>
      </c>
    </row>
    <row r="35" spans="1:8" ht="12" customHeight="1" thickBot="1">
      <c r="A35" s="65">
        <v>15</v>
      </c>
      <c r="B35" s="13" t="s">
        <v>33</v>
      </c>
      <c r="C35" s="5">
        <v>5</v>
      </c>
      <c r="D35" s="6">
        <v>1</v>
      </c>
      <c r="E35" s="7">
        <v>2</v>
      </c>
      <c r="F35" s="32">
        <f t="shared" si="0"/>
        <v>10</v>
      </c>
      <c r="G35" s="67" t="str">
        <f t="shared" si="1"/>
        <v>POCO IMPORTANTE</v>
      </c>
      <c r="H35" s="287">
        <f t="shared" si="3"/>
        <v>10</v>
      </c>
    </row>
    <row r="36" spans="1:8" ht="12" customHeight="1" thickBot="1">
      <c r="A36" s="65">
        <v>16</v>
      </c>
      <c r="B36" s="13" t="s">
        <v>34</v>
      </c>
      <c r="C36" s="2">
        <v>5</v>
      </c>
      <c r="D36" s="3">
        <v>1</v>
      </c>
      <c r="E36" s="4">
        <v>2</v>
      </c>
      <c r="F36" s="31">
        <f t="shared" si="0"/>
        <v>10</v>
      </c>
      <c r="G36" s="67" t="str">
        <f t="shared" si="1"/>
        <v>POCO IMPORTANTE</v>
      </c>
      <c r="H36" s="287">
        <f t="shared" si="3"/>
        <v>10</v>
      </c>
    </row>
    <row r="37" spans="1:8" ht="12" customHeight="1" thickBot="1">
      <c r="A37" s="65">
        <v>17</v>
      </c>
      <c r="B37" s="56" t="s">
        <v>53</v>
      </c>
      <c r="C37" s="2">
        <v>5</v>
      </c>
      <c r="D37" s="3">
        <v>1</v>
      </c>
      <c r="E37" s="4">
        <v>2</v>
      </c>
      <c r="F37" s="31">
        <f t="shared" si="0"/>
        <v>10</v>
      </c>
      <c r="G37" s="67" t="str">
        <f t="shared" si="1"/>
        <v>POCO IMPORTANTE</v>
      </c>
      <c r="H37" s="287">
        <f t="shared" si="3"/>
        <v>10</v>
      </c>
    </row>
    <row r="38" spans="1:8" ht="12" customHeight="1" thickBot="1">
      <c r="A38" s="65">
        <v>18</v>
      </c>
      <c r="B38" s="13" t="s">
        <v>35</v>
      </c>
      <c r="C38" s="2">
        <v>5</v>
      </c>
      <c r="D38" s="3">
        <v>1</v>
      </c>
      <c r="E38" s="4">
        <v>2</v>
      </c>
      <c r="F38" s="31">
        <f t="shared" si="0"/>
        <v>10</v>
      </c>
      <c r="G38" s="67" t="str">
        <f t="shared" si="1"/>
        <v>POCO IMPORTANTE</v>
      </c>
      <c r="H38" s="287">
        <f t="shared" si="3"/>
        <v>10</v>
      </c>
    </row>
    <row r="39" spans="1:8" ht="12" customHeight="1" thickBot="1">
      <c r="A39" s="65">
        <v>19</v>
      </c>
      <c r="B39" s="56" t="s">
        <v>36</v>
      </c>
      <c r="C39" s="2">
        <v>5</v>
      </c>
      <c r="D39" s="3">
        <v>1</v>
      </c>
      <c r="E39" s="4">
        <v>2</v>
      </c>
      <c r="F39" s="31">
        <f t="shared" si="0"/>
        <v>10</v>
      </c>
      <c r="G39" s="67" t="str">
        <f t="shared" si="1"/>
        <v>POCO IMPORTANTE</v>
      </c>
      <c r="H39" s="287">
        <f t="shared" si="3"/>
        <v>10</v>
      </c>
    </row>
    <row r="40" spans="1:8" ht="12" customHeight="1" thickBot="1">
      <c r="A40" s="65">
        <v>20</v>
      </c>
      <c r="B40" s="13" t="s">
        <v>54</v>
      </c>
      <c r="C40" s="2">
        <v>5</v>
      </c>
      <c r="D40" s="3">
        <v>1</v>
      </c>
      <c r="E40" s="4">
        <v>2</v>
      </c>
      <c r="F40" s="31">
        <f t="shared" si="0"/>
        <v>10</v>
      </c>
      <c r="G40" s="67" t="str">
        <f t="shared" si="1"/>
        <v>POCO IMPORTANTE</v>
      </c>
      <c r="H40" s="287">
        <f t="shared" si="3"/>
        <v>10</v>
      </c>
    </row>
    <row r="41" spans="1:8" ht="12" customHeight="1" thickBot="1">
      <c r="A41" s="65">
        <v>21</v>
      </c>
      <c r="B41" s="13" t="s">
        <v>37</v>
      </c>
      <c r="C41" s="2">
        <v>5</v>
      </c>
      <c r="D41" s="3">
        <v>1</v>
      </c>
      <c r="E41" s="4">
        <v>2</v>
      </c>
      <c r="F41" s="31">
        <f t="shared" si="0"/>
        <v>10</v>
      </c>
      <c r="G41" s="67" t="str">
        <f t="shared" si="1"/>
        <v>POCO IMPORTANTE</v>
      </c>
      <c r="H41" s="287">
        <f t="shared" si="3"/>
        <v>10</v>
      </c>
    </row>
    <row r="42" spans="1:8" ht="12" customHeight="1" thickBot="1">
      <c r="A42" s="65">
        <v>22</v>
      </c>
      <c r="B42" s="56" t="s">
        <v>38</v>
      </c>
      <c r="C42" s="2">
        <v>5</v>
      </c>
      <c r="D42" s="3">
        <v>1</v>
      </c>
      <c r="E42" s="4">
        <v>2</v>
      </c>
      <c r="F42" s="31">
        <f t="shared" si="0"/>
        <v>10</v>
      </c>
      <c r="G42" s="67" t="str">
        <f t="shared" si="1"/>
        <v>POCO IMPORTANTE</v>
      </c>
      <c r="H42" s="287">
        <f t="shared" si="3"/>
        <v>10</v>
      </c>
    </row>
    <row r="43" spans="1:8" ht="12" customHeight="1" thickBot="1">
      <c r="A43" s="65">
        <v>23</v>
      </c>
      <c r="B43" s="13" t="s">
        <v>39</v>
      </c>
      <c r="C43" s="2">
        <v>5</v>
      </c>
      <c r="D43" s="3">
        <v>1</v>
      </c>
      <c r="E43" s="4">
        <v>2</v>
      </c>
      <c r="F43" s="31">
        <f t="shared" si="0"/>
        <v>10</v>
      </c>
      <c r="G43" s="67" t="str">
        <f t="shared" si="1"/>
        <v>POCO IMPORTANTE</v>
      </c>
      <c r="H43" s="287">
        <f t="shared" si="3"/>
        <v>10</v>
      </c>
    </row>
    <row r="44" spans="1:8" ht="12" customHeight="1">
      <c r="A44" s="346">
        <v>24</v>
      </c>
      <c r="B44" s="364" t="s">
        <v>40</v>
      </c>
      <c r="C44" s="2">
        <v>5</v>
      </c>
      <c r="D44" s="3">
        <v>1</v>
      </c>
      <c r="E44" s="4">
        <v>3</v>
      </c>
      <c r="F44" s="31">
        <f t="shared" si="0"/>
        <v>15</v>
      </c>
      <c r="G44" s="67" t="str">
        <f t="shared" si="1"/>
        <v>POCO IMPORTANTE</v>
      </c>
      <c r="H44" s="481">
        <f>AVERAGE(F44:F45)</f>
        <v>15</v>
      </c>
    </row>
    <row r="45" spans="1:8" ht="12" customHeight="1" thickBot="1">
      <c r="A45" s="346"/>
      <c r="B45" s="365"/>
      <c r="C45" s="2">
        <v>5</v>
      </c>
      <c r="D45" s="3">
        <v>1</v>
      </c>
      <c r="E45" s="4">
        <v>3</v>
      </c>
      <c r="F45" s="31">
        <f t="shared" si="0"/>
        <v>15</v>
      </c>
      <c r="G45" s="67" t="str">
        <f t="shared" si="1"/>
        <v>POCO IMPORTANTE</v>
      </c>
      <c r="H45" s="482"/>
    </row>
    <row r="46" spans="1:8" ht="12" customHeight="1">
      <c r="A46" s="346">
        <v>25</v>
      </c>
      <c r="B46" s="364" t="s">
        <v>41</v>
      </c>
      <c r="C46" s="2">
        <v>5</v>
      </c>
      <c r="D46" s="3">
        <v>1</v>
      </c>
      <c r="E46" s="4">
        <v>3</v>
      </c>
      <c r="F46" s="31">
        <f t="shared" si="0"/>
        <v>15</v>
      </c>
      <c r="G46" s="67" t="str">
        <f t="shared" si="1"/>
        <v>POCO IMPORTANTE</v>
      </c>
      <c r="H46" s="481">
        <f>AVERAGE(F46:F47)</f>
        <v>15</v>
      </c>
    </row>
    <row r="47" spans="1:8" ht="12" customHeight="1" thickBot="1">
      <c r="A47" s="346"/>
      <c r="B47" s="365"/>
      <c r="C47" s="2">
        <v>5</v>
      </c>
      <c r="D47" s="3">
        <v>1</v>
      </c>
      <c r="E47" s="4">
        <v>3</v>
      </c>
      <c r="F47" s="31">
        <f t="shared" si="0"/>
        <v>15</v>
      </c>
      <c r="G47" s="67" t="str">
        <f t="shared" si="1"/>
        <v>POCO IMPORTANTE</v>
      </c>
      <c r="H47" s="482"/>
    </row>
    <row r="48" spans="1:8" ht="12" customHeight="1">
      <c r="A48" s="346">
        <v>26</v>
      </c>
      <c r="B48" s="364" t="s">
        <v>42</v>
      </c>
      <c r="C48" s="2">
        <v>10</v>
      </c>
      <c r="D48" s="3">
        <v>2</v>
      </c>
      <c r="E48" s="4">
        <v>7</v>
      </c>
      <c r="F48" s="31">
        <f t="shared" si="0"/>
        <v>140</v>
      </c>
      <c r="G48" s="67" t="str">
        <f t="shared" si="1"/>
        <v>NORMAL</v>
      </c>
      <c r="H48" s="481">
        <f>AVERAGE(F48:F49)</f>
        <v>140</v>
      </c>
    </row>
    <row r="49" spans="1:8" ht="12" customHeight="1" thickBot="1">
      <c r="A49" s="346"/>
      <c r="B49" s="365"/>
      <c r="C49" s="17">
        <v>10</v>
      </c>
      <c r="D49" s="18">
        <v>2</v>
      </c>
      <c r="E49" s="19">
        <v>7</v>
      </c>
      <c r="F49" s="34">
        <f t="shared" si="0"/>
        <v>140</v>
      </c>
      <c r="G49" s="67" t="str">
        <f t="shared" si="1"/>
        <v>NORMAL</v>
      </c>
      <c r="H49" s="482"/>
    </row>
    <row r="50" spans="1:8" ht="12" customHeight="1">
      <c r="A50" s="346">
        <v>27</v>
      </c>
      <c r="B50" s="364" t="s">
        <v>43</v>
      </c>
      <c r="C50" s="5">
        <v>5</v>
      </c>
      <c r="D50" s="6">
        <v>1</v>
      </c>
      <c r="E50" s="7">
        <v>2</v>
      </c>
      <c r="F50" s="32">
        <f t="shared" si="0"/>
        <v>10</v>
      </c>
      <c r="G50" s="67" t="str">
        <f t="shared" si="1"/>
        <v>POCO IMPORTANTE</v>
      </c>
      <c r="H50" s="481">
        <f>AVERAGE(F50:F51)</f>
        <v>10</v>
      </c>
    </row>
    <row r="51" spans="1:8" ht="12" customHeight="1" thickBot="1">
      <c r="A51" s="346"/>
      <c r="B51" s="365"/>
      <c r="C51" s="2">
        <v>5</v>
      </c>
      <c r="D51" s="3">
        <v>1</v>
      </c>
      <c r="E51" s="4">
        <v>2</v>
      </c>
      <c r="F51" s="31">
        <f t="shared" si="0"/>
        <v>10</v>
      </c>
      <c r="G51" s="67" t="str">
        <f t="shared" si="1"/>
        <v>POCO IMPORTANTE</v>
      </c>
      <c r="H51" s="482"/>
    </row>
    <row r="52" spans="1:8" ht="12" customHeight="1">
      <c r="A52" s="346">
        <v>28</v>
      </c>
      <c r="B52" s="364" t="s">
        <v>49</v>
      </c>
      <c r="C52" s="2">
        <v>5</v>
      </c>
      <c r="D52" s="3">
        <v>1</v>
      </c>
      <c r="E52" s="4">
        <v>3</v>
      </c>
      <c r="F52" s="31">
        <f t="shared" si="0"/>
        <v>15</v>
      </c>
      <c r="G52" s="67" t="str">
        <f t="shared" si="1"/>
        <v>POCO IMPORTANTE</v>
      </c>
      <c r="H52" s="481">
        <f>AVERAGE(F52:F53)</f>
        <v>15</v>
      </c>
    </row>
    <row r="53" spans="1:8" ht="12" customHeight="1" thickBot="1">
      <c r="A53" s="346"/>
      <c r="B53" s="365"/>
      <c r="C53" s="2">
        <v>5</v>
      </c>
      <c r="D53" s="3">
        <v>1</v>
      </c>
      <c r="E53" s="4">
        <v>3</v>
      </c>
      <c r="F53" s="31">
        <f t="shared" si="0"/>
        <v>15</v>
      </c>
      <c r="G53" s="67" t="str">
        <f t="shared" si="1"/>
        <v>POCO IMPORTANTE</v>
      </c>
      <c r="H53" s="482"/>
    </row>
    <row r="54" spans="1:8" ht="12" customHeight="1">
      <c r="A54" s="346">
        <v>29</v>
      </c>
      <c r="B54" s="364" t="s">
        <v>44</v>
      </c>
      <c r="C54" s="2">
        <v>5</v>
      </c>
      <c r="D54" s="3">
        <v>7</v>
      </c>
      <c r="E54" s="4">
        <v>1</v>
      </c>
      <c r="F54" s="31">
        <f t="shared" si="0"/>
        <v>35</v>
      </c>
      <c r="G54" s="67" t="str">
        <f t="shared" si="1"/>
        <v>POCO IMPORTANTE</v>
      </c>
      <c r="H54" s="481">
        <f>AVERAGE(F54:F55)</f>
        <v>35</v>
      </c>
    </row>
    <row r="55" spans="1:8" ht="12" customHeight="1" thickBot="1">
      <c r="A55" s="346"/>
      <c r="B55" s="365"/>
      <c r="C55" s="2">
        <v>5</v>
      </c>
      <c r="D55" s="3">
        <v>7</v>
      </c>
      <c r="E55" s="4">
        <v>1</v>
      </c>
      <c r="F55" s="31">
        <f t="shared" si="0"/>
        <v>35</v>
      </c>
      <c r="G55" s="67" t="str">
        <f t="shared" si="1"/>
        <v>POCO IMPORTANTE</v>
      </c>
      <c r="H55" s="482"/>
    </row>
    <row r="56" spans="1:8" ht="12" customHeight="1">
      <c r="A56" s="346">
        <v>30</v>
      </c>
      <c r="B56" s="364" t="s">
        <v>45</v>
      </c>
      <c r="C56" s="2">
        <v>5</v>
      </c>
      <c r="D56" s="3">
        <v>2</v>
      </c>
      <c r="E56" s="4">
        <v>2</v>
      </c>
      <c r="F56" s="31">
        <f t="shared" si="0"/>
        <v>20</v>
      </c>
      <c r="G56" s="67" t="str">
        <f t="shared" si="1"/>
        <v>POCO IMPORTANTE</v>
      </c>
      <c r="H56" s="481">
        <f>AVERAGE(F56:F57)</f>
        <v>20</v>
      </c>
    </row>
    <row r="57" spans="1:8" ht="12" customHeight="1" thickBot="1">
      <c r="A57" s="346"/>
      <c r="B57" s="365"/>
      <c r="C57" s="2">
        <v>5</v>
      </c>
      <c r="D57" s="3">
        <v>2</v>
      </c>
      <c r="E57" s="4">
        <v>2</v>
      </c>
      <c r="F57" s="31">
        <f t="shared" si="0"/>
        <v>20</v>
      </c>
      <c r="G57" s="67" t="str">
        <f t="shared" si="1"/>
        <v>POCO IMPORTANTE</v>
      </c>
      <c r="H57" s="482"/>
    </row>
    <row r="58" spans="1:8" ht="12" customHeight="1">
      <c r="A58" s="346">
        <v>31</v>
      </c>
      <c r="B58" s="364" t="s">
        <v>48</v>
      </c>
      <c r="C58" s="2">
        <v>5</v>
      </c>
      <c r="D58" s="3">
        <v>7</v>
      </c>
      <c r="E58" s="4">
        <v>1</v>
      </c>
      <c r="F58" s="31">
        <f t="shared" si="0"/>
        <v>35</v>
      </c>
      <c r="G58" s="67" t="str">
        <f t="shared" si="1"/>
        <v>POCO IMPORTANTE</v>
      </c>
      <c r="H58" s="481">
        <f>AVERAGE(F58:F59)</f>
        <v>35</v>
      </c>
    </row>
    <row r="59" spans="1:8" ht="12" customHeight="1" thickBot="1">
      <c r="A59" s="346"/>
      <c r="B59" s="365"/>
      <c r="C59" s="17">
        <v>5</v>
      </c>
      <c r="D59" s="18">
        <v>7</v>
      </c>
      <c r="E59" s="19">
        <v>1</v>
      </c>
      <c r="F59" s="34">
        <f t="shared" si="0"/>
        <v>35</v>
      </c>
      <c r="G59" s="67" t="str">
        <f t="shared" si="1"/>
        <v>POCO IMPORTANTE</v>
      </c>
      <c r="H59" s="482"/>
    </row>
  </sheetData>
  <mergeCells count="63">
    <mergeCell ref="A4:A7"/>
    <mergeCell ref="B4:B7"/>
    <mergeCell ref="A1:B3"/>
    <mergeCell ref="A13:A15"/>
    <mergeCell ref="B13:B15"/>
    <mergeCell ref="A10:A12"/>
    <mergeCell ref="B10:B12"/>
    <mergeCell ref="A8:A9"/>
    <mergeCell ref="B8:B9"/>
    <mergeCell ref="A21:A22"/>
    <mergeCell ref="B21:B22"/>
    <mergeCell ref="A19:A20"/>
    <mergeCell ref="B19:B20"/>
    <mergeCell ref="A16:A18"/>
    <mergeCell ref="B16:B18"/>
    <mergeCell ref="A27:A28"/>
    <mergeCell ref="B27:B28"/>
    <mergeCell ref="A25:A26"/>
    <mergeCell ref="B25:B26"/>
    <mergeCell ref="A23:A24"/>
    <mergeCell ref="B23:B24"/>
    <mergeCell ref="A46:A47"/>
    <mergeCell ref="B46:B47"/>
    <mergeCell ref="A44:A45"/>
    <mergeCell ref="B44:B45"/>
    <mergeCell ref="A29:A31"/>
    <mergeCell ref="B29:B31"/>
    <mergeCell ref="H58:H59"/>
    <mergeCell ref="H21:H22"/>
    <mergeCell ref="G1:G3"/>
    <mergeCell ref="H4:H7"/>
    <mergeCell ref="A58:A59"/>
    <mergeCell ref="B58:B59"/>
    <mergeCell ref="A56:A57"/>
    <mergeCell ref="B56:B57"/>
    <mergeCell ref="A54:A55"/>
    <mergeCell ref="B54:B55"/>
    <mergeCell ref="A52:A53"/>
    <mergeCell ref="B52:B53"/>
    <mergeCell ref="A50:A51"/>
    <mergeCell ref="B50:B51"/>
    <mergeCell ref="A48:A49"/>
    <mergeCell ref="B48:B49"/>
    <mergeCell ref="H19:H20"/>
    <mergeCell ref="H50:H51"/>
    <mergeCell ref="H52:H53"/>
    <mergeCell ref="H54:H55"/>
    <mergeCell ref="H56:H57"/>
    <mergeCell ref="H48:H49"/>
    <mergeCell ref="H23:H24"/>
    <mergeCell ref="H25:H26"/>
    <mergeCell ref="H27:H28"/>
    <mergeCell ref="H29:H31"/>
    <mergeCell ref="H44:H45"/>
    <mergeCell ref="H46:H47"/>
    <mergeCell ref="H16:H18"/>
    <mergeCell ref="C1:C3"/>
    <mergeCell ref="D1:D3"/>
    <mergeCell ref="E1:E3"/>
    <mergeCell ref="F1:F3"/>
    <mergeCell ref="H8:H9"/>
    <mergeCell ref="H10:H12"/>
    <mergeCell ref="H13:H15"/>
  </mergeCells>
  <conditionalFormatting sqref="F4:F59">
    <cfRule type="cellIs" dxfId="2" priority="1" stopIfTrue="1" operator="lessThan">
      <formula>75</formula>
    </cfRule>
    <cfRule type="cellIs" dxfId="1" priority="2" stopIfTrue="1" operator="between">
      <formula>75</formula>
      <formula>200</formula>
    </cfRule>
    <cfRule type="cellIs" dxfId="0" priority="3" stopIfTrue="1" operator="greaterThan">
      <formula>200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F13B-7797-4C51-A89D-9CE0BA69982B}">
  <sheetPr>
    <pageSetUpPr fitToPage="1"/>
  </sheetPr>
  <dimension ref="A1:K57"/>
  <sheetViews>
    <sheetView zoomScale="60" zoomScaleNormal="60" workbookViewId="0">
      <selection activeCell="D13" sqref="D13"/>
    </sheetView>
  </sheetViews>
  <sheetFormatPr baseColWidth="10" defaultColWidth="11.5546875" defaultRowHeight="13.2"/>
  <cols>
    <col min="1" max="1" width="11" style="1" bestFit="1" customWidth="1"/>
    <col min="2" max="2" width="58.6640625" style="1" bestFit="1" customWidth="1"/>
    <col min="3" max="3" width="40.44140625" style="1" bestFit="1" customWidth="1"/>
    <col min="4" max="4" width="42.33203125" style="328" bestFit="1" customWidth="1"/>
    <col min="5" max="5" width="5.5546875" style="1" hidden="1" customWidth="1"/>
    <col min="6" max="6" width="8.21875" style="1" hidden="1" customWidth="1"/>
    <col min="7" max="7" width="8.6640625" style="1" hidden="1" customWidth="1"/>
    <col min="8" max="8" width="8.33203125" style="1" hidden="1" customWidth="1"/>
    <col min="9" max="9" width="26.109375" style="1" customWidth="1"/>
    <col min="10" max="10" width="24.44140625" style="1" customWidth="1"/>
    <col min="11" max="11" width="77.109375" style="1" bestFit="1" customWidth="1"/>
    <col min="12" max="16384" width="11.5546875" style="1"/>
  </cols>
  <sheetData>
    <row r="1" spans="1:11" ht="51.6" customHeight="1">
      <c r="A1" s="72" t="s">
        <v>263</v>
      </c>
      <c r="B1" s="72" t="s">
        <v>18</v>
      </c>
      <c r="C1" s="500" t="s">
        <v>6</v>
      </c>
      <c r="D1" s="500"/>
      <c r="E1" s="73" t="s">
        <v>8</v>
      </c>
      <c r="F1" s="73"/>
      <c r="G1" s="73"/>
      <c r="H1" s="74" t="s">
        <v>16</v>
      </c>
      <c r="I1" s="75" t="s">
        <v>262</v>
      </c>
      <c r="J1" s="75" t="s">
        <v>200</v>
      </c>
      <c r="K1" s="75" t="s">
        <v>259</v>
      </c>
    </row>
    <row r="2" spans="1:11" ht="15" customHeight="1">
      <c r="A2" s="346">
        <v>1</v>
      </c>
      <c r="B2" s="498" t="s">
        <v>28</v>
      </c>
      <c r="C2" s="497" t="s">
        <v>130</v>
      </c>
      <c r="D2" s="326" t="s">
        <v>140</v>
      </c>
      <c r="E2" s="3">
        <v>9</v>
      </c>
      <c r="F2" s="3">
        <v>1</v>
      </c>
      <c r="G2" s="3">
        <v>1</v>
      </c>
      <c r="H2" s="86">
        <f t="shared" ref="H2:H57" si="0">G2*F2*E2</f>
        <v>9</v>
      </c>
      <c r="I2" s="71" t="str">
        <f>IF(H2&lt;75,"POCO IMPORTANTE",IF(AND(75&lt;H2,H2&lt;300),"NORMAL","CRITICO"))</f>
        <v>POCO IMPORTANTE</v>
      </c>
      <c r="J2" s="347" t="s">
        <v>254</v>
      </c>
      <c r="K2" s="347" t="s">
        <v>345</v>
      </c>
    </row>
    <row r="3" spans="1:11" ht="15" customHeight="1">
      <c r="A3" s="346"/>
      <c r="B3" s="498"/>
      <c r="C3" s="497"/>
      <c r="D3" s="326" t="s">
        <v>247</v>
      </c>
      <c r="E3" s="3">
        <v>9</v>
      </c>
      <c r="F3" s="3">
        <v>1</v>
      </c>
      <c r="G3" s="3">
        <v>1</v>
      </c>
      <c r="H3" s="86">
        <f t="shared" si="0"/>
        <v>9</v>
      </c>
      <c r="I3" s="71" t="str">
        <f t="shared" ref="I3:I57" si="1">IF(H3&lt;75,"POCO IMPORTANTE",IF(AND(75&lt;H3,H3&lt;300),"NORMAL","CRITICO"))</f>
        <v>POCO IMPORTANTE</v>
      </c>
      <c r="J3" s="347"/>
      <c r="K3" s="347"/>
    </row>
    <row r="4" spans="1:11" ht="15" customHeight="1">
      <c r="A4" s="346"/>
      <c r="B4" s="498"/>
      <c r="C4" s="497"/>
      <c r="D4" s="326" t="s">
        <v>248</v>
      </c>
      <c r="E4" s="3">
        <v>9</v>
      </c>
      <c r="F4" s="3">
        <v>1</v>
      </c>
      <c r="G4" s="3">
        <v>1</v>
      </c>
      <c r="H4" s="86">
        <f t="shared" si="0"/>
        <v>9</v>
      </c>
      <c r="I4" s="71" t="str">
        <f t="shared" si="1"/>
        <v>POCO IMPORTANTE</v>
      </c>
      <c r="J4" s="347"/>
      <c r="K4" s="347"/>
    </row>
    <row r="5" spans="1:11" ht="15" customHeight="1">
      <c r="A5" s="346"/>
      <c r="B5" s="498"/>
      <c r="C5" s="497"/>
      <c r="D5" s="326" t="s">
        <v>246</v>
      </c>
      <c r="E5" s="3">
        <v>9</v>
      </c>
      <c r="F5" s="3">
        <v>1</v>
      </c>
      <c r="G5" s="3">
        <v>1</v>
      </c>
      <c r="H5" s="86">
        <f t="shared" si="0"/>
        <v>9</v>
      </c>
      <c r="I5" s="71" t="str">
        <f t="shared" si="1"/>
        <v>POCO IMPORTANTE</v>
      </c>
      <c r="J5" s="347"/>
      <c r="K5" s="347"/>
    </row>
    <row r="6" spans="1:11" ht="15" customHeight="1">
      <c r="A6" s="346">
        <v>2</v>
      </c>
      <c r="B6" s="498" t="s">
        <v>20</v>
      </c>
      <c r="C6" s="497"/>
      <c r="D6" s="326" t="s">
        <v>245</v>
      </c>
      <c r="E6" s="3">
        <v>7</v>
      </c>
      <c r="F6" s="3">
        <v>4</v>
      </c>
      <c r="G6" s="3">
        <v>2</v>
      </c>
      <c r="H6" s="86">
        <f t="shared" si="0"/>
        <v>56</v>
      </c>
      <c r="I6" s="71" t="str">
        <f t="shared" si="1"/>
        <v>POCO IMPORTANTE</v>
      </c>
      <c r="J6" s="35" t="s">
        <v>202</v>
      </c>
      <c r="K6" s="35" t="s">
        <v>340</v>
      </c>
    </row>
    <row r="7" spans="1:11" ht="15" customHeight="1">
      <c r="A7" s="346"/>
      <c r="B7" s="498"/>
      <c r="C7" s="497"/>
      <c r="D7" s="326" t="s">
        <v>199</v>
      </c>
      <c r="E7" s="3">
        <v>7</v>
      </c>
      <c r="F7" s="3">
        <v>4</v>
      </c>
      <c r="G7" s="3">
        <v>2</v>
      </c>
      <c r="H7" s="86">
        <f t="shared" si="0"/>
        <v>56</v>
      </c>
      <c r="I7" s="71" t="str">
        <f t="shared" si="1"/>
        <v>POCO IMPORTANTE</v>
      </c>
      <c r="J7" s="35" t="s">
        <v>254</v>
      </c>
      <c r="K7" s="35" t="s">
        <v>299</v>
      </c>
    </row>
    <row r="8" spans="1:11" ht="15" customHeight="1">
      <c r="A8" s="346">
        <v>3</v>
      </c>
      <c r="B8" s="498" t="s">
        <v>50</v>
      </c>
      <c r="C8" s="499" t="s">
        <v>65</v>
      </c>
      <c r="D8" s="327" t="s">
        <v>250</v>
      </c>
      <c r="E8" s="3">
        <v>10</v>
      </c>
      <c r="F8" s="3">
        <v>2</v>
      </c>
      <c r="G8" s="3">
        <v>1</v>
      </c>
      <c r="H8" s="86">
        <f t="shared" si="0"/>
        <v>20</v>
      </c>
      <c r="I8" s="71" t="str">
        <f t="shared" si="1"/>
        <v>POCO IMPORTANTE</v>
      </c>
      <c r="J8" s="203" t="s">
        <v>202</v>
      </c>
      <c r="K8" s="203" t="s">
        <v>393</v>
      </c>
    </row>
    <row r="9" spans="1:11" ht="15" customHeight="1">
      <c r="A9" s="346"/>
      <c r="B9" s="498"/>
      <c r="C9" s="499"/>
      <c r="D9" s="327" t="s">
        <v>158</v>
      </c>
      <c r="E9" s="3">
        <v>10</v>
      </c>
      <c r="F9" s="3">
        <v>2</v>
      </c>
      <c r="G9" s="3">
        <v>1</v>
      </c>
      <c r="H9" s="86">
        <f t="shared" si="0"/>
        <v>20</v>
      </c>
      <c r="I9" s="71" t="str">
        <f t="shared" si="1"/>
        <v>POCO IMPORTANTE</v>
      </c>
      <c r="J9" s="203" t="s">
        <v>202</v>
      </c>
      <c r="K9" s="203" t="s">
        <v>327</v>
      </c>
    </row>
    <row r="10" spans="1:11" ht="15" customHeight="1">
      <c r="A10" s="346"/>
      <c r="B10" s="498"/>
      <c r="C10" s="497"/>
      <c r="D10" s="326" t="s">
        <v>249</v>
      </c>
      <c r="E10" s="3">
        <v>10</v>
      </c>
      <c r="F10" s="3">
        <v>2</v>
      </c>
      <c r="G10" s="3">
        <v>1</v>
      </c>
      <c r="H10" s="86">
        <f t="shared" si="0"/>
        <v>20</v>
      </c>
      <c r="I10" s="71" t="str">
        <f t="shared" si="1"/>
        <v>POCO IMPORTANTE</v>
      </c>
      <c r="J10" s="35" t="s">
        <v>202</v>
      </c>
      <c r="K10" s="35" t="s">
        <v>329</v>
      </c>
    </row>
    <row r="11" spans="1:11" ht="15" customHeight="1">
      <c r="A11" s="346">
        <v>4</v>
      </c>
      <c r="B11" s="498" t="s">
        <v>51</v>
      </c>
      <c r="C11" s="497" t="s">
        <v>138</v>
      </c>
      <c r="D11" s="326" t="s">
        <v>140</v>
      </c>
      <c r="E11" s="3">
        <v>2</v>
      </c>
      <c r="F11" s="3">
        <v>1</v>
      </c>
      <c r="G11" s="3">
        <v>1</v>
      </c>
      <c r="H11" s="86">
        <f t="shared" si="0"/>
        <v>2</v>
      </c>
      <c r="I11" s="71" t="str">
        <f t="shared" si="1"/>
        <v>POCO IMPORTANTE</v>
      </c>
      <c r="J11" s="347" t="s">
        <v>202</v>
      </c>
      <c r="K11" s="347" t="s">
        <v>324</v>
      </c>
    </row>
    <row r="12" spans="1:11" ht="15" customHeight="1">
      <c r="A12" s="346"/>
      <c r="B12" s="498"/>
      <c r="C12" s="497"/>
      <c r="D12" s="326" t="s">
        <v>139</v>
      </c>
      <c r="E12" s="3">
        <v>2</v>
      </c>
      <c r="F12" s="3">
        <v>1</v>
      </c>
      <c r="G12" s="3">
        <v>1</v>
      </c>
      <c r="H12" s="86">
        <f t="shared" si="0"/>
        <v>2</v>
      </c>
      <c r="I12" s="71" t="str">
        <f t="shared" si="1"/>
        <v>POCO IMPORTANTE</v>
      </c>
      <c r="J12" s="347"/>
      <c r="K12" s="347"/>
    </row>
    <row r="13" spans="1:11" ht="15" customHeight="1">
      <c r="A13" s="346"/>
      <c r="B13" s="498"/>
      <c r="C13" s="497"/>
      <c r="D13" s="326" t="s">
        <v>134</v>
      </c>
      <c r="E13" s="3">
        <v>2</v>
      </c>
      <c r="F13" s="3">
        <v>1</v>
      </c>
      <c r="G13" s="3">
        <v>5</v>
      </c>
      <c r="H13" s="86">
        <f t="shared" si="0"/>
        <v>10</v>
      </c>
      <c r="I13" s="71" t="str">
        <f t="shared" si="1"/>
        <v>POCO IMPORTANTE</v>
      </c>
      <c r="J13" s="347"/>
      <c r="K13" s="347"/>
    </row>
    <row r="14" spans="1:11" ht="15" customHeight="1">
      <c r="A14" s="346">
        <v>5</v>
      </c>
      <c r="B14" s="498" t="s">
        <v>29</v>
      </c>
      <c r="C14" s="499" t="s">
        <v>58</v>
      </c>
      <c r="D14" s="327" t="s">
        <v>140</v>
      </c>
      <c r="E14" s="3">
        <v>7</v>
      </c>
      <c r="F14" s="3">
        <v>4</v>
      </c>
      <c r="G14" s="3">
        <v>2</v>
      </c>
      <c r="H14" s="86">
        <f t="shared" si="0"/>
        <v>56</v>
      </c>
      <c r="I14" s="71" t="str">
        <f t="shared" si="1"/>
        <v>POCO IMPORTANTE</v>
      </c>
      <c r="J14" s="203" t="s">
        <v>202</v>
      </c>
      <c r="K14" s="203" t="s">
        <v>285</v>
      </c>
    </row>
    <row r="15" spans="1:11" ht="15" customHeight="1">
      <c r="A15" s="346"/>
      <c r="B15" s="498"/>
      <c r="C15" s="497"/>
      <c r="D15" s="326" t="s">
        <v>144</v>
      </c>
      <c r="E15" s="3">
        <v>7</v>
      </c>
      <c r="F15" s="3">
        <v>4</v>
      </c>
      <c r="G15" s="3">
        <v>1</v>
      </c>
      <c r="H15" s="86">
        <f t="shared" si="0"/>
        <v>28</v>
      </c>
      <c r="I15" s="71" t="str">
        <f t="shared" si="1"/>
        <v>POCO IMPORTANTE</v>
      </c>
      <c r="J15" s="35" t="s">
        <v>202</v>
      </c>
      <c r="K15" s="35" t="s">
        <v>301</v>
      </c>
    </row>
    <row r="16" spans="1:11" ht="15" customHeight="1">
      <c r="A16" s="346"/>
      <c r="B16" s="498"/>
      <c r="C16" s="499"/>
      <c r="D16" s="327" t="s">
        <v>277</v>
      </c>
      <c r="E16" s="3">
        <v>7</v>
      </c>
      <c r="F16" s="3">
        <v>4</v>
      </c>
      <c r="G16" s="3">
        <v>2</v>
      </c>
      <c r="H16" s="86">
        <f t="shared" si="0"/>
        <v>56</v>
      </c>
      <c r="I16" s="71" t="str">
        <f t="shared" si="1"/>
        <v>POCO IMPORTANTE</v>
      </c>
      <c r="J16" s="203" t="s">
        <v>202</v>
      </c>
      <c r="K16" s="203" t="s">
        <v>278</v>
      </c>
    </row>
    <row r="17" spans="1:11" ht="15" customHeight="1">
      <c r="A17" s="346">
        <v>6</v>
      </c>
      <c r="B17" s="498" t="s">
        <v>30</v>
      </c>
      <c r="C17" s="497" t="s">
        <v>136</v>
      </c>
      <c r="D17" s="326" t="s">
        <v>140</v>
      </c>
      <c r="E17" s="3">
        <v>10</v>
      </c>
      <c r="F17" s="3">
        <v>4</v>
      </c>
      <c r="G17" s="3">
        <v>5</v>
      </c>
      <c r="H17" s="86">
        <f t="shared" si="0"/>
        <v>200</v>
      </c>
      <c r="I17" s="71" t="str">
        <f t="shared" si="1"/>
        <v>NORMAL</v>
      </c>
      <c r="J17" s="35" t="s">
        <v>202</v>
      </c>
      <c r="K17" s="35" t="s">
        <v>337</v>
      </c>
    </row>
    <row r="18" spans="1:11" ht="15" customHeight="1">
      <c r="A18" s="346"/>
      <c r="B18" s="498"/>
      <c r="C18" s="499"/>
      <c r="D18" s="327" t="s">
        <v>144</v>
      </c>
      <c r="E18" s="3">
        <v>10</v>
      </c>
      <c r="F18" s="3">
        <v>4</v>
      </c>
      <c r="G18" s="3">
        <v>5</v>
      </c>
      <c r="H18" s="86">
        <f t="shared" si="0"/>
        <v>200</v>
      </c>
      <c r="I18" s="71" t="str">
        <f t="shared" si="1"/>
        <v>NORMAL</v>
      </c>
      <c r="J18" s="203" t="s">
        <v>202</v>
      </c>
      <c r="K18" s="203" t="s">
        <v>400</v>
      </c>
    </row>
    <row r="19" spans="1:11" ht="15" customHeight="1">
      <c r="A19" s="346">
        <v>7</v>
      </c>
      <c r="B19" s="498" t="s">
        <v>25</v>
      </c>
      <c r="C19" s="497" t="s">
        <v>76</v>
      </c>
      <c r="D19" s="326" t="s">
        <v>140</v>
      </c>
      <c r="E19" s="3">
        <v>5</v>
      </c>
      <c r="F19" s="3">
        <v>1</v>
      </c>
      <c r="G19" s="3">
        <v>2</v>
      </c>
      <c r="H19" s="86">
        <f t="shared" si="0"/>
        <v>10</v>
      </c>
      <c r="I19" s="71" t="str">
        <f t="shared" si="1"/>
        <v>POCO IMPORTANTE</v>
      </c>
      <c r="J19" s="35" t="s">
        <v>202</v>
      </c>
      <c r="K19" s="347" t="s">
        <v>333</v>
      </c>
    </row>
    <row r="20" spans="1:11" ht="15" customHeight="1">
      <c r="A20" s="346"/>
      <c r="B20" s="498"/>
      <c r="C20" s="497"/>
      <c r="D20" s="326" t="s">
        <v>132</v>
      </c>
      <c r="E20" s="3">
        <v>5</v>
      </c>
      <c r="F20" s="3">
        <v>1</v>
      </c>
      <c r="G20" s="3">
        <v>2</v>
      </c>
      <c r="H20" s="86">
        <f t="shared" si="0"/>
        <v>10</v>
      </c>
      <c r="I20" s="71" t="str">
        <f t="shared" si="1"/>
        <v>POCO IMPORTANTE</v>
      </c>
      <c r="J20" s="35" t="s">
        <v>202</v>
      </c>
      <c r="K20" s="347"/>
    </row>
    <row r="21" spans="1:11" ht="15" customHeight="1">
      <c r="A21" s="346">
        <v>8</v>
      </c>
      <c r="B21" s="498" t="s">
        <v>31</v>
      </c>
      <c r="C21" s="497" t="s">
        <v>79</v>
      </c>
      <c r="D21" s="326" t="s">
        <v>140</v>
      </c>
      <c r="E21" s="3">
        <v>10</v>
      </c>
      <c r="F21" s="3">
        <v>1</v>
      </c>
      <c r="G21" s="3">
        <v>1</v>
      </c>
      <c r="H21" s="86">
        <f t="shared" si="0"/>
        <v>10</v>
      </c>
      <c r="I21" s="71" t="str">
        <f t="shared" si="1"/>
        <v>POCO IMPORTANTE</v>
      </c>
      <c r="J21" s="35" t="s">
        <v>202</v>
      </c>
      <c r="K21" s="347" t="s">
        <v>404</v>
      </c>
    </row>
    <row r="22" spans="1:11" ht="15" customHeight="1">
      <c r="A22" s="346"/>
      <c r="B22" s="498"/>
      <c r="C22" s="497"/>
      <c r="D22" s="326" t="s">
        <v>144</v>
      </c>
      <c r="E22" s="3">
        <v>10</v>
      </c>
      <c r="F22" s="3">
        <v>1</v>
      </c>
      <c r="G22" s="3">
        <v>1</v>
      </c>
      <c r="H22" s="86">
        <f t="shared" si="0"/>
        <v>10</v>
      </c>
      <c r="I22" s="71" t="str">
        <f t="shared" si="1"/>
        <v>POCO IMPORTANTE</v>
      </c>
      <c r="J22" s="35" t="s">
        <v>202</v>
      </c>
      <c r="K22" s="347"/>
    </row>
    <row r="23" spans="1:11" ht="15" customHeight="1">
      <c r="A23" s="346">
        <v>9</v>
      </c>
      <c r="B23" s="498" t="s">
        <v>32</v>
      </c>
      <c r="C23" s="497" t="s">
        <v>158</v>
      </c>
      <c r="D23" s="326" t="s">
        <v>140</v>
      </c>
      <c r="E23" s="3">
        <v>9</v>
      </c>
      <c r="F23" s="3">
        <v>1</v>
      </c>
      <c r="G23" s="3">
        <v>7</v>
      </c>
      <c r="H23" s="86">
        <f t="shared" si="0"/>
        <v>63</v>
      </c>
      <c r="I23" s="71" t="str">
        <f t="shared" si="1"/>
        <v>POCO IMPORTANTE</v>
      </c>
      <c r="J23" s="347" t="s">
        <v>202</v>
      </c>
      <c r="K23" s="347" t="s">
        <v>315</v>
      </c>
    </row>
    <row r="24" spans="1:11" ht="15" customHeight="1">
      <c r="A24" s="346"/>
      <c r="B24" s="498"/>
      <c r="C24" s="497"/>
      <c r="D24" s="326" t="s">
        <v>133</v>
      </c>
      <c r="E24" s="3">
        <v>9</v>
      </c>
      <c r="F24" s="3">
        <v>1</v>
      </c>
      <c r="G24" s="3">
        <v>7</v>
      </c>
      <c r="H24" s="86">
        <f t="shared" si="0"/>
        <v>63</v>
      </c>
      <c r="I24" s="71" t="str">
        <f t="shared" si="1"/>
        <v>POCO IMPORTANTE</v>
      </c>
      <c r="J24" s="347"/>
      <c r="K24" s="347"/>
    </row>
    <row r="25" spans="1:11" ht="15" customHeight="1">
      <c r="A25" s="346">
        <v>10</v>
      </c>
      <c r="B25" s="498" t="s">
        <v>26</v>
      </c>
      <c r="C25" s="497" t="s">
        <v>84</v>
      </c>
      <c r="D25" s="326" t="s">
        <v>144</v>
      </c>
      <c r="E25" s="3">
        <v>10</v>
      </c>
      <c r="F25" s="3">
        <v>3</v>
      </c>
      <c r="G25" s="3">
        <v>8</v>
      </c>
      <c r="H25" s="86">
        <f t="shared" si="0"/>
        <v>240</v>
      </c>
      <c r="I25" s="71" t="str">
        <f t="shared" si="1"/>
        <v>NORMAL</v>
      </c>
      <c r="J25" s="35" t="s">
        <v>202</v>
      </c>
      <c r="K25" s="35" t="s">
        <v>403</v>
      </c>
    </row>
    <row r="26" spans="1:11" ht="15" customHeight="1">
      <c r="A26" s="346"/>
      <c r="B26" s="498"/>
      <c r="C26" s="497"/>
      <c r="D26" s="326" t="s">
        <v>134</v>
      </c>
      <c r="E26" s="3">
        <v>10</v>
      </c>
      <c r="F26" s="3">
        <v>3</v>
      </c>
      <c r="G26" s="3">
        <v>8</v>
      </c>
      <c r="H26" s="86">
        <f t="shared" si="0"/>
        <v>240</v>
      </c>
      <c r="I26" s="71" t="str">
        <f t="shared" si="1"/>
        <v>NORMAL</v>
      </c>
      <c r="J26" s="35" t="s">
        <v>202</v>
      </c>
      <c r="K26" s="35" t="s">
        <v>335</v>
      </c>
    </row>
    <row r="27" spans="1:11" ht="15" customHeight="1">
      <c r="A27" s="346">
        <v>11</v>
      </c>
      <c r="B27" s="498" t="s">
        <v>27</v>
      </c>
      <c r="C27" s="497" t="s">
        <v>159</v>
      </c>
      <c r="D27" s="326" t="s">
        <v>140</v>
      </c>
      <c r="E27" s="3">
        <v>10</v>
      </c>
      <c r="F27" s="3">
        <v>7</v>
      </c>
      <c r="G27" s="3">
        <v>7</v>
      </c>
      <c r="H27" s="86">
        <f t="shared" si="0"/>
        <v>490</v>
      </c>
      <c r="I27" s="71" t="str">
        <f t="shared" si="1"/>
        <v>CRITICO</v>
      </c>
      <c r="J27" s="35" t="s">
        <v>254</v>
      </c>
      <c r="K27" s="35" t="s">
        <v>311</v>
      </c>
    </row>
    <row r="28" spans="1:11" ht="15" customHeight="1">
      <c r="A28" s="346"/>
      <c r="B28" s="498"/>
      <c r="C28" s="499"/>
      <c r="D28" s="327" t="s">
        <v>253</v>
      </c>
      <c r="E28" s="3">
        <v>10</v>
      </c>
      <c r="F28" s="3">
        <v>7</v>
      </c>
      <c r="G28" s="3">
        <v>7</v>
      </c>
      <c r="H28" s="86">
        <f t="shared" si="0"/>
        <v>490</v>
      </c>
      <c r="I28" s="71" t="str">
        <f t="shared" si="1"/>
        <v>CRITICO</v>
      </c>
      <c r="J28" s="203" t="s">
        <v>202</v>
      </c>
      <c r="K28" s="203" t="s">
        <v>255</v>
      </c>
    </row>
    <row r="29" spans="1:11" ht="15" customHeight="1">
      <c r="A29" s="346"/>
      <c r="B29" s="498"/>
      <c r="C29" s="497"/>
      <c r="D29" s="326" t="s">
        <v>144</v>
      </c>
      <c r="E29" s="3">
        <v>10</v>
      </c>
      <c r="F29" s="3">
        <v>7</v>
      </c>
      <c r="G29" s="3">
        <v>7</v>
      </c>
      <c r="H29" s="86">
        <f t="shared" si="0"/>
        <v>490</v>
      </c>
      <c r="I29" s="71" t="str">
        <f t="shared" si="1"/>
        <v>CRITICO</v>
      </c>
      <c r="J29" s="35" t="s">
        <v>202</v>
      </c>
      <c r="K29" s="35" t="s">
        <v>317</v>
      </c>
    </row>
    <row r="30" spans="1:11" ht="15" customHeight="1">
      <c r="A30" s="65">
        <v>12</v>
      </c>
      <c r="B30" s="158" t="s">
        <v>52</v>
      </c>
      <c r="C30" s="140" t="s">
        <v>160</v>
      </c>
      <c r="D30" s="326" t="s">
        <v>133</v>
      </c>
      <c r="E30" s="3">
        <v>9</v>
      </c>
      <c r="F30" s="3">
        <v>1</v>
      </c>
      <c r="G30" s="3">
        <v>7</v>
      </c>
      <c r="H30" s="86">
        <f t="shared" si="0"/>
        <v>63</v>
      </c>
      <c r="I30" s="71" t="str">
        <f t="shared" si="1"/>
        <v>POCO IMPORTANTE</v>
      </c>
      <c r="J30" s="35" t="s">
        <v>202</v>
      </c>
      <c r="K30" s="35" t="s">
        <v>336</v>
      </c>
    </row>
    <row r="31" spans="1:11" ht="15" customHeight="1">
      <c r="A31" s="65">
        <v>13</v>
      </c>
      <c r="B31" s="158" t="s">
        <v>46</v>
      </c>
      <c r="C31" s="140" t="s">
        <v>147</v>
      </c>
      <c r="D31" s="326" t="s">
        <v>134</v>
      </c>
      <c r="E31" s="3">
        <v>10</v>
      </c>
      <c r="F31" s="3">
        <v>7</v>
      </c>
      <c r="G31" s="3">
        <v>5</v>
      </c>
      <c r="H31" s="86">
        <f t="shared" si="0"/>
        <v>350</v>
      </c>
      <c r="I31" s="71" t="str">
        <f t="shared" si="1"/>
        <v>CRITICO</v>
      </c>
      <c r="J31" s="35" t="s">
        <v>202</v>
      </c>
      <c r="K31" s="35" t="s">
        <v>289</v>
      </c>
    </row>
    <row r="32" spans="1:11" ht="15" customHeight="1">
      <c r="A32" s="65">
        <v>14</v>
      </c>
      <c r="B32" s="158" t="s">
        <v>47</v>
      </c>
      <c r="C32" s="140" t="s">
        <v>92</v>
      </c>
      <c r="D32" s="326" t="s">
        <v>145</v>
      </c>
      <c r="E32" s="3">
        <v>3</v>
      </c>
      <c r="F32" s="3">
        <v>1</v>
      </c>
      <c r="G32" s="3">
        <v>7</v>
      </c>
      <c r="H32" s="86">
        <f t="shared" si="0"/>
        <v>21</v>
      </c>
      <c r="I32" s="71" t="str">
        <f t="shared" si="1"/>
        <v>POCO IMPORTANTE</v>
      </c>
      <c r="J32" s="35" t="s">
        <v>202</v>
      </c>
      <c r="K32" s="35" t="s">
        <v>297</v>
      </c>
    </row>
    <row r="33" spans="1:11" ht="15" customHeight="1">
      <c r="A33" s="65">
        <v>15</v>
      </c>
      <c r="B33" s="158" t="s">
        <v>33</v>
      </c>
      <c r="C33" s="140" t="s">
        <v>59</v>
      </c>
      <c r="D33" s="326" t="s">
        <v>145</v>
      </c>
      <c r="E33" s="3">
        <v>5</v>
      </c>
      <c r="F33" s="3">
        <v>1</v>
      </c>
      <c r="G33" s="3">
        <v>2</v>
      </c>
      <c r="H33" s="86">
        <f t="shared" si="0"/>
        <v>10</v>
      </c>
      <c r="I33" s="71" t="str">
        <f t="shared" si="1"/>
        <v>POCO IMPORTANTE</v>
      </c>
      <c r="J33" s="35" t="s">
        <v>202</v>
      </c>
      <c r="K33" s="35" t="s">
        <v>297</v>
      </c>
    </row>
    <row r="34" spans="1:11" ht="15" customHeight="1">
      <c r="A34" s="65">
        <v>16</v>
      </c>
      <c r="B34" s="158" t="s">
        <v>34</v>
      </c>
      <c r="C34" s="140" t="s">
        <v>95</v>
      </c>
      <c r="D34" s="326" t="s">
        <v>148</v>
      </c>
      <c r="E34" s="3">
        <v>5</v>
      </c>
      <c r="F34" s="3">
        <v>1</v>
      </c>
      <c r="G34" s="3">
        <v>2</v>
      </c>
      <c r="H34" s="86">
        <f t="shared" si="0"/>
        <v>10</v>
      </c>
      <c r="I34" s="71" t="str">
        <f t="shared" si="1"/>
        <v>POCO IMPORTANTE</v>
      </c>
      <c r="J34" s="35" t="s">
        <v>202</v>
      </c>
      <c r="K34" s="35" t="s">
        <v>297</v>
      </c>
    </row>
    <row r="35" spans="1:11" ht="15" customHeight="1">
      <c r="A35" s="65">
        <v>17</v>
      </c>
      <c r="B35" s="158" t="s">
        <v>53</v>
      </c>
      <c r="C35" s="140" t="s">
        <v>97</v>
      </c>
      <c r="D35" s="326" t="s">
        <v>145</v>
      </c>
      <c r="E35" s="3">
        <v>5</v>
      </c>
      <c r="F35" s="3">
        <v>1</v>
      </c>
      <c r="G35" s="3">
        <v>2</v>
      </c>
      <c r="H35" s="86">
        <f t="shared" si="0"/>
        <v>10</v>
      </c>
      <c r="I35" s="71" t="str">
        <f t="shared" si="1"/>
        <v>POCO IMPORTANTE</v>
      </c>
      <c r="J35" s="35" t="s">
        <v>202</v>
      </c>
      <c r="K35" s="35" t="s">
        <v>297</v>
      </c>
    </row>
    <row r="36" spans="1:11" ht="15" customHeight="1">
      <c r="A36" s="65">
        <v>18</v>
      </c>
      <c r="B36" s="158" t="s">
        <v>35</v>
      </c>
      <c r="C36" s="202" t="s">
        <v>65</v>
      </c>
      <c r="D36" s="327" t="s">
        <v>156</v>
      </c>
      <c r="E36" s="3">
        <v>5</v>
      </c>
      <c r="F36" s="3">
        <v>1</v>
      </c>
      <c r="G36" s="3">
        <v>2</v>
      </c>
      <c r="H36" s="86">
        <f t="shared" si="0"/>
        <v>10</v>
      </c>
      <c r="I36" s="71" t="str">
        <f t="shared" si="1"/>
        <v>POCO IMPORTANTE</v>
      </c>
      <c r="J36" s="203" t="s">
        <v>202</v>
      </c>
      <c r="K36" s="203" t="s">
        <v>376</v>
      </c>
    </row>
    <row r="37" spans="1:11" ht="15" customHeight="1">
      <c r="A37" s="65">
        <v>19</v>
      </c>
      <c r="B37" s="158" t="s">
        <v>36</v>
      </c>
      <c r="C37" s="202" t="s">
        <v>65</v>
      </c>
      <c r="D37" s="327" t="s">
        <v>156</v>
      </c>
      <c r="E37" s="3">
        <v>5</v>
      </c>
      <c r="F37" s="3">
        <v>1</v>
      </c>
      <c r="G37" s="3">
        <v>2</v>
      </c>
      <c r="H37" s="86">
        <f t="shared" si="0"/>
        <v>10</v>
      </c>
      <c r="I37" s="71" t="str">
        <f t="shared" si="1"/>
        <v>POCO IMPORTANTE</v>
      </c>
      <c r="J37" s="203" t="s">
        <v>202</v>
      </c>
      <c r="K37" s="203" t="s">
        <v>272</v>
      </c>
    </row>
    <row r="38" spans="1:11" ht="15" customHeight="1">
      <c r="A38" s="65">
        <v>20</v>
      </c>
      <c r="B38" s="158" t="s">
        <v>54</v>
      </c>
      <c r="C38" s="140" t="s">
        <v>102</v>
      </c>
      <c r="D38" s="326" t="s">
        <v>145</v>
      </c>
      <c r="E38" s="3">
        <v>5</v>
      </c>
      <c r="F38" s="3">
        <v>1</v>
      </c>
      <c r="G38" s="3">
        <v>2</v>
      </c>
      <c r="H38" s="86">
        <f t="shared" si="0"/>
        <v>10</v>
      </c>
      <c r="I38" s="71" t="str">
        <f t="shared" si="1"/>
        <v>POCO IMPORTANTE</v>
      </c>
      <c r="J38" s="35" t="s">
        <v>202</v>
      </c>
      <c r="K38" s="35" t="s">
        <v>322</v>
      </c>
    </row>
    <row r="39" spans="1:11" ht="15" customHeight="1">
      <c r="A39" s="65">
        <v>21</v>
      </c>
      <c r="B39" s="158" t="s">
        <v>37</v>
      </c>
      <c r="C39" s="140" t="s">
        <v>65</v>
      </c>
      <c r="D39" s="326" t="s">
        <v>136</v>
      </c>
      <c r="E39" s="3">
        <v>5</v>
      </c>
      <c r="F39" s="3">
        <v>1</v>
      </c>
      <c r="G39" s="3">
        <v>2</v>
      </c>
      <c r="H39" s="86">
        <f t="shared" si="0"/>
        <v>10</v>
      </c>
      <c r="I39" s="71" t="str">
        <f t="shared" si="1"/>
        <v>POCO IMPORTANTE</v>
      </c>
      <c r="J39" s="35" t="s">
        <v>202</v>
      </c>
      <c r="K39" s="35" t="s">
        <v>297</v>
      </c>
    </row>
    <row r="40" spans="1:11" ht="15" customHeight="1">
      <c r="A40" s="65">
        <v>22</v>
      </c>
      <c r="B40" s="158" t="s">
        <v>38</v>
      </c>
      <c r="C40" s="140" t="s">
        <v>107</v>
      </c>
      <c r="D40" s="326" t="s">
        <v>157</v>
      </c>
      <c r="E40" s="3">
        <v>5</v>
      </c>
      <c r="F40" s="3">
        <v>1</v>
      </c>
      <c r="G40" s="3">
        <v>2</v>
      </c>
      <c r="H40" s="86">
        <f t="shared" si="0"/>
        <v>10</v>
      </c>
      <c r="I40" s="71" t="str">
        <f t="shared" si="1"/>
        <v>POCO IMPORTANTE</v>
      </c>
      <c r="J40" s="35" t="s">
        <v>202</v>
      </c>
      <c r="K40" s="35" t="s">
        <v>326</v>
      </c>
    </row>
    <row r="41" spans="1:11" ht="15" customHeight="1">
      <c r="A41" s="65">
        <v>23</v>
      </c>
      <c r="B41" s="158" t="s">
        <v>39</v>
      </c>
      <c r="C41" s="140" t="s">
        <v>107</v>
      </c>
      <c r="D41" s="326" t="s">
        <v>157</v>
      </c>
      <c r="E41" s="3">
        <v>5</v>
      </c>
      <c r="F41" s="3">
        <v>1</v>
      </c>
      <c r="G41" s="3">
        <v>2</v>
      </c>
      <c r="H41" s="86">
        <f t="shared" si="0"/>
        <v>10</v>
      </c>
      <c r="I41" s="71" t="str">
        <f t="shared" si="1"/>
        <v>POCO IMPORTANTE</v>
      </c>
      <c r="J41" s="35" t="s">
        <v>202</v>
      </c>
      <c r="K41" s="35" t="s">
        <v>310</v>
      </c>
    </row>
    <row r="42" spans="1:11" ht="15" customHeight="1">
      <c r="A42" s="346">
        <v>24</v>
      </c>
      <c r="B42" s="498" t="s">
        <v>40</v>
      </c>
      <c r="C42" s="499" t="s">
        <v>65</v>
      </c>
      <c r="D42" s="327" t="s">
        <v>136</v>
      </c>
      <c r="E42" s="3">
        <v>5</v>
      </c>
      <c r="F42" s="3">
        <v>1</v>
      </c>
      <c r="G42" s="3">
        <v>3</v>
      </c>
      <c r="H42" s="86">
        <f t="shared" si="0"/>
        <v>15</v>
      </c>
      <c r="I42" s="71" t="str">
        <f t="shared" si="1"/>
        <v>POCO IMPORTANTE</v>
      </c>
      <c r="J42" s="203" t="s">
        <v>202</v>
      </c>
      <c r="K42" s="203" t="s">
        <v>271</v>
      </c>
    </row>
    <row r="43" spans="1:11" ht="15" customHeight="1">
      <c r="A43" s="346"/>
      <c r="B43" s="498"/>
      <c r="C43" s="497"/>
      <c r="D43" s="326" t="s">
        <v>137</v>
      </c>
      <c r="E43" s="3">
        <v>5</v>
      </c>
      <c r="F43" s="3">
        <v>1</v>
      </c>
      <c r="G43" s="3">
        <v>3</v>
      </c>
      <c r="H43" s="86">
        <f t="shared" si="0"/>
        <v>15</v>
      </c>
      <c r="I43" s="71" t="str">
        <f t="shared" si="1"/>
        <v>POCO IMPORTANTE</v>
      </c>
      <c r="J43" s="35" t="s">
        <v>202</v>
      </c>
      <c r="K43" s="35" t="s">
        <v>295</v>
      </c>
    </row>
    <row r="44" spans="1:11" ht="15" customHeight="1">
      <c r="A44" s="346">
        <v>25</v>
      </c>
      <c r="B44" s="498" t="s">
        <v>41</v>
      </c>
      <c r="C44" s="497" t="s">
        <v>65</v>
      </c>
      <c r="D44" s="326" t="s">
        <v>136</v>
      </c>
      <c r="E44" s="3">
        <v>5</v>
      </c>
      <c r="F44" s="3">
        <v>1</v>
      </c>
      <c r="G44" s="3">
        <v>3</v>
      </c>
      <c r="H44" s="86">
        <f t="shared" si="0"/>
        <v>15</v>
      </c>
      <c r="I44" s="71" t="str">
        <f t="shared" si="1"/>
        <v>POCO IMPORTANTE</v>
      </c>
      <c r="J44" s="35" t="s">
        <v>202</v>
      </c>
      <c r="K44" s="347" t="s">
        <v>295</v>
      </c>
    </row>
    <row r="45" spans="1:11" ht="15" customHeight="1">
      <c r="A45" s="346"/>
      <c r="B45" s="498"/>
      <c r="C45" s="497"/>
      <c r="D45" s="326" t="s">
        <v>144</v>
      </c>
      <c r="E45" s="3">
        <v>5</v>
      </c>
      <c r="F45" s="3">
        <v>1</v>
      </c>
      <c r="G45" s="3">
        <v>3</v>
      </c>
      <c r="H45" s="86">
        <f t="shared" si="0"/>
        <v>15</v>
      </c>
      <c r="I45" s="71" t="str">
        <f t="shared" si="1"/>
        <v>POCO IMPORTANTE</v>
      </c>
      <c r="J45" s="35" t="s">
        <v>202</v>
      </c>
      <c r="K45" s="347"/>
    </row>
    <row r="46" spans="1:11" ht="15" customHeight="1">
      <c r="A46" s="346">
        <v>26</v>
      </c>
      <c r="B46" s="498" t="s">
        <v>42</v>
      </c>
      <c r="C46" s="497" t="s">
        <v>65</v>
      </c>
      <c r="D46" s="326" t="s">
        <v>136</v>
      </c>
      <c r="E46" s="3">
        <v>10</v>
      </c>
      <c r="F46" s="3">
        <v>2</v>
      </c>
      <c r="G46" s="3">
        <v>7</v>
      </c>
      <c r="H46" s="86">
        <f t="shared" si="0"/>
        <v>140</v>
      </c>
      <c r="I46" s="71" t="str">
        <f t="shared" si="1"/>
        <v>NORMAL</v>
      </c>
      <c r="J46" s="35" t="s">
        <v>202</v>
      </c>
      <c r="K46" s="35" t="s">
        <v>342</v>
      </c>
    </row>
    <row r="47" spans="1:11" ht="15" customHeight="1">
      <c r="A47" s="346"/>
      <c r="B47" s="498"/>
      <c r="C47" s="497"/>
      <c r="D47" s="326" t="s">
        <v>137</v>
      </c>
      <c r="E47" s="3">
        <v>10</v>
      </c>
      <c r="F47" s="3">
        <v>2</v>
      </c>
      <c r="G47" s="3">
        <v>7</v>
      </c>
      <c r="H47" s="86">
        <f t="shared" si="0"/>
        <v>140</v>
      </c>
      <c r="I47" s="71" t="str">
        <f t="shared" si="1"/>
        <v>NORMAL</v>
      </c>
      <c r="J47" s="35" t="s">
        <v>202</v>
      </c>
      <c r="K47" s="35" t="s">
        <v>308</v>
      </c>
    </row>
    <row r="48" spans="1:11" ht="15" customHeight="1">
      <c r="A48" s="346">
        <v>27</v>
      </c>
      <c r="B48" s="498" t="s">
        <v>43</v>
      </c>
      <c r="C48" s="499" t="s">
        <v>117</v>
      </c>
      <c r="D48" s="327" t="s">
        <v>136</v>
      </c>
      <c r="E48" s="3">
        <v>5</v>
      </c>
      <c r="F48" s="3">
        <v>1</v>
      </c>
      <c r="G48" s="3">
        <v>2</v>
      </c>
      <c r="H48" s="86">
        <f t="shared" si="0"/>
        <v>10</v>
      </c>
      <c r="I48" s="71" t="str">
        <f t="shared" si="1"/>
        <v>POCO IMPORTANTE</v>
      </c>
      <c r="J48" s="203" t="s">
        <v>202</v>
      </c>
      <c r="K48" s="203" t="s">
        <v>269</v>
      </c>
    </row>
    <row r="49" spans="1:11" ht="15" customHeight="1">
      <c r="A49" s="346"/>
      <c r="B49" s="498"/>
      <c r="C49" s="497"/>
      <c r="D49" s="326" t="s">
        <v>134</v>
      </c>
      <c r="E49" s="3">
        <v>5</v>
      </c>
      <c r="F49" s="3">
        <v>1</v>
      </c>
      <c r="G49" s="3">
        <v>2</v>
      </c>
      <c r="H49" s="86">
        <f t="shared" si="0"/>
        <v>10</v>
      </c>
      <c r="I49" s="71" t="str">
        <f t="shared" si="1"/>
        <v>POCO IMPORTANTE</v>
      </c>
      <c r="J49" s="35" t="s">
        <v>202</v>
      </c>
      <c r="K49" s="35" t="s">
        <v>338</v>
      </c>
    </row>
    <row r="50" spans="1:11" ht="15" customHeight="1">
      <c r="A50" s="346">
        <v>28</v>
      </c>
      <c r="B50" s="498" t="s">
        <v>49</v>
      </c>
      <c r="C50" s="497" t="s">
        <v>119</v>
      </c>
      <c r="D50" s="326" t="s">
        <v>148</v>
      </c>
      <c r="E50" s="3">
        <v>5</v>
      </c>
      <c r="F50" s="3">
        <v>1</v>
      </c>
      <c r="G50" s="3">
        <v>3</v>
      </c>
      <c r="H50" s="86">
        <f t="shared" si="0"/>
        <v>15</v>
      </c>
      <c r="I50" s="71" t="str">
        <f t="shared" si="1"/>
        <v>POCO IMPORTANTE</v>
      </c>
      <c r="J50" s="35" t="s">
        <v>202</v>
      </c>
      <c r="K50" s="35" t="s">
        <v>334</v>
      </c>
    </row>
    <row r="51" spans="1:11" ht="15" customHeight="1">
      <c r="A51" s="346"/>
      <c r="B51" s="498"/>
      <c r="C51" s="497"/>
      <c r="D51" s="326" t="s">
        <v>134</v>
      </c>
      <c r="E51" s="3">
        <v>5</v>
      </c>
      <c r="F51" s="3">
        <v>1</v>
      </c>
      <c r="G51" s="3">
        <v>3</v>
      </c>
      <c r="H51" s="86">
        <f t="shared" si="0"/>
        <v>15</v>
      </c>
      <c r="I51" s="71" t="str">
        <f t="shared" si="1"/>
        <v>POCO IMPORTANTE</v>
      </c>
      <c r="J51" s="35" t="s">
        <v>202</v>
      </c>
      <c r="K51" s="35" t="s">
        <v>312</v>
      </c>
    </row>
    <row r="52" spans="1:11" ht="15" customHeight="1">
      <c r="A52" s="346">
        <v>29</v>
      </c>
      <c r="B52" s="498" t="s">
        <v>44</v>
      </c>
      <c r="C52" s="499" t="s">
        <v>122</v>
      </c>
      <c r="D52" s="327" t="s">
        <v>148</v>
      </c>
      <c r="E52" s="3">
        <v>5</v>
      </c>
      <c r="F52" s="3">
        <v>7</v>
      </c>
      <c r="G52" s="3">
        <v>1</v>
      </c>
      <c r="H52" s="86">
        <f t="shared" si="0"/>
        <v>35</v>
      </c>
      <c r="I52" s="71" t="str">
        <f t="shared" si="1"/>
        <v>POCO IMPORTANTE</v>
      </c>
      <c r="J52" s="203" t="s">
        <v>202</v>
      </c>
      <c r="K52" s="203" t="s">
        <v>290</v>
      </c>
    </row>
    <row r="53" spans="1:11" ht="15" customHeight="1">
      <c r="A53" s="346"/>
      <c r="B53" s="498"/>
      <c r="C53" s="497"/>
      <c r="D53" s="326" t="s">
        <v>149</v>
      </c>
      <c r="E53" s="3">
        <v>5</v>
      </c>
      <c r="F53" s="3">
        <v>7</v>
      </c>
      <c r="G53" s="3">
        <v>1</v>
      </c>
      <c r="H53" s="86">
        <f t="shared" si="0"/>
        <v>35</v>
      </c>
      <c r="I53" s="71" t="str">
        <f t="shared" si="1"/>
        <v>POCO IMPORTANTE</v>
      </c>
      <c r="J53" s="35" t="s">
        <v>202</v>
      </c>
      <c r="K53" s="35" t="s">
        <v>304</v>
      </c>
    </row>
    <row r="54" spans="1:11" ht="15" customHeight="1">
      <c r="A54" s="346">
        <v>30</v>
      </c>
      <c r="B54" s="498" t="s">
        <v>45</v>
      </c>
      <c r="C54" s="497" t="s">
        <v>125</v>
      </c>
      <c r="D54" s="326" t="s">
        <v>148</v>
      </c>
      <c r="E54" s="3">
        <v>5</v>
      </c>
      <c r="F54" s="3">
        <v>2</v>
      </c>
      <c r="G54" s="3">
        <v>2</v>
      </c>
      <c r="H54" s="86">
        <f t="shared" si="0"/>
        <v>20</v>
      </c>
      <c r="I54" s="71" t="str">
        <f t="shared" si="1"/>
        <v>POCO IMPORTANTE</v>
      </c>
      <c r="J54" s="35" t="s">
        <v>202</v>
      </c>
      <c r="K54" s="347" t="s">
        <v>340</v>
      </c>
    </row>
    <row r="55" spans="1:11" ht="15" customHeight="1">
      <c r="A55" s="346"/>
      <c r="B55" s="498"/>
      <c r="C55" s="497"/>
      <c r="D55" s="326" t="s">
        <v>134</v>
      </c>
      <c r="E55" s="3">
        <v>5</v>
      </c>
      <c r="F55" s="3">
        <v>2</v>
      </c>
      <c r="G55" s="3">
        <v>2</v>
      </c>
      <c r="H55" s="86">
        <f t="shared" si="0"/>
        <v>20</v>
      </c>
      <c r="I55" s="71" t="str">
        <f t="shared" si="1"/>
        <v>POCO IMPORTANTE</v>
      </c>
      <c r="J55" s="35" t="s">
        <v>202</v>
      </c>
      <c r="K55" s="347"/>
    </row>
    <row r="56" spans="1:11" ht="15" customHeight="1">
      <c r="A56" s="346">
        <v>31</v>
      </c>
      <c r="B56" s="498" t="s">
        <v>48</v>
      </c>
      <c r="C56" s="499" t="s">
        <v>128</v>
      </c>
      <c r="D56" s="327" t="s">
        <v>148</v>
      </c>
      <c r="E56" s="3">
        <v>5</v>
      </c>
      <c r="F56" s="3">
        <v>7</v>
      </c>
      <c r="G56" s="3">
        <v>1</v>
      </c>
      <c r="H56" s="86">
        <f t="shared" si="0"/>
        <v>35</v>
      </c>
      <c r="I56" s="71" t="str">
        <f t="shared" si="1"/>
        <v>POCO IMPORTANTE</v>
      </c>
      <c r="J56" s="203" t="s">
        <v>202</v>
      </c>
      <c r="K56" s="203" t="s">
        <v>275</v>
      </c>
    </row>
    <row r="57" spans="1:11" ht="15" customHeight="1">
      <c r="A57" s="346"/>
      <c r="B57" s="498"/>
      <c r="C57" s="497"/>
      <c r="D57" s="326" t="s">
        <v>149</v>
      </c>
      <c r="E57" s="3">
        <v>5</v>
      </c>
      <c r="F57" s="3">
        <v>7</v>
      </c>
      <c r="G57" s="3">
        <v>1</v>
      </c>
      <c r="H57" s="86">
        <f t="shared" si="0"/>
        <v>35</v>
      </c>
      <c r="I57" s="71" t="str">
        <f t="shared" si="1"/>
        <v>POCO IMPORTANTE</v>
      </c>
      <c r="J57" s="35" t="s">
        <v>202</v>
      </c>
      <c r="K57" s="35" t="s">
        <v>303</v>
      </c>
    </row>
  </sheetData>
  <autoFilter ref="A1:K57" xr:uid="{A6F8F13B-7797-4C51-A89D-9CE0BA69982B}">
    <filterColumn colId="2" showButton="0"/>
  </autoFilter>
  <mergeCells count="67">
    <mergeCell ref="C48:C49"/>
    <mergeCell ref="C1:D1"/>
    <mergeCell ref="B17:B18"/>
    <mergeCell ref="C17:C18"/>
    <mergeCell ref="C11:C13"/>
    <mergeCell ref="B11:B13"/>
    <mergeCell ref="B8:B10"/>
    <mergeCell ref="C8:C10"/>
    <mergeCell ref="C2:C7"/>
    <mergeCell ref="B6:B7"/>
    <mergeCell ref="B2:B5"/>
    <mergeCell ref="B21:B22"/>
    <mergeCell ref="C21:C22"/>
    <mergeCell ref="B19:B20"/>
    <mergeCell ref="B23:B24"/>
    <mergeCell ref="B44:B45"/>
    <mergeCell ref="A2:A5"/>
    <mergeCell ref="B56:B57"/>
    <mergeCell ref="A14:A16"/>
    <mergeCell ref="B14:B16"/>
    <mergeCell ref="C14:C16"/>
    <mergeCell ref="B50:B51"/>
    <mergeCell ref="C50:C51"/>
    <mergeCell ref="B48:B49"/>
    <mergeCell ref="B46:B47"/>
    <mergeCell ref="C46:C47"/>
    <mergeCell ref="C56:C57"/>
    <mergeCell ref="B54:B55"/>
    <mergeCell ref="C54:C55"/>
    <mergeCell ref="A54:A55"/>
    <mergeCell ref="B52:B53"/>
    <mergeCell ref="C52:C53"/>
    <mergeCell ref="A6:A7"/>
    <mergeCell ref="A11:A13"/>
    <mergeCell ref="A17:A18"/>
    <mergeCell ref="A56:A57"/>
    <mergeCell ref="A42:A43"/>
    <mergeCell ref="A44:A45"/>
    <mergeCell ref="A46:A47"/>
    <mergeCell ref="A48:A49"/>
    <mergeCell ref="A50:A51"/>
    <mergeCell ref="A52:A53"/>
    <mergeCell ref="A8:A10"/>
    <mergeCell ref="A21:A22"/>
    <mergeCell ref="A23:A24"/>
    <mergeCell ref="A19:A20"/>
    <mergeCell ref="J23:J24"/>
    <mergeCell ref="J2:J5"/>
    <mergeCell ref="J11:J13"/>
    <mergeCell ref="C19:C20"/>
    <mergeCell ref="C23:C24"/>
    <mergeCell ref="C44:C45"/>
    <mergeCell ref="B42:B43"/>
    <mergeCell ref="C42:C43"/>
    <mergeCell ref="A25:A26"/>
    <mergeCell ref="A27:A29"/>
    <mergeCell ref="C25:C26"/>
    <mergeCell ref="B27:B29"/>
    <mergeCell ref="C27:C29"/>
    <mergeCell ref="B25:B26"/>
    <mergeCell ref="K54:K55"/>
    <mergeCell ref="K23:K24"/>
    <mergeCell ref="K21:K22"/>
    <mergeCell ref="K2:K5"/>
    <mergeCell ref="K11:K13"/>
    <mergeCell ref="K44:K45"/>
    <mergeCell ref="K19:K20"/>
  </mergeCells>
  <pageMargins left="0.70866141732283472" right="0.70866141732283472" top="0.74803149606299213" bottom="0.74803149606299213" header="0.31496062992125984" footer="0.31496062992125984"/>
  <pageSetup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7F03-124B-4E59-8757-023505C08AEF}">
  <sheetPr>
    <pageSetUpPr fitToPage="1"/>
  </sheetPr>
  <dimension ref="A1:H47"/>
  <sheetViews>
    <sheetView zoomScale="50" zoomScaleNormal="50" workbookViewId="0">
      <selection activeCell="E66" sqref="E66"/>
    </sheetView>
  </sheetViews>
  <sheetFormatPr baseColWidth="10" defaultColWidth="11.5546875" defaultRowHeight="13.2"/>
  <cols>
    <col min="1" max="1" width="11" style="1" bestFit="1" customWidth="1"/>
    <col min="2" max="2" width="58.6640625" style="1" bestFit="1" customWidth="1"/>
    <col min="3" max="3" width="26.44140625" style="1" bestFit="1" customWidth="1"/>
    <col min="4" max="4" width="77.109375" style="1" bestFit="1" customWidth="1"/>
    <col min="5" max="5" width="104.5546875" style="1" bestFit="1" customWidth="1"/>
    <col min="6" max="6" width="28.44140625" style="1" bestFit="1" customWidth="1"/>
    <col min="7" max="7" width="24.88671875" style="165" bestFit="1" customWidth="1"/>
    <col min="8" max="8" width="24" style="87" bestFit="1" customWidth="1"/>
    <col min="9" max="16384" width="11.5546875" style="1"/>
  </cols>
  <sheetData>
    <row r="1" spans="1:8" ht="51.6" customHeight="1">
      <c r="A1" s="72" t="s">
        <v>263</v>
      </c>
      <c r="B1" s="72" t="s">
        <v>18</v>
      </c>
      <c r="C1" s="75" t="s">
        <v>200</v>
      </c>
      <c r="D1" s="75" t="s">
        <v>259</v>
      </c>
      <c r="E1" s="75" t="s">
        <v>268</v>
      </c>
      <c r="F1" s="75" t="s">
        <v>244</v>
      </c>
      <c r="G1" s="75" t="s">
        <v>398</v>
      </c>
      <c r="H1" s="75" t="s">
        <v>397</v>
      </c>
    </row>
    <row r="2" spans="1:8" ht="15" customHeight="1">
      <c r="A2" s="65">
        <v>1</v>
      </c>
      <c r="B2" s="158" t="s">
        <v>28</v>
      </c>
      <c r="C2" s="35" t="s">
        <v>254</v>
      </c>
      <c r="D2" s="35" t="s">
        <v>345</v>
      </c>
      <c r="E2" s="35" t="s">
        <v>328</v>
      </c>
      <c r="F2" s="35" t="s">
        <v>201</v>
      </c>
      <c r="G2" s="35" t="s">
        <v>379</v>
      </c>
      <c r="H2" s="65" t="s">
        <v>314</v>
      </c>
    </row>
    <row r="3" spans="1:8" ht="15" customHeight="1">
      <c r="A3" s="65">
        <v>2</v>
      </c>
      <c r="B3" s="158" t="s">
        <v>20</v>
      </c>
      <c r="C3" s="35" t="s">
        <v>202</v>
      </c>
      <c r="D3" s="35" t="s">
        <v>340</v>
      </c>
      <c r="E3" s="35" t="s">
        <v>341</v>
      </c>
      <c r="F3" s="35" t="s">
        <v>203</v>
      </c>
      <c r="G3" s="35" t="s">
        <v>379</v>
      </c>
      <c r="H3" s="65" t="s">
        <v>307</v>
      </c>
    </row>
    <row r="4" spans="1:8" ht="15" customHeight="1">
      <c r="A4" s="65">
        <v>2</v>
      </c>
      <c r="B4" s="158" t="s">
        <v>20</v>
      </c>
      <c r="C4" s="35" t="s">
        <v>254</v>
      </c>
      <c r="D4" s="35" t="s">
        <v>299</v>
      </c>
      <c r="E4" s="35" t="s">
        <v>300</v>
      </c>
      <c r="F4" s="35" t="s">
        <v>201</v>
      </c>
      <c r="G4" s="35" t="s">
        <v>210</v>
      </c>
      <c r="H4" s="65" t="s">
        <v>293</v>
      </c>
    </row>
    <row r="5" spans="1:8" ht="15" customHeight="1">
      <c r="A5" s="65">
        <v>3</v>
      </c>
      <c r="B5" s="158" t="s">
        <v>50</v>
      </c>
      <c r="C5" s="203" t="s">
        <v>202</v>
      </c>
      <c r="D5" s="203" t="s">
        <v>393</v>
      </c>
      <c r="E5" s="203" t="s">
        <v>331</v>
      </c>
      <c r="F5" s="203" t="s">
        <v>401</v>
      </c>
      <c r="G5" s="203" t="s">
        <v>407</v>
      </c>
      <c r="H5" s="65" t="s">
        <v>274</v>
      </c>
    </row>
    <row r="6" spans="1:8" ht="15" customHeight="1">
      <c r="A6" s="65">
        <v>3</v>
      </c>
      <c r="B6" s="158" t="s">
        <v>50</v>
      </c>
      <c r="C6" s="203" t="s">
        <v>202</v>
      </c>
      <c r="D6" s="203" t="s">
        <v>327</v>
      </c>
      <c r="E6" s="203" t="s">
        <v>286</v>
      </c>
      <c r="F6" s="203" t="s">
        <v>201</v>
      </c>
      <c r="G6" s="203" t="s">
        <v>407</v>
      </c>
      <c r="H6" s="65" t="s">
        <v>274</v>
      </c>
    </row>
    <row r="7" spans="1:8" ht="15" customHeight="1">
      <c r="A7" s="65">
        <v>3</v>
      </c>
      <c r="B7" s="158" t="s">
        <v>50</v>
      </c>
      <c r="C7" s="35" t="s">
        <v>202</v>
      </c>
      <c r="D7" s="35" t="s">
        <v>329</v>
      </c>
      <c r="E7" s="35" t="s">
        <v>330</v>
      </c>
      <c r="F7" s="35" t="s">
        <v>203</v>
      </c>
      <c r="G7" s="35" t="s">
        <v>379</v>
      </c>
      <c r="H7" s="65" t="s">
        <v>314</v>
      </c>
    </row>
    <row r="8" spans="1:8" ht="15" customHeight="1">
      <c r="A8" s="65">
        <v>4</v>
      </c>
      <c r="B8" s="158" t="s">
        <v>51</v>
      </c>
      <c r="C8" s="35" t="s">
        <v>202</v>
      </c>
      <c r="D8" s="35" t="s">
        <v>324</v>
      </c>
      <c r="E8" s="35" t="s">
        <v>325</v>
      </c>
      <c r="F8" s="35" t="s">
        <v>201</v>
      </c>
      <c r="G8" s="35" t="s">
        <v>379</v>
      </c>
      <c r="H8" s="65" t="s">
        <v>314</v>
      </c>
    </row>
    <row r="9" spans="1:8" ht="15" customHeight="1">
      <c r="A9" s="65">
        <v>5</v>
      </c>
      <c r="B9" s="158" t="s">
        <v>29</v>
      </c>
      <c r="C9" s="203" t="s">
        <v>202</v>
      </c>
      <c r="D9" s="203" t="s">
        <v>285</v>
      </c>
      <c r="E9" s="203" t="s">
        <v>284</v>
      </c>
      <c r="F9" s="203" t="s">
        <v>201</v>
      </c>
      <c r="G9" s="203" t="s">
        <v>407</v>
      </c>
      <c r="H9" s="65" t="s">
        <v>274</v>
      </c>
    </row>
    <row r="10" spans="1:8" ht="15" customHeight="1">
      <c r="A10" s="65">
        <v>5</v>
      </c>
      <c r="B10" s="158" t="s">
        <v>29</v>
      </c>
      <c r="C10" s="35" t="s">
        <v>202</v>
      </c>
      <c r="D10" s="35" t="s">
        <v>301</v>
      </c>
      <c r="E10" s="35" t="s">
        <v>302</v>
      </c>
      <c r="F10" s="35" t="s">
        <v>201</v>
      </c>
      <c r="G10" s="35" t="s">
        <v>407</v>
      </c>
      <c r="H10" s="65" t="s">
        <v>293</v>
      </c>
    </row>
    <row r="11" spans="1:8" ht="15" customHeight="1">
      <c r="A11" s="65">
        <v>5</v>
      </c>
      <c r="B11" s="158" t="s">
        <v>29</v>
      </c>
      <c r="C11" s="203" t="s">
        <v>202</v>
      </c>
      <c r="D11" s="203" t="s">
        <v>278</v>
      </c>
      <c r="E11" s="203" t="s">
        <v>279</v>
      </c>
      <c r="F11" s="203" t="s">
        <v>201</v>
      </c>
      <c r="G11" s="203" t="s">
        <v>407</v>
      </c>
      <c r="H11" s="65" t="s">
        <v>274</v>
      </c>
    </row>
    <row r="12" spans="1:8" ht="15" customHeight="1">
      <c r="A12" s="65">
        <v>6</v>
      </c>
      <c r="B12" s="158" t="s">
        <v>30</v>
      </c>
      <c r="C12" s="35" t="s">
        <v>202</v>
      </c>
      <c r="D12" s="35" t="s">
        <v>337</v>
      </c>
      <c r="E12" s="35" t="s">
        <v>284</v>
      </c>
      <c r="F12" s="35" t="s">
        <v>201</v>
      </c>
      <c r="G12" s="35" t="s">
        <v>407</v>
      </c>
      <c r="H12" s="65" t="s">
        <v>293</v>
      </c>
    </row>
    <row r="13" spans="1:8" ht="15" customHeight="1">
      <c r="A13" s="65">
        <v>6</v>
      </c>
      <c r="B13" s="158" t="s">
        <v>30</v>
      </c>
      <c r="C13" s="203" t="s">
        <v>202</v>
      </c>
      <c r="D13" s="203" t="s">
        <v>400</v>
      </c>
      <c r="E13" s="203" t="s">
        <v>283</v>
      </c>
      <c r="F13" s="203" t="s">
        <v>401</v>
      </c>
      <c r="G13" s="203" t="s">
        <v>407</v>
      </c>
      <c r="H13" s="65" t="s">
        <v>274</v>
      </c>
    </row>
    <row r="14" spans="1:8" ht="15" customHeight="1">
      <c r="A14" s="65">
        <v>7</v>
      </c>
      <c r="B14" s="158" t="s">
        <v>25</v>
      </c>
      <c r="C14" s="35" t="s">
        <v>202</v>
      </c>
      <c r="D14" s="35" t="s">
        <v>333</v>
      </c>
      <c r="E14" s="35" t="s">
        <v>332</v>
      </c>
      <c r="F14" s="35" t="s">
        <v>205</v>
      </c>
      <c r="G14" s="35" t="s">
        <v>379</v>
      </c>
      <c r="H14" s="65" t="s">
        <v>314</v>
      </c>
    </row>
    <row r="15" spans="1:8" ht="15" customHeight="1">
      <c r="A15" s="65">
        <v>8</v>
      </c>
      <c r="B15" s="158" t="s">
        <v>31</v>
      </c>
      <c r="C15" s="35" t="s">
        <v>202</v>
      </c>
      <c r="D15" s="35" t="s">
        <v>404</v>
      </c>
      <c r="E15" s="35" t="s">
        <v>321</v>
      </c>
      <c r="F15" s="35" t="s">
        <v>204</v>
      </c>
      <c r="G15" s="35" t="s">
        <v>408</v>
      </c>
      <c r="H15" s="65" t="s">
        <v>293</v>
      </c>
    </row>
    <row r="16" spans="1:8" ht="15" customHeight="1">
      <c r="A16" s="65">
        <v>9</v>
      </c>
      <c r="B16" s="158" t="s">
        <v>32</v>
      </c>
      <c r="C16" s="35" t="s">
        <v>202</v>
      </c>
      <c r="D16" s="35" t="s">
        <v>315</v>
      </c>
      <c r="E16" s="35" t="s">
        <v>316</v>
      </c>
      <c r="F16" s="35" t="s">
        <v>205</v>
      </c>
      <c r="G16" s="35" t="s">
        <v>379</v>
      </c>
      <c r="H16" s="65" t="s">
        <v>314</v>
      </c>
    </row>
    <row r="17" spans="1:8" ht="15" customHeight="1">
      <c r="A17" s="65">
        <v>10</v>
      </c>
      <c r="B17" s="158" t="s">
        <v>26</v>
      </c>
      <c r="C17" s="35" t="s">
        <v>202</v>
      </c>
      <c r="D17" s="35" t="s">
        <v>403</v>
      </c>
      <c r="E17" s="35" t="s">
        <v>292</v>
      </c>
      <c r="F17" s="35" t="s">
        <v>256</v>
      </c>
      <c r="G17" s="35" t="s">
        <v>408</v>
      </c>
      <c r="H17" s="65" t="s">
        <v>293</v>
      </c>
    </row>
    <row r="18" spans="1:8" ht="15" customHeight="1">
      <c r="A18" s="65">
        <v>10</v>
      </c>
      <c r="B18" s="158" t="s">
        <v>26</v>
      </c>
      <c r="C18" s="35" t="s">
        <v>202</v>
      </c>
      <c r="D18" s="35" t="s">
        <v>335</v>
      </c>
      <c r="E18" s="35" t="s">
        <v>320</v>
      </c>
      <c r="F18" s="35" t="s">
        <v>256</v>
      </c>
      <c r="G18" s="35" t="s">
        <v>379</v>
      </c>
      <c r="H18" s="65" t="s">
        <v>314</v>
      </c>
    </row>
    <row r="19" spans="1:8" ht="15" customHeight="1">
      <c r="A19" s="65">
        <v>11</v>
      </c>
      <c r="B19" s="158" t="s">
        <v>27</v>
      </c>
      <c r="C19" s="35" t="s">
        <v>254</v>
      </c>
      <c r="D19" s="35" t="s">
        <v>311</v>
      </c>
      <c r="E19" s="35" t="s">
        <v>319</v>
      </c>
      <c r="F19" s="35" t="s">
        <v>201</v>
      </c>
      <c r="G19" s="35" t="s">
        <v>379</v>
      </c>
      <c r="H19" s="65" t="s">
        <v>307</v>
      </c>
    </row>
    <row r="20" spans="1:8" ht="15" customHeight="1">
      <c r="A20" s="65">
        <v>11</v>
      </c>
      <c r="B20" s="158" t="s">
        <v>27</v>
      </c>
      <c r="C20" s="35" t="s">
        <v>202</v>
      </c>
      <c r="D20" s="203" t="s">
        <v>255</v>
      </c>
      <c r="E20" s="203" t="s">
        <v>282</v>
      </c>
      <c r="F20" s="203" t="s">
        <v>201</v>
      </c>
      <c r="G20" s="203" t="s">
        <v>407</v>
      </c>
      <c r="H20" s="65" t="s">
        <v>274</v>
      </c>
    </row>
    <row r="21" spans="1:8" ht="15" customHeight="1">
      <c r="A21" s="65">
        <v>11</v>
      </c>
      <c r="B21" s="158" t="s">
        <v>27</v>
      </c>
      <c r="C21" s="35" t="s">
        <v>202</v>
      </c>
      <c r="D21" s="35" t="s">
        <v>317</v>
      </c>
      <c r="E21" s="35" t="s">
        <v>318</v>
      </c>
      <c r="F21" s="35" t="s">
        <v>401</v>
      </c>
      <c r="G21" s="35" t="s">
        <v>379</v>
      </c>
      <c r="H21" s="65" t="s">
        <v>307</v>
      </c>
    </row>
    <row r="22" spans="1:8" ht="15" customHeight="1">
      <c r="A22" s="65">
        <v>12</v>
      </c>
      <c r="B22" s="158" t="s">
        <v>52</v>
      </c>
      <c r="C22" s="35" t="s">
        <v>202</v>
      </c>
      <c r="D22" s="35" t="s">
        <v>336</v>
      </c>
      <c r="E22" s="35" t="s">
        <v>302</v>
      </c>
      <c r="F22" s="35" t="s">
        <v>204</v>
      </c>
      <c r="G22" s="35" t="s">
        <v>379</v>
      </c>
      <c r="H22" s="65" t="s">
        <v>314</v>
      </c>
    </row>
    <row r="23" spans="1:8" ht="15" customHeight="1">
      <c r="A23" s="65">
        <v>13</v>
      </c>
      <c r="B23" s="158" t="s">
        <v>46</v>
      </c>
      <c r="C23" s="35" t="s">
        <v>202</v>
      </c>
      <c r="D23" s="35" t="s">
        <v>289</v>
      </c>
      <c r="E23" s="35" t="s">
        <v>287</v>
      </c>
      <c r="F23" s="35" t="s">
        <v>401</v>
      </c>
      <c r="G23" s="35" t="s">
        <v>407</v>
      </c>
      <c r="H23" s="65" t="s">
        <v>288</v>
      </c>
    </row>
    <row r="24" spans="1:8" ht="15" customHeight="1">
      <c r="A24" s="65">
        <v>14</v>
      </c>
      <c r="B24" s="158" t="s">
        <v>47</v>
      </c>
      <c r="C24" s="35" t="s">
        <v>202</v>
      </c>
      <c r="D24" s="35" t="s">
        <v>297</v>
      </c>
      <c r="E24" s="35" t="s">
        <v>298</v>
      </c>
      <c r="F24" s="35" t="s">
        <v>206</v>
      </c>
      <c r="G24" s="35" t="s">
        <v>408</v>
      </c>
      <c r="H24" s="65" t="s">
        <v>293</v>
      </c>
    </row>
    <row r="25" spans="1:8" ht="15" customHeight="1">
      <c r="A25" s="65">
        <v>15</v>
      </c>
      <c r="B25" s="158" t="s">
        <v>33</v>
      </c>
      <c r="C25" s="35" t="s">
        <v>202</v>
      </c>
      <c r="D25" s="35" t="s">
        <v>297</v>
      </c>
      <c r="E25" s="35" t="s">
        <v>298</v>
      </c>
      <c r="F25" s="35" t="s">
        <v>206</v>
      </c>
      <c r="G25" s="35" t="s">
        <v>408</v>
      </c>
      <c r="H25" s="65" t="s">
        <v>293</v>
      </c>
    </row>
    <row r="26" spans="1:8" ht="15" customHeight="1">
      <c r="A26" s="65">
        <v>16</v>
      </c>
      <c r="B26" s="158" t="s">
        <v>34</v>
      </c>
      <c r="C26" s="35" t="s">
        <v>202</v>
      </c>
      <c r="D26" s="35" t="s">
        <v>297</v>
      </c>
      <c r="E26" s="35" t="s">
        <v>298</v>
      </c>
      <c r="F26" s="35" t="s">
        <v>206</v>
      </c>
      <c r="G26" s="35" t="s">
        <v>408</v>
      </c>
      <c r="H26" s="65" t="s">
        <v>293</v>
      </c>
    </row>
    <row r="27" spans="1:8" ht="15" customHeight="1">
      <c r="A27" s="65">
        <v>17</v>
      </c>
      <c r="B27" s="158" t="s">
        <v>53</v>
      </c>
      <c r="C27" s="35" t="s">
        <v>202</v>
      </c>
      <c r="D27" s="35" t="s">
        <v>297</v>
      </c>
      <c r="E27" s="35" t="s">
        <v>298</v>
      </c>
      <c r="F27" s="35" t="s">
        <v>206</v>
      </c>
      <c r="G27" s="35" t="s">
        <v>408</v>
      </c>
      <c r="H27" s="65" t="s">
        <v>293</v>
      </c>
    </row>
    <row r="28" spans="1:8" ht="15" customHeight="1">
      <c r="A28" s="65">
        <v>18</v>
      </c>
      <c r="B28" s="158" t="s">
        <v>35</v>
      </c>
      <c r="C28" s="203" t="s">
        <v>202</v>
      </c>
      <c r="D28" s="203" t="s">
        <v>376</v>
      </c>
      <c r="E28" s="203" t="s">
        <v>281</v>
      </c>
      <c r="F28" s="203" t="s">
        <v>201</v>
      </c>
      <c r="G28" s="203" t="s">
        <v>407</v>
      </c>
      <c r="H28" s="65" t="s">
        <v>274</v>
      </c>
    </row>
    <row r="29" spans="1:8" ht="15" customHeight="1">
      <c r="A29" s="65">
        <v>19</v>
      </c>
      <c r="B29" s="158" t="s">
        <v>36</v>
      </c>
      <c r="C29" s="203" t="s">
        <v>202</v>
      </c>
      <c r="D29" s="203" t="s">
        <v>272</v>
      </c>
      <c r="E29" s="203" t="s">
        <v>273</v>
      </c>
      <c r="F29" s="203" t="s">
        <v>201</v>
      </c>
      <c r="G29" s="203" t="s">
        <v>407</v>
      </c>
      <c r="H29" s="65" t="s">
        <v>274</v>
      </c>
    </row>
    <row r="30" spans="1:8" ht="15" customHeight="1">
      <c r="A30" s="65">
        <v>20</v>
      </c>
      <c r="B30" s="158" t="s">
        <v>54</v>
      </c>
      <c r="C30" s="35" t="s">
        <v>202</v>
      </c>
      <c r="D30" s="35" t="s">
        <v>322</v>
      </c>
      <c r="E30" s="35" t="s">
        <v>323</v>
      </c>
      <c r="F30" s="35" t="s">
        <v>207</v>
      </c>
      <c r="G30" s="35" t="s">
        <v>379</v>
      </c>
      <c r="H30" s="65" t="s">
        <v>314</v>
      </c>
    </row>
    <row r="31" spans="1:8" ht="15" customHeight="1">
      <c r="A31" s="65">
        <v>21</v>
      </c>
      <c r="B31" s="158" t="s">
        <v>37</v>
      </c>
      <c r="C31" s="35" t="s">
        <v>202</v>
      </c>
      <c r="D31" s="35" t="s">
        <v>297</v>
      </c>
      <c r="E31" s="35" t="s">
        <v>298</v>
      </c>
      <c r="F31" s="35" t="s">
        <v>206</v>
      </c>
      <c r="G31" s="35" t="s">
        <v>408</v>
      </c>
      <c r="H31" s="65" t="s">
        <v>293</v>
      </c>
    </row>
    <row r="32" spans="1:8" ht="15" customHeight="1">
      <c r="A32" s="65">
        <v>22</v>
      </c>
      <c r="B32" s="158" t="s">
        <v>38</v>
      </c>
      <c r="C32" s="35" t="s">
        <v>202</v>
      </c>
      <c r="D32" s="35" t="s">
        <v>326</v>
      </c>
      <c r="E32" s="35" t="s">
        <v>309</v>
      </c>
      <c r="F32" s="35" t="s">
        <v>405</v>
      </c>
      <c r="G32" s="35" t="s">
        <v>379</v>
      </c>
      <c r="H32" s="65" t="s">
        <v>307</v>
      </c>
    </row>
    <row r="33" spans="1:8" ht="15" customHeight="1">
      <c r="A33" s="65">
        <v>23</v>
      </c>
      <c r="B33" s="158" t="s">
        <v>39</v>
      </c>
      <c r="C33" s="35" t="s">
        <v>202</v>
      </c>
      <c r="D33" s="35" t="s">
        <v>310</v>
      </c>
      <c r="E33" s="35" t="s">
        <v>309</v>
      </c>
      <c r="F33" s="35" t="s">
        <v>405</v>
      </c>
      <c r="G33" s="35" t="s">
        <v>379</v>
      </c>
      <c r="H33" s="65" t="s">
        <v>307</v>
      </c>
    </row>
    <row r="34" spans="1:8" ht="15" customHeight="1">
      <c r="A34" s="65">
        <v>24</v>
      </c>
      <c r="B34" s="158" t="s">
        <v>40</v>
      </c>
      <c r="C34" s="35" t="s">
        <v>202</v>
      </c>
      <c r="D34" s="203" t="s">
        <v>271</v>
      </c>
      <c r="E34" s="203" t="s">
        <v>406</v>
      </c>
      <c r="F34" s="203" t="s">
        <v>201</v>
      </c>
      <c r="G34" s="203" t="s">
        <v>407</v>
      </c>
      <c r="H34" s="65" t="s">
        <v>274</v>
      </c>
    </row>
    <row r="35" spans="1:8" ht="15" customHeight="1">
      <c r="A35" s="65">
        <v>24</v>
      </c>
      <c r="B35" s="158" t="s">
        <v>40</v>
      </c>
      <c r="C35" s="35" t="s">
        <v>202</v>
      </c>
      <c r="D35" s="35" t="s">
        <v>295</v>
      </c>
      <c r="E35" s="35" t="s">
        <v>296</v>
      </c>
      <c r="F35" s="35" t="s">
        <v>206</v>
      </c>
      <c r="G35" s="35" t="s">
        <v>408</v>
      </c>
      <c r="H35" s="65" t="s">
        <v>293</v>
      </c>
    </row>
    <row r="36" spans="1:8" ht="15" customHeight="1">
      <c r="A36" s="65">
        <v>25</v>
      </c>
      <c r="B36" s="158" t="s">
        <v>41</v>
      </c>
      <c r="C36" s="35" t="s">
        <v>202</v>
      </c>
      <c r="D36" s="35" t="s">
        <v>295</v>
      </c>
      <c r="E36" s="35" t="s">
        <v>296</v>
      </c>
      <c r="F36" s="35" t="s">
        <v>206</v>
      </c>
      <c r="G36" s="35" t="s">
        <v>408</v>
      </c>
      <c r="H36" s="65" t="s">
        <v>293</v>
      </c>
    </row>
    <row r="37" spans="1:8" ht="15" customHeight="1">
      <c r="A37" s="65">
        <v>26</v>
      </c>
      <c r="B37" s="158" t="s">
        <v>42</v>
      </c>
      <c r="C37" s="35" t="s">
        <v>202</v>
      </c>
      <c r="D37" s="35" t="s">
        <v>342</v>
      </c>
      <c r="E37" s="35" t="s">
        <v>343</v>
      </c>
      <c r="F37" s="35" t="s">
        <v>201</v>
      </c>
      <c r="G37" s="35" t="s">
        <v>407</v>
      </c>
      <c r="H37" s="65" t="s">
        <v>293</v>
      </c>
    </row>
    <row r="38" spans="1:8" ht="15" customHeight="1">
      <c r="A38" s="65">
        <v>26</v>
      </c>
      <c r="B38" s="158" t="s">
        <v>42</v>
      </c>
      <c r="C38" s="35" t="s">
        <v>202</v>
      </c>
      <c r="D38" s="35" t="s">
        <v>308</v>
      </c>
      <c r="E38" s="35" t="s">
        <v>306</v>
      </c>
      <c r="F38" s="35" t="s">
        <v>203</v>
      </c>
      <c r="G38" s="35" t="s">
        <v>407</v>
      </c>
      <c r="H38" s="65" t="s">
        <v>293</v>
      </c>
    </row>
    <row r="39" spans="1:8" ht="15" customHeight="1">
      <c r="A39" s="65">
        <v>27</v>
      </c>
      <c r="B39" s="158" t="s">
        <v>43</v>
      </c>
      <c r="C39" s="203" t="s">
        <v>202</v>
      </c>
      <c r="D39" s="203" t="s">
        <v>269</v>
      </c>
      <c r="E39" s="203" t="s">
        <v>270</v>
      </c>
      <c r="F39" s="203" t="s">
        <v>201</v>
      </c>
      <c r="G39" s="203" t="s">
        <v>407</v>
      </c>
      <c r="H39" s="65" t="s">
        <v>274</v>
      </c>
    </row>
    <row r="40" spans="1:8" ht="15" customHeight="1">
      <c r="A40" s="65">
        <v>27</v>
      </c>
      <c r="B40" s="158" t="s">
        <v>43</v>
      </c>
      <c r="C40" s="35" t="s">
        <v>202</v>
      </c>
      <c r="D40" s="35" t="s">
        <v>338</v>
      </c>
      <c r="E40" s="35" t="s">
        <v>339</v>
      </c>
      <c r="F40" s="35" t="s">
        <v>401</v>
      </c>
      <c r="G40" s="35" t="s">
        <v>407</v>
      </c>
      <c r="H40" s="65" t="s">
        <v>293</v>
      </c>
    </row>
    <row r="41" spans="1:8" ht="15" customHeight="1">
      <c r="A41" s="65">
        <v>28</v>
      </c>
      <c r="B41" s="158" t="s">
        <v>49</v>
      </c>
      <c r="C41" s="35" t="s">
        <v>202</v>
      </c>
      <c r="D41" s="35" t="s">
        <v>334</v>
      </c>
      <c r="E41" s="35" t="s">
        <v>402</v>
      </c>
      <c r="F41" s="35" t="s">
        <v>201</v>
      </c>
      <c r="G41" s="35" t="s">
        <v>407</v>
      </c>
      <c r="H41" s="65" t="s">
        <v>288</v>
      </c>
    </row>
    <row r="42" spans="1:8" ht="15" customHeight="1">
      <c r="A42" s="65">
        <v>28</v>
      </c>
      <c r="B42" s="158" t="s">
        <v>49</v>
      </c>
      <c r="C42" s="35" t="s">
        <v>202</v>
      </c>
      <c r="D42" s="35" t="s">
        <v>312</v>
      </c>
      <c r="E42" s="35" t="s">
        <v>313</v>
      </c>
      <c r="F42" s="35" t="s">
        <v>203</v>
      </c>
      <c r="G42" s="35" t="s">
        <v>379</v>
      </c>
      <c r="H42" s="65" t="s">
        <v>307</v>
      </c>
    </row>
    <row r="43" spans="1:8" ht="15" customHeight="1">
      <c r="A43" s="65">
        <v>29</v>
      </c>
      <c r="B43" s="158" t="s">
        <v>44</v>
      </c>
      <c r="C43" s="203" t="s">
        <v>202</v>
      </c>
      <c r="D43" s="203" t="s">
        <v>290</v>
      </c>
      <c r="E43" s="203" t="s">
        <v>291</v>
      </c>
      <c r="F43" s="203" t="s">
        <v>201</v>
      </c>
      <c r="G43" s="203" t="s">
        <v>407</v>
      </c>
      <c r="H43" s="65" t="s">
        <v>274</v>
      </c>
    </row>
    <row r="44" spans="1:8" ht="15" customHeight="1">
      <c r="A44" s="65">
        <v>29</v>
      </c>
      <c r="B44" s="158" t="s">
        <v>44</v>
      </c>
      <c r="C44" s="35" t="s">
        <v>202</v>
      </c>
      <c r="D44" s="35" t="s">
        <v>304</v>
      </c>
      <c r="E44" s="35" t="s">
        <v>294</v>
      </c>
      <c r="F44" s="35" t="s">
        <v>401</v>
      </c>
      <c r="G44" s="35" t="s">
        <v>407</v>
      </c>
      <c r="H44" s="65" t="s">
        <v>293</v>
      </c>
    </row>
    <row r="45" spans="1:8" ht="15" customHeight="1">
      <c r="A45" s="65">
        <v>30</v>
      </c>
      <c r="B45" s="158" t="s">
        <v>45</v>
      </c>
      <c r="C45" s="35" t="s">
        <v>202</v>
      </c>
      <c r="D45" s="35" t="s">
        <v>340</v>
      </c>
      <c r="E45" s="35" t="s">
        <v>341</v>
      </c>
      <c r="F45" s="35" t="s">
        <v>203</v>
      </c>
      <c r="G45" s="35" t="s">
        <v>379</v>
      </c>
      <c r="H45" s="65" t="s">
        <v>307</v>
      </c>
    </row>
    <row r="46" spans="1:8" ht="15" customHeight="1">
      <c r="A46" s="65">
        <v>31</v>
      </c>
      <c r="B46" s="158" t="s">
        <v>48</v>
      </c>
      <c r="C46" s="203" t="s">
        <v>202</v>
      </c>
      <c r="D46" s="203" t="s">
        <v>275</v>
      </c>
      <c r="E46" s="203" t="s">
        <v>276</v>
      </c>
      <c r="F46" s="203" t="s">
        <v>201</v>
      </c>
      <c r="G46" s="203" t="s">
        <v>407</v>
      </c>
      <c r="H46" s="65" t="s">
        <v>274</v>
      </c>
    </row>
    <row r="47" spans="1:8" ht="15" customHeight="1">
      <c r="A47" s="65">
        <v>31</v>
      </c>
      <c r="B47" s="158" t="s">
        <v>48</v>
      </c>
      <c r="C47" s="35" t="s">
        <v>202</v>
      </c>
      <c r="D47" s="35" t="s">
        <v>303</v>
      </c>
      <c r="E47" s="35" t="s">
        <v>305</v>
      </c>
      <c r="F47" s="35" t="s">
        <v>401</v>
      </c>
      <c r="G47" s="35" t="s">
        <v>407</v>
      </c>
      <c r="H47" s="65" t="s">
        <v>293</v>
      </c>
    </row>
  </sheetData>
  <autoFilter ref="A1:H47" xr:uid="{A6F8F13B-7797-4C51-A89D-9CE0BA69982B}"/>
  <pageMargins left="0.70866141732283472" right="0.70866141732283472" top="0.74803149606299213" bottom="0.74803149606299213" header="0.31496062992125984" footer="0.31496062992125984"/>
  <pageSetup scale="2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0923-2373-4152-9B7C-54891CD649E0}">
  <dimension ref="B1:O34"/>
  <sheetViews>
    <sheetView zoomScale="80" zoomScaleNormal="80" workbookViewId="0">
      <pane ySplit="2" topLeftCell="A3" activePane="bottomLeft" state="frozenSplit"/>
      <selection pane="bottomLeft" activeCell="M23" sqref="M23"/>
    </sheetView>
  </sheetViews>
  <sheetFormatPr baseColWidth="10" defaultRowHeight="14.4"/>
  <cols>
    <col min="1" max="1" width="3.33203125" customWidth="1"/>
    <col min="2" max="2" width="9" bestFit="1" customWidth="1"/>
    <col min="3" max="3" width="32.21875" bestFit="1" customWidth="1"/>
    <col min="4" max="4" width="19.77734375" bestFit="1" customWidth="1"/>
    <col min="5" max="5" width="18" customWidth="1"/>
    <col min="6" max="6" width="13.109375" bestFit="1" customWidth="1"/>
    <col min="7" max="7" width="12.77734375" customWidth="1"/>
    <col min="8" max="8" width="14.21875" customWidth="1"/>
    <col min="11" max="11" width="12.44140625" customWidth="1"/>
    <col min="12" max="12" width="12.5546875" customWidth="1"/>
    <col min="13" max="13" width="12.6640625" customWidth="1"/>
    <col min="14" max="14" width="12.5546875" customWidth="1"/>
    <col min="15" max="15" width="14.109375" customWidth="1"/>
  </cols>
  <sheetData>
    <row r="1" spans="2:15">
      <c r="E1" s="139">
        <v>0.75</v>
      </c>
      <c r="J1" s="109" t="s">
        <v>373</v>
      </c>
      <c r="K1" s="138">
        <v>0.5</v>
      </c>
      <c r="L1" s="139">
        <v>0.75</v>
      </c>
      <c r="M1" s="138">
        <v>0.9</v>
      </c>
      <c r="N1" s="138">
        <v>0.95</v>
      </c>
      <c r="O1" s="138">
        <v>0.99</v>
      </c>
    </row>
    <row r="2" spans="2:15" ht="60" customHeight="1">
      <c r="B2" s="76" t="s">
        <v>56</v>
      </c>
      <c r="C2" s="77" t="s">
        <v>55</v>
      </c>
      <c r="D2" s="77" t="s">
        <v>265</v>
      </c>
      <c r="E2" s="76" t="s">
        <v>266</v>
      </c>
      <c r="F2" s="78" t="s">
        <v>346</v>
      </c>
      <c r="G2" s="78" t="s">
        <v>347</v>
      </c>
      <c r="H2" s="78" t="s">
        <v>57</v>
      </c>
      <c r="I2" s="78" t="s">
        <v>267</v>
      </c>
      <c r="K2" s="76" t="s">
        <v>372</v>
      </c>
      <c r="L2" s="76" t="s">
        <v>372</v>
      </c>
      <c r="M2" s="76" t="s">
        <v>372</v>
      </c>
      <c r="N2" s="76" t="s">
        <v>372</v>
      </c>
      <c r="O2" s="76" t="s">
        <v>372</v>
      </c>
    </row>
    <row r="3" spans="2:15" ht="12" customHeight="1">
      <c r="B3" s="79">
        <v>1</v>
      </c>
      <c r="C3" s="82" t="s">
        <v>28</v>
      </c>
      <c r="D3" s="85">
        <f>I3*(1/H3)</f>
        <v>148320</v>
      </c>
      <c r="E3" s="88">
        <v>12</v>
      </c>
      <c r="F3" s="81"/>
      <c r="G3" s="81"/>
      <c r="H3" s="80">
        <f>CM!F3</f>
        <v>3.3333333333333333E-2</v>
      </c>
      <c r="I3" s="80">
        <f>412*12</f>
        <v>4944</v>
      </c>
      <c r="K3" s="88"/>
      <c r="L3" s="88"/>
      <c r="M3" s="88"/>
      <c r="N3" s="88"/>
      <c r="O3" s="88"/>
    </row>
    <row r="4" spans="2:15" ht="12" customHeight="1">
      <c r="B4" s="79">
        <v>2</v>
      </c>
      <c r="C4" s="79" t="s">
        <v>20</v>
      </c>
      <c r="D4" s="85">
        <f>I4*(1/H4)</f>
        <v>24720</v>
      </c>
      <c r="E4" s="88">
        <v>6</v>
      </c>
      <c r="F4" s="81"/>
      <c r="G4" s="81"/>
      <c r="H4" s="80">
        <f>CM!F4</f>
        <v>0.2</v>
      </c>
      <c r="I4" s="80">
        <f t="shared" ref="I4:I33" si="0">412*12</f>
        <v>4944</v>
      </c>
      <c r="K4" s="88"/>
      <c r="L4" s="88"/>
      <c r="M4" s="88"/>
      <c r="N4" s="88"/>
      <c r="O4" s="88"/>
    </row>
    <row r="5" spans="2:15" ht="12" customHeight="1">
      <c r="B5" s="79">
        <v>3</v>
      </c>
      <c r="C5" s="79" t="s">
        <v>64</v>
      </c>
      <c r="D5" s="85">
        <f>I5*(1/H5)</f>
        <v>34608</v>
      </c>
      <c r="E5" s="88">
        <v>12</v>
      </c>
      <c r="F5" s="81"/>
      <c r="G5" s="81"/>
      <c r="H5" s="80">
        <f>CM!F5</f>
        <v>0.14285714285714285</v>
      </c>
      <c r="I5" s="80">
        <f t="shared" si="0"/>
        <v>4944</v>
      </c>
      <c r="K5" s="88"/>
      <c r="L5" s="88"/>
      <c r="M5" s="88"/>
      <c r="N5" s="88"/>
      <c r="O5" s="88"/>
    </row>
    <row r="6" spans="2:15" ht="12" customHeight="1">
      <c r="B6" s="79">
        <v>4</v>
      </c>
      <c r="C6" s="79" t="s">
        <v>51</v>
      </c>
      <c r="D6" s="85">
        <f t="shared" ref="D6:D33" si="1">I6*(1/H6)</f>
        <v>148320</v>
      </c>
      <c r="E6" s="88">
        <v>12</v>
      </c>
      <c r="F6" s="81"/>
      <c r="G6" s="81"/>
      <c r="H6" s="80">
        <f>CM!F6</f>
        <v>3.3333333333333333E-2</v>
      </c>
      <c r="I6" s="80">
        <f t="shared" si="0"/>
        <v>4944</v>
      </c>
      <c r="K6" s="88"/>
      <c r="L6" s="88"/>
      <c r="M6" s="88"/>
      <c r="N6" s="88"/>
      <c r="O6" s="88"/>
    </row>
    <row r="7" spans="2:15" ht="12" customHeight="1">
      <c r="B7" s="79">
        <v>5</v>
      </c>
      <c r="C7" s="79" t="s">
        <v>70</v>
      </c>
      <c r="D7" s="85">
        <f t="shared" si="1"/>
        <v>19776</v>
      </c>
      <c r="E7" s="88">
        <v>1</v>
      </c>
      <c r="F7" s="81"/>
      <c r="G7" s="81"/>
      <c r="H7" s="80">
        <f>CM!F7</f>
        <v>0.25</v>
      </c>
      <c r="I7" s="80">
        <f t="shared" si="0"/>
        <v>4944</v>
      </c>
      <c r="K7" s="88"/>
      <c r="L7" s="88"/>
      <c r="M7" s="88"/>
      <c r="N7" s="88"/>
      <c r="O7" s="88"/>
    </row>
    <row r="8" spans="2:15" ht="12" customHeight="1">
      <c r="B8" s="79">
        <v>6</v>
      </c>
      <c r="C8" s="83" t="s">
        <v>73</v>
      </c>
      <c r="D8" s="85">
        <f t="shared" si="1"/>
        <v>2472</v>
      </c>
      <c r="E8" s="91">
        <f>((F8*(-LN(0.75))^(1/G8))/24)/30</f>
        <v>1.2846866259375311</v>
      </c>
      <c r="F8" s="89">
        <v>4374.71</v>
      </c>
      <c r="G8" s="89">
        <v>0.80182500000000001</v>
      </c>
      <c r="H8" s="80">
        <f>CM!F8</f>
        <v>2</v>
      </c>
      <c r="I8" s="80">
        <f t="shared" si="0"/>
        <v>4944</v>
      </c>
      <c r="K8" s="89">
        <f>(($F$8*(-LN(0.5))^(1/$G$8))/24)</f>
        <v>115.4044927762114</v>
      </c>
      <c r="L8" s="89">
        <f>(($F$8*(-LN(0.75))^(1/$G$8))/24)</f>
        <v>38.540598778125933</v>
      </c>
      <c r="M8" s="89">
        <f>(($F$8*(-LN(0.9))^(1/$G$8))/24)</f>
        <v>11.011993300160762</v>
      </c>
      <c r="N8" s="89">
        <f>(($F$8*(-LN(0.95))^(1/$G$8))/24)</f>
        <v>4.4872858853242654</v>
      </c>
      <c r="O8" s="89">
        <f>(($F$8*(-LN(0.99))^(1/$G$8))/24)</f>
        <v>0.5876891682070372</v>
      </c>
    </row>
    <row r="9" spans="2:15" ht="12" customHeight="1">
      <c r="B9" s="79">
        <v>7</v>
      </c>
      <c r="C9" s="79" t="s">
        <v>25</v>
      </c>
      <c r="D9" s="85">
        <f t="shared" si="1"/>
        <v>148320</v>
      </c>
      <c r="E9" s="88">
        <v>12</v>
      </c>
      <c r="F9" s="81"/>
      <c r="G9" s="81"/>
      <c r="H9" s="80">
        <f>CM!F9</f>
        <v>3.3333333333333333E-2</v>
      </c>
      <c r="I9" s="80">
        <f t="shared" si="0"/>
        <v>4944</v>
      </c>
      <c r="K9" s="88"/>
      <c r="L9" s="88"/>
      <c r="M9" s="88"/>
      <c r="N9" s="88"/>
      <c r="O9" s="88"/>
    </row>
    <row r="10" spans="2:15" ht="12" customHeight="1">
      <c r="B10" s="79">
        <v>8</v>
      </c>
      <c r="C10" s="79" t="s">
        <v>31</v>
      </c>
      <c r="D10" s="85">
        <f t="shared" si="1"/>
        <v>49440</v>
      </c>
      <c r="E10" s="88">
        <v>1</v>
      </c>
      <c r="F10" s="81"/>
      <c r="G10" s="81"/>
      <c r="H10" s="80">
        <f>CM!F10</f>
        <v>0.1</v>
      </c>
      <c r="I10" s="80">
        <f t="shared" si="0"/>
        <v>4944</v>
      </c>
      <c r="K10" s="88"/>
      <c r="L10" s="88"/>
      <c r="M10" s="88"/>
      <c r="N10" s="88"/>
      <c r="O10" s="88"/>
    </row>
    <row r="11" spans="2:15" ht="12" customHeight="1">
      <c r="B11" s="79">
        <v>9</v>
      </c>
      <c r="C11" s="79" t="s">
        <v>32</v>
      </c>
      <c r="D11" s="85">
        <f t="shared" si="1"/>
        <v>148320</v>
      </c>
      <c r="E11" s="88">
        <v>12</v>
      </c>
      <c r="F11" s="81"/>
      <c r="G11" s="81"/>
      <c r="H11" s="80">
        <f>CM!F11</f>
        <v>3.3333333333333333E-2</v>
      </c>
      <c r="I11" s="80">
        <f t="shared" si="0"/>
        <v>4944</v>
      </c>
      <c r="K11" s="88"/>
      <c r="L11" s="88"/>
      <c r="M11" s="88"/>
      <c r="N11" s="88"/>
      <c r="O11" s="88"/>
    </row>
    <row r="12" spans="2:15" ht="12" customHeight="1">
      <c r="B12" s="79">
        <v>10</v>
      </c>
      <c r="C12" s="83" t="s">
        <v>26</v>
      </c>
      <c r="D12" s="85">
        <f t="shared" si="1"/>
        <v>24720</v>
      </c>
      <c r="E12" s="90">
        <f>((F12*(-LN(0.75))^(1/G12))/24)/30</f>
        <v>8.2949806295265702E-2</v>
      </c>
      <c r="F12" s="89">
        <v>4136</v>
      </c>
      <c r="G12" s="89">
        <v>0.29399999999999998</v>
      </c>
      <c r="H12" s="80">
        <f>CM!F12</f>
        <v>0.2</v>
      </c>
      <c r="I12" s="80">
        <f t="shared" si="0"/>
        <v>4944</v>
      </c>
      <c r="J12">
        <v>1</v>
      </c>
      <c r="K12" s="89">
        <f>(($F$12*(-LN(0.5))^(1/$G$12))/24)</f>
        <v>49.540375255360686</v>
      </c>
      <c r="L12" s="89">
        <f>(($F$12*(-LN(0.75))^(1/$G$12))/24)</f>
        <v>2.4884941888579712</v>
      </c>
      <c r="M12" s="89">
        <f>(($F$12*(-LN(0.9))^(1/$G$12))/24)</f>
        <v>8.1685395456570303E-2</v>
      </c>
      <c r="N12" s="89">
        <f>(($F$12*(-LN(0.95))^(1/$G$12))/24)</f>
        <v>7.0602533498390395E-3</v>
      </c>
      <c r="O12" s="89">
        <f>(($F$12*(-LN(0.99))^(1/$G$12))/24)</f>
        <v>2.7609918285321179E-5</v>
      </c>
    </row>
    <row r="13" spans="2:15" ht="12" customHeight="1">
      <c r="B13" s="79">
        <v>11</v>
      </c>
      <c r="C13" s="84" t="s">
        <v>27</v>
      </c>
      <c r="D13" s="85">
        <f t="shared" si="1"/>
        <v>98880</v>
      </c>
      <c r="E13" s="90">
        <f>((F13*(-LN(0.75))^(1/G13))/24)/30</f>
        <v>0.19189120246444202</v>
      </c>
      <c r="F13" s="89">
        <v>1713.77</v>
      </c>
      <c r="G13" s="89">
        <v>0.49479200000000001</v>
      </c>
      <c r="H13" s="80">
        <f>CM!F13</f>
        <v>0.05</v>
      </c>
      <c r="I13" s="80">
        <f t="shared" si="0"/>
        <v>4944</v>
      </c>
      <c r="J13" t="s">
        <v>288</v>
      </c>
      <c r="K13" s="89">
        <f>(($F$13*(-LN(0.5))^(1/$G$13))/24)</f>
        <v>34.044063374188369</v>
      </c>
      <c r="L13" s="89">
        <f>(($F$13*(-LN(0.75))^(1/$G$13))/24)</f>
        <v>5.7567360739332605</v>
      </c>
      <c r="M13" s="89">
        <f>(($F$13*(-LN(0.9))^(1/$G$13))/24)</f>
        <v>0.75600244088677648</v>
      </c>
      <c r="N13" s="89">
        <f>(($F$13*(-LN(0.95))^(1/$G$13))/24)</f>
        <v>0.17648492632114032</v>
      </c>
      <c r="O13" s="89">
        <f>(($F$13*(-LN(0.99))^(1/$G$13))/24)</f>
        <v>6.5470522662146634E-3</v>
      </c>
    </row>
    <row r="14" spans="2:15" ht="12" customHeight="1">
      <c r="B14" s="79">
        <v>12</v>
      </c>
      <c r="C14" s="79" t="s">
        <v>88</v>
      </c>
      <c r="D14" s="85">
        <f t="shared" si="1"/>
        <v>49440</v>
      </c>
      <c r="E14" s="88">
        <v>12</v>
      </c>
      <c r="F14" s="81"/>
      <c r="G14" s="81"/>
      <c r="H14" s="80">
        <f>CM!F14</f>
        <v>0.1</v>
      </c>
      <c r="I14" s="80">
        <f t="shared" si="0"/>
        <v>4944</v>
      </c>
      <c r="K14" s="88"/>
      <c r="L14" s="88"/>
      <c r="M14" s="88"/>
      <c r="N14" s="88"/>
      <c r="O14" s="88"/>
    </row>
    <row r="15" spans="2:15" ht="12" customHeight="1">
      <c r="B15" s="79">
        <v>13</v>
      </c>
      <c r="C15" s="84" t="s">
        <v>46</v>
      </c>
      <c r="D15" s="85">
        <f t="shared" si="1"/>
        <v>2472</v>
      </c>
      <c r="E15" s="90">
        <f>((F15*(-LN(0.75))^(1/G15))/24)/30</f>
        <v>8.2949806295265702E-2</v>
      </c>
      <c r="F15" s="89">
        <v>4136</v>
      </c>
      <c r="G15" s="89">
        <v>0.29399999999999998</v>
      </c>
      <c r="H15" s="80">
        <f>CM!F15</f>
        <v>2</v>
      </c>
      <c r="I15" s="80">
        <f t="shared" si="0"/>
        <v>4944</v>
      </c>
      <c r="J15" t="s">
        <v>288</v>
      </c>
      <c r="K15" s="89">
        <f>(($F$15*(-LN(0.5))^(1/$G$15))/24)</f>
        <v>49.540375255360686</v>
      </c>
      <c r="L15" s="89">
        <f>(($F$15*(-LN(0.75))^(1/$G$15))/24)</f>
        <v>2.4884941888579712</v>
      </c>
      <c r="M15" s="89">
        <f>(($F$15*(-LN(0.9))^(1/$G$15))/24)</f>
        <v>8.1685395456570303E-2</v>
      </c>
      <c r="N15" s="89">
        <f>(($F$15*(-LN(0.95))^(1/$G$15))/24)</f>
        <v>7.0602533498390395E-3</v>
      </c>
      <c r="O15" s="89">
        <f>(($F$15*(-LN(0.99))^(1/$G$15))/24)</f>
        <v>2.7609918285321179E-5</v>
      </c>
    </row>
    <row r="16" spans="2:15" ht="12" customHeight="1">
      <c r="B16" s="79">
        <v>14</v>
      </c>
      <c r="C16" s="79" t="s">
        <v>47</v>
      </c>
      <c r="D16" s="85">
        <f t="shared" si="1"/>
        <v>14832</v>
      </c>
      <c r="E16" s="88">
        <v>1</v>
      </c>
      <c r="F16" s="81"/>
      <c r="G16" s="81"/>
      <c r="H16" s="80">
        <f>CM!F16</f>
        <v>0.33333333333333331</v>
      </c>
      <c r="I16" s="80">
        <f t="shared" si="0"/>
        <v>4944</v>
      </c>
      <c r="K16" s="88"/>
      <c r="L16" s="88"/>
      <c r="M16" s="88"/>
      <c r="N16" s="88"/>
      <c r="O16" s="88"/>
    </row>
    <row r="17" spans="2:15" ht="12" customHeight="1">
      <c r="B17" s="79">
        <v>15</v>
      </c>
      <c r="C17" s="79" t="s">
        <v>33</v>
      </c>
      <c r="D17" s="85">
        <f t="shared" si="1"/>
        <v>49440</v>
      </c>
      <c r="E17" s="88">
        <v>1</v>
      </c>
      <c r="F17" s="81"/>
      <c r="G17" s="81"/>
      <c r="H17" s="80">
        <f>CM!F17</f>
        <v>0.1</v>
      </c>
      <c r="I17" s="80">
        <f t="shared" si="0"/>
        <v>4944</v>
      </c>
      <c r="K17" s="88"/>
      <c r="L17" s="88"/>
      <c r="M17" s="88"/>
      <c r="N17" s="88"/>
      <c r="O17" s="88"/>
    </row>
    <row r="18" spans="2:15" ht="12" customHeight="1">
      <c r="B18" s="79">
        <v>16</v>
      </c>
      <c r="C18" s="79" t="s">
        <v>34</v>
      </c>
      <c r="D18" s="85">
        <f t="shared" si="1"/>
        <v>49440</v>
      </c>
      <c r="E18" s="88">
        <v>1</v>
      </c>
      <c r="F18" s="81"/>
      <c r="G18" s="81"/>
      <c r="H18" s="80">
        <f>CM!F18</f>
        <v>0.1</v>
      </c>
      <c r="I18" s="80">
        <f t="shared" si="0"/>
        <v>4944</v>
      </c>
      <c r="K18" s="88"/>
      <c r="L18" s="88"/>
      <c r="M18" s="88"/>
      <c r="N18" s="88"/>
      <c r="O18" s="88"/>
    </row>
    <row r="19" spans="2:15" ht="12" customHeight="1">
      <c r="B19" s="79">
        <v>17</v>
      </c>
      <c r="C19" s="79" t="s">
        <v>53</v>
      </c>
      <c r="D19" s="85">
        <f t="shared" si="1"/>
        <v>49440</v>
      </c>
      <c r="E19" s="88">
        <v>1</v>
      </c>
      <c r="F19" s="81"/>
      <c r="G19" s="81"/>
      <c r="H19" s="80">
        <f>CM!F19</f>
        <v>0.1</v>
      </c>
      <c r="I19" s="80">
        <f t="shared" si="0"/>
        <v>4944</v>
      </c>
      <c r="K19" s="88"/>
      <c r="L19" s="88"/>
      <c r="M19" s="88"/>
      <c r="N19" s="88"/>
      <c r="O19" s="88"/>
    </row>
    <row r="20" spans="2:15" ht="12" customHeight="1">
      <c r="B20" s="79">
        <v>18</v>
      </c>
      <c r="C20" s="79" t="s">
        <v>35</v>
      </c>
      <c r="D20" s="85">
        <f t="shared" si="1"/>
        <v>49440</v>
      </c>
      <c r="E20" s="81">
        <v>0.03</v>
      </c>
      <c r="F20" s="81"/>
      <c r="G20" s="81"/>
      <c r="H20" s="80">
        <f>CM!F20</f>
        <v>0.1</v>
      </c>
      <c r="I20" s="80">
        <f t="shared" si="0"/>
        <v>4944</v>
      </c>
      <c r="K20" s="81"/>
      <c r="L20" s="81"/>
      <c r="M20" s="81"/>
      <c r="N20" s="81"/>
      <c r="O20" s="81"/>
    </row>
    <row r="21" spans="2:15" ht="12" customHeight="1">
      <c r="B21" s="79">
        <v>19</v>
      </c>
      <c r="C21" s="79" t="s">
        <v>36</v>
      </c>
      <c r="D21" s="85">
        <f t="shared" si="1"/>
        <v>24720</v>
      </c>
      <c r="E21" s="81">
        <v>0.03</v>
      </c>
      <c r="F21" s="81"/>
      <c r="G21" s="81"/>
      <c r="H21" s="80">
        <f>CM!F21</f>
        <v>0.2</v>
      </c>
      <c r="I21" s="80">
        <f t="shared" si="0"/>
        <v>4944</v>
      </c>
      <c r="K21" s="81"/>
      <c r="L21" s="81"/>
      <c r="M21" s="81"/>
      <c r="N21" s="81"/>
      <c r="O21" s="81"/>
    </row>
    <row r="22" spans="2:15" ht="12" customHeight="1">
      <c r="B22" s="79">
        <v>20</v>
      </c>
      <c r="C22" s="79" t="s">
        <v>101</v>
      </c>
      <c r="D22" s="85">
        <f t="shared" si="1"/>
        <v>24720</v>
      </c>
      <c r="E22" s="88">
        <v>12</v>
      </c>
      <c r="F22" s="81"/>
      <c r="G22" s="81"/>
      <c r="H22" s="80">
        <f>CM!F22</f>
        <v>0.2</v>
      </c>
      <c r="I22" s="80">
        <f t="shared" si="0"/>
        <v>4944</v>
      </c>
      <c r="K22" s="88"/>
      <c r="L22" s="88"/>
      <c r="M22" s="88"/>
      <c r="N22" s="88"/>
      <c r="O22" s="88"/>
    </row>
    <row r="23" spans="2:15" ht="12" customHeight="1">
      <c r="B23" s="79">
        <v>21</v>
      </c>
      <c r="C23" s="79" t="s">
        <v>37</v>
      </c>
      <c r="D23" s="85">
        <f t="shared" si="1"/>
        <v>49440</v>
      </c>
      <c r="E23" s="88">
        <v>1</v>
      </c>
      <c r="F23" s="81"/>
      <c r="G23" s="81"/>
      <c r="H23" s="80">
        <f>CM!F23</f>
        <v>0.1</v>
      </c>
      <c r="I23" s="80">
        <f t="shared" si="0"/>
        <v>4944</v>
      </c>
      <c r="K23" s="88"/>
      <c r="L23" s="88"/>
      <c r="M23" s="88"/>
      <c r="N23" s="88"/>
      <c r="O23" s="88"/>
    </row>
    <row r="24" spans="2:15" ht="12" customHeight="1">
      <c r="B24" s="79">
        <v>22</v>
      </c>
      <c r="C24" s="79" t="s">
        <v>106</v>
      </c>
      <c r="D24" s="85">
        <f t="shared" si="1"/>
        <v>9888</v>
      </c>
      <c r="E24" s="88">
        <v>6</v>
      </c>
      <c r="F24" s="81"/>
      <c r="G24" s="81"/>
      <c r="H24" s="80">
        <f>CM!F24</f>
        <v>0.5</v>
      </c>
      <c r="I24" s="80">
        <f t="shared" si="0"/>
        <v>4944</v>
      </c>
      <c r="K24" s="88"/>
      <c r="L24" s="88"/>
      <c r="M24" s="88"/>
      <c r="N24" s="88"/>
      <c r="O24" s="88"/>
    </row>
    <row r="25" spans="2:15" ht="12" customHeight="1">
      <c r="B25" s="79">
        <v>23</v>
      </c>
      <c r="C25" s="79" t="s">
        <v>110</v>
      </c>
      <c r="D25" s="85">
        <f t="shared" si="1"/>
        <v>9888</v>
      </c>
      <c r="E25" s="88">
        <v>6</v>
      </c>
      <c r="F25" s="81"/>
      <c r="G25" s="81"/>
      <c r="H25" s="80">
        <f>CM!F25</f>
        <v>0.5</v>
      </c>
      <c r="I25" s="80">
        <f t="shared" si="0"/>
        <v>4944</v>
      </c>
      <c r="K25" s="88"/>
      <c r="L25" s="88"/>
      <c r="M25" s="88"/>
      <c r="N25" s="88"/>
      <c r="O25" s="88"/>
    </row>
    <row r="26" spans="2:15" ht="12" customHeight="1">
      <c r="B26" s="79">
        <v>24</v>
      </c>
      <c r="C26" s="79" t="s">
        <v>113</v>
      </c>
      <c r="D26" s="85">
        <f t="shared" si="1"/>
        <v>24720</v>
      </c>
      <c r="E26" s="88">
        <v>1</v>
      </c>
      <c r="F26" s="81"/>
      <c r="G26" s="81"/>
      <c r="H26" s="80">
        <f>CM!F26</f>
        <v>0.2</v>
      </c>
      <c r="I26" s="80">
        <f t="shared" si="0"/>
        <v>4944</v>
      </c>
      <c r="K26" s="88"/>
      <c r="L26" s="88"/>
      <c r="M26" s="88"/>
      <c r="N26" s="88"/>
      <c r="O26" s="88"/>
    </row>
    <row r="27" spans="2:15" ht="12" customHeight="1">
      <c r="B27" s="79">
        <v>25</v>
      </c>
      <c r="C27" s="79" t="s">
        <v>115</v>
      </c>
      <c r="D27" s="85">
        <f t="shared" si="1"/>
        <v>24720</v>
      </c>
      <c r="E27" s="88">
        <v>1</v>
      </c>
      <c r="F27" s="81"/>
      <c r="G27" s="81"/>
      <c r="H27" s="80">
        <f>CM!F27</f>
        <v>0.2</v>
      </c>
      <c r="I27" s="80">
        <f t="shared" si="0"/>
        <v>4944</v>
      </c>
      <c r="K27" s="88"/>
      <c r="L27" s="88"/>
      <c r="M27" s="88"/>
      <c r="N27" s="88"/>
      <c r="O27" s="88"/>
    </row>
    <row r="28" spans="2:15" ht="12" customHeight="1">
      <c r="B28" s="79">
        <v>26</v>
      </c>
      <c r="C28" s="83" t="s">
        <v>42</v>
      </c>
      <c r="D28" s="85">
        <f t="shared" si="1"/>
        <v>148320</v>
      </c>
      <c r="E28" s="88">
        <v>1</v>
      </c>
      <c r="F28" s="81"/>
      <c r="G28" s="81"/>
      <c r="H28" s="80">
        <f>CM!F28</f>
        <v>3.3333333333333333E-2</v>
      </c>
      <c r="I28" s="80">
        <f t="shared" si="0"/>
        <v>4944</v>
      </c>
      <c r="K28" s="88"/>
      <c r="L28" s="88"/>
      <c r="M28" s="88"/>
      <c r="N28" s="88"/>
      <c r="O28" s="88"/>
    </row>
    <row r="29" spans="2:15" ht="12" customHeight="1">
      <c r="B29" s="79">
        <v>27</v>
      </c>
      <c r="C29" s="79" t="s">
        <v>43</v>
      </c>
      <c r="D29" s="85">
        <f t="shared" si="1"/>
        <v>24720</v>
      </c>
      <c r="E29" s="88">
        <v>1</v>
      </c>
      <c r="F29" s="81"/>
      <c r="G29" s="81"/>
      <c r="H29" s="80">
        <f>CM!F29</f>
        <v>0.2</v>
      </c>
      <c r="I29" s="80">
        <f t="shared" si="0"/>
        <v>4944</v>
      </c>
      <c r="K29" s="88"/>
      <c r="L29" s="88"/>
      <c r="M29" s="88"/>
      <c r="N29" s="88"/>
      <c r="O29" s="88"/>
    </row>
    <row r="30" spans="2:15" ht="12" customHeight="1">
      <c r="B30" s="79">
        <v>28</v>
      </c>
      <c r="C30" s="79" t="s">
        <v>49</v>
      </c>
      <c r="D30" s="85">
        <f t="shared" si="1"/>
        <v>4944</v>
      </c>
      <c r="E30" s="88">
        <v>6</v>
      </c>
      <c r="F30" s="81"/>
      <c r="G30" s="81"/>
      <c r="H30" s="80">
        <f>CM!F30</f>
        <v>1</v>
      </c>
      <c r="I30" s="80">
        <f t="shared" si="0"/>
        <v>4944</v>
      </c>
      <c r="K30" s="88"/>
      <c r="L30" s="88"/>
      <c r="M30" s="88"/>
      <c r="N30" s="88"/>
      <c r="O30" s="88"/>
    </row>
    <row r="31" spans="2:15" ht="12" customHeight="1">
      <c r="B31" s="79">
        <v>29</v>
      </c>
      <c r="C31" s="79" t="s">
        <v>44</v>
      </c>
      <c r="D31" s="85">
        <f t="shared" si="1"/>
        <v>9888</v>
      </c>
      <c r="E31" s="88">
        <v>1</v>
      </c>
      <c r="F31" s="81"/>
      <c r="G31" s="81"/>
      <c r="H31" s="80">
        <f>CM!F31</f>
        <v>0.5</v>
      </c>
      <c r="I31" s="80">
        <f t="shared" si="0"/>
        <v>4944</v>
      </c>
      <c r="K31" s="88"/>
      <c r="L31" s="88"/>
      <c r="M31" s="88"/>
      <c r="N31" s="88"/>
      <c r="O31" s="88"/>
    </row>
    <row r="32" spans="2:15" ht="12" customHeight="1">
      <c r="B32" s="79">
        <v>30</v>
      </c>
      <c r="C32" s="79" t="s">
        <v>45</v>
      </c>
      <c r="D32" s="85">
        <f t="shared" si="1"/>
        <v>24720</v>
      </c>
      <c r="E32" s="88">
        <v>6</v>
      </c>
      <c r="F32" s="81"/>
      <c r="G32" s="81"/>
      <c r="H32" s="80">
        <f>CM!F32</f>
        <v>0.2</v>
      </c>
      <c r="I32" s="80">
        <f t="shared" si="0"/>
        <v>4944</v>
      </c>
      <c r="K32" s="88"/>
      <c r="L32" s="88"/>
      <c r="M32" s="88"/>
      <c r="N32" s="88"/>
      <c r="O32" s="88"/>
    </row>
    <row r="33" spans="2:15" ht="12" customHeight="1">
      <c r="B33" s="79">
        <v>31</v>
      </c>
      <c r="C33" s="83" t="s">
        <v>48</v>
      </c>
      <c r="D33" s="85">
        <f t="shared" si="1"/>
        <v>4944</v>
      </c>
      <c r="E33" s="90">
        <f>((F33*(-LN(0.75))^(1/G33))/24)/30</f>
        <v>0.45567022699806453</v>
      </c>
      <c r="F33" s="89">
        <v>6411.2349999999997</v>
      </c>
      <c r="G33" s="89">
        <v>0.41913600000000001</v>
      </c>
      <c r="H33" s="80">
        <f>CM!F33</f>
        <v>1</v>
      </c>
      <c r="I33" s="80">
        <f t="shared" si="0"/>
        <v>4944</v>
      </c>
      <c r="J33">
        <v>1</v>
      </c>
      <c r="K33" s="89">
        <f>(($F$33*(-LN(0.5))^(1/$G$33))/24)</f>
        <v>111.41976015363463</v>
      </c>
      <c r="L33" s="89">
        <f>(($F$33*(-LN(0.75))^(1/$G$33))/24)</f>
        <v>13.670106809941936</v>
      </c>
      <c r="M33" s="89">
        <f>(($F$33*(-LN(0.9))^(1/$G$33))/24)</f>
        <v>1.2444466763025051</v>
      </c>
      <c r="N33" s="89">
        <f>(($F$33*(-LN(0.95))^(1/$G$33))/24)</f>
        <v>0.22341640421081013</v>
      </c>
      <c r="O33" s="89">
        <f>(($F$33*(-LN(0.99))^(1/$G$33))/24)</f>
        <v>4.5731150576838664E-3</v>
      </c>
    </row>
    <row r="34" spans="2:15" ht="12" customHeight="1">
      <c r="H34" s="66"/>
    </row>
  </sheetData>
  <autoFilter ref="B2:H33" xr:uid="{63B4CEDD-6386-475C-B5C2-131E2349FA09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498A-21DD-4EB5-8629-E760454A925C}">
  <dimension ref="A1:P46"/>
  <sheetViews>
    <sheetView zoomScaleNormal="100" workbookViewId="0">
      <selection activeCell="D5" sqref="D5"/>
    </sheetView>
  </sheetViews>
  <sheetFormatPr baseColWidth="10" defaultRowHeight="14.4"/>
  <cols>
    <col min="1" max="1" width="3.21875" customWidth="1"/>
    <col min="2" max="2" width="4.109375" customWidth="1"/>
    <col min="3" max="3" width="11.44140625" customWidth="1"/>
    <col min="4" max="4" width="8.21875" bestFit="1" customWidth="1"/>
    <col min="5" max="5" width="10.109375" bestFit="1" customWidth="1"/>
    <col min="6" max="6" width="5.5546875" bestFit="1" customWidth="1"/>
    <col min="7" max="7" width="6.21875" bestFit="1" customWidth="1"/>
    <col min="8" max="8" width="6.6640625" bestFit="1" customWidth="1"/>
    <col min="9" max="9" width="11.77734375" bestFit="1" customWidth="1"/>
    <col min="10" max="10" width="6.77734375" bestFit="1" customWidth="1"/>
    <col min="11" max="11" width="6.21875" bestFit="1" customWidth="1"/>
    <col min="12" max="12" width="17" customWidth="1"/>
    <col min="13" max="13" width="14.88671875" customWidth="1"/>
    <col min="14" max="14" width="13.44140625" customWidth="1"/>
    <col min="15" max="15" width="15.5546875" customWidth="1"/>
  </cols>
  <sheetData>
    <row r="1" spans="1:16">
      <c r="A1" s="110" t="s">
        <v>27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</row>
    <row r="2" spans="1:16">
      <c r="A2" s="111"/>
      <c r="B2" s="112" t="s">
        <v>413</v>
      </c>
      <c r="C2" s="113"/>
      <c r="D2" s="111"/>
      <c r="E2" s="113" t="s">
        <v>356</v>
      </c>
      <c r="F2" s="113" t="s">
        <v>356</v>
      </c>
      <c r="G2" s="111"/>
      <c r="H2" s="111"/>
      <c r="I2" s="111"/>
      <c r="J2" s="113" t="s">
        <v>356</v>
      </c>
      <c r="K2" s="113" t="s">
        <v>356</v>
      </c>
      <c r="L2" s="113"/>
      <c r="M2" s="113"/>
      <c r="N2" s="113"/>
      <c r="O2" s="111"/>
      <c r="P2" s="111"/>
    </row>
    <row r="3" spans="1:16">
      <c r="A3" s="111"/>
      <c r="B3" s="114">
        <v>4</v>
      </c>
      <c r="C3" s="111"/>
      <c r="D3" s="111"/>
      <c r="E3" s="115">
        <f>SUM(E6:E10)</f>
        <v>0.64448347072337253</v>
      </c>
      <c r="F3" s="115">
        <f>SUM(F6:F10)</f>
        <v>0.10943860978660572</v>
      </c>
      <c r="G3" s="111"/>
      <c r="H3" s="111"/>
      <c r="I3" s="111"/>
      <c r="J3" s="115">
        <f>SUM(J6:J10)</f>
        <v>-0.39539620923681912</v>
      </c>
      <c r="K3" s="115">
        <f>SUM(K6:K10)</f>
        <v>-8.4335319738071388E-2</v>
      </c>
      <c r="L3" s="115"/>
      <c r="M3" s="115"/>
      <c r="N3" s="115"/>
      <c r="O3" s="111"/>
      <c r="P3" s="111"/>
    </row>
    <row r="4" spans="1:16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</row>
    <row r="5" spans="1:16" ht="43.2" customHeight="1">
      <c r="A5" s="111"/>
      <c r="B5" s="118" t="s">
        <v>357</v>
      </c>
      <c r="C5" s="117" t="s">
        <v>358</v>
      </c>
      <c r="D5" s="118" t="s">
        <v>359</v>
      </c>
      <c r="E5" s="199" t="s">
        <v>360</v>
      </c>
      <c r="F5" s="199" t="s">
        <v>361</v>
      </c>
      <c r="G5" s="118" t="s">
        <v>362</v>
      </c>
      <c r="H5" s="118" t="s">
        <v>363</v>
      </c>
      <c r="I5" s="118" t="s">
        <v>364</v>
      </c>
      <c r="J5" s="118" t="s">
        <v>365</v>
      </c>
      <c r="K5" s="118" t="s">
        <v>366</v>
      </c>
      <c r="L5" s="201" t="s">
        <v>414</v>
      </c>
      <c r="M5" s="201" t="s">
        <v>415</v>
      </c>
      <c r="N5" s="200" t="s">
        <v>417</v>
      </c>
      <c r="O5" s="201" t="s">
        <v>416</v>
      </c>
    </row>
    <row r="6" spans="1:16">
      <c r="A6" s="111"/>
      <c r="B6" s="121">
        <v>1</v>
      </c>
      <c r="C6" s="122">
        <v>104</v>
      </c>
      <c r="D6" s="123">
        <f>LN(C6)</f>
        <v>4.6443908991413725</v>
      </c>
      <c r="E6" s="124">
        <f>1/D6</f>
        <v>0.21531348711084464</v>
      </c>
      <c r="F6" s="124">
        <f>POWER(E6,2)</f>
        <v>4.6359897731831856E-2</v>
      </c>
      <c r="G6" s="123">
        <f>1-(B6/($B$3+1))</f>
        <v>0.8</v>
      </c>
      <c r="H6" s="123">
        <f>LN(1/G6)</f>
        <v>0.22314355131420976</v>
      </c>
      <c r="I6" s="123">
        <f>LN(H6)</f>
        <v>-1.4999399867595156</v>
      </c>
      <c r="J6" s="123">
        <f>I6/D6</f>
        <v>-0.32295730900618541</v>
      </c>
      <c r="K6" s="123">
        <f>J6*E6</f>
        <v>-6.9537064390056372E-2</v>
      </c>
      <c r="L6" s="120">
        <f>(B3*K3)-(J3*E3)</f>
        <v>-8.2514957712475578E-2</v>
      </c>
      <c r="M6" s="198">
        <f>(K3*E3)-(J3*F3)</f>
        <v>-1.1081108115586234E-2</v>
      </c>
      <c r="N6" s="195">
        <f>EXP(L6/M6)</f>
        <v>1713.7746706045989</v>
      </c>
      <c r="O6" s="120">
        <f>K3/(E3-(LN(N6)*F3))</f>
        <v>0.49479183473166427</v>
      </c>
    </row>
    <row r="7" spans="1:16">
      <c r="A7" s="111"/>
      <c r="B7" s="121">
        <v>2</v>
      </c>
      <c r="C7" s="122">
        <v>408</v>
      </c>
      <c r="D7" s="123">
        <f t="shared" ref="D7:D9" si="0">LN(C7)</f>
        <v>6.0112671744041615</v>
      </c>
      <c r="E7" s="124">
        <f t="shared" ref="E7:E9" si="1">1/D7</f>
        <v>0.16635427622614699</v>
      </c>
      <c r="F7" s="124">
        <f t="shared" ref="F7:F9" si="2">POWER(E7,2)</f>
        <v>2.7673745218725211E-2</v>
      </c>
      <c r="G7" s="123">
        <f t="shared" ref="G7:G9" si="3">1-(B7/($B$3+1))</f>
        <v>0.6</v>
      </c>
      <c r="H7" s="123">
        <f t="shared" ref="H7:H9" si="4">LN(1/G7)</f>
        <v>0.51082562376599072</v>
      </c>
      <c r="I7" s="123">
        <f t="shared" ref="I7:I9" si="5">LN(H7)</f>
        <v>-0.67172699209212194</v>
      </c>
      <c r="J7" s="123">
        <f t="shared" ref="J7:J9" si="6">I7/D7</f>
        <v>-0.1117446575910517</v>
      </c>
      <c r="K7" s="123">
        <f t="shared" ref="K7:K9" si="7">J7*E7</f>
        <v>-1.8589201635698029E-2</v>
      </c>
      <c r="L7" s="125"/>
      <c r="M7" s="125"/>
      <c r="N7" s="196"/>
      <c r="O7" s="111"/>
    </row>
    <row r="8" spans="1:16" ht="15" thickBot="1">
      <c r="A8" s="111"/>
      <c r="B8" s="121">
        <v>3</v>
      </c>
      <c r="C8" s="122">
        <v>712</v>
      </c>
      <c r="D8" s="123">
        <f t="shared" si="0"/>
        <v>6.5680779114119758</v>
      </c>
      <c r="E8" s="124">
        <f t="shared" si="1"/>
        <v>0.15225154352424916</v>
      </c>
      <c r="F8" s="124">
        <f t="shared" si="2"/>
        <v>2.3180532505516337E-2</v>
      </c>
      <c r="G8" s="123">
        <f t="shared" si="3"/>
        <v>0.4</v>
      </c>
      <c r="H8" s="123">
        <f t="shared" si="4"/>
        <v>0.91629073187415511</v>
      </c>
      <c r="I8" s="123">
        <f t="shared" si="5"/>
        <v>-8.7421571790755048E-2</v>
      </c>
      <c r="J8" s="123">
        <f t="shared" si="6"/>
        <v>-1.3310069242458415E-2</v>
      </c>
      <c r="K8" s="123">
        <f t="shared" si="7"/>
        <v>-2.0264785865789273E-3</v>
      </c>
      <c r="L8" s="125"/>
      <c r="M8" s="125"/>
      <c r="N8" s="196"/>
      <c r="O8" s="111"/>
    </row>
    <row r="9" spans="1:16">
      <c r="A9" s="111"/>
      <c r="B9" s="121">
        <v>4</v>
      </c>
      <c r="C9" s="122">
        <v>8472</v>
      </c>
      <c r="D9" s="123">
        <f t="shared" si="0"/>
        <v>9.0445218872812418</v>
      </c>
      <c r="E9" s="124">
        <f t="shared" si="1"/>
        <v>0.11056416386213171</v>
      </c>
      <c r="F9" s="124">
        <f t="shared" si="2"/>
        <v>1.2224434330532311E-2</v>
      </c>
      <c r="G9" s="123">
        <f t="shared" si="3"/>
        <v>0.19999999999999996</v>
      </c>
      <c r="H9" s="123">
        <f t="shared" si="4"/>
        <v>1.6094379124341005</v>
      </c>
      <c r="I9" s="123">
        <f t="shared" si="5"/>
        <v>0.4758849953271107</v>
      </c>
      <c r="J9" s="123">
        <f t="shared" si="6"/>
        <v>5.2615826602876455E-2</v>
      </c>
      <c r="K9" s="123">
        <f t="shared" si="7"/>
        <v>5.8174248742619413E-3</v>
      </c>
      <c r="L9" s="127" t="s">
        <v>367</v>
      </c>
      <c r="M9" s="195">
        <f>1-WEIBULL(N9,O6,N6,TRUE)</f>
        <v>0.75004785695213105</v>
      </c>
      <c r="N9" s="126">
        <v>138.1</v>
      </c>
    </row>
    <row r="10" spans="1:16">
      <c r="A10" s="111"/>
      <c r="B10" s="121"/>
      <c r="C10" s="129"/>
      <c r="D10" s="130"/>
      <c r="E10" s="120"/>
      <c r="F10" s="120"/>
      <c r="G10" s="130"/>
      <c r="H10" s="130"/>
      <c r="I10" s="130"/>
      <c r="J10" s="130"/>
      <c r="K10" s="130"/>
      <c r="L10" s="132" t="s">
        <v>368</v>
      </c>
      <c r="M10" s="197">
        <f>N6*EXP(GAMMALN((1+(1/O6))))</f>
        <v>3495.0902879743826</v>
      </c>
    </row>
    <row r="11" spans="1:16">
      <c r="A11" s="111"/>
      <c r="B11" s="134"/>
      <c r="C11" s="135"/>
      <c r="D11" s="131"/>
      <c r="E11" s="111"/>
      <c r="F11" s="111"/>
      <c r="G11" s="131"/>
      <c r="H11" s="131"/>
      <c r="I11" s="131"/>
      <c r="J11" s="131"/>
      <c r="K11" s="131"/>
      <c r="L11" s="131"/>
      <c r="M11" s="131"/>
      <c r="N11" s="131"/>
      <c r="O11" s="111"/>
      <c r="P11" s="136"/>
    </row>
    <row r="12" spans="1:16">
      <c r="A12" s="111"/>
      <c r="B12" s="134"/>
      <c r="C12" s="135"/>
      <c r="D12" s="131"/>
      <c r="E12" s="111"/>
      <c r="F12" s="111"/>
      <c r="G12" s="131"/>
      <c r="H12" s="131"/>
      <c r="I12" s="131"/>
      <c r="J12" s="131"/>
      <c r="K12" s="131"/>
      <c r="L12" s="131"/>
      <c r="M12" s="131"/>
      <c r="N12" s="131"/>
      <c r="O12" s="111"/>
      <c r="P12" s="136"/>
    </row>
    <row r="13" spans="1:16">
      <c r="A13" s="110" t="s">
        <v>30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</row>
    <row r="14" spans="1:16">
      <c r="A14" s="111"/>
      <c r="B14" s="112" t="s">
        <v>355</v>
      </c>
      <c r="C14" s="113"/>
      <c r="D14" s="111"/>
      <c r="E14" s="113" t="s">
        <v>356</v>
      </c>
      <c r="F14" s="113" t="s">
        <v>356</v>
      </c>
      <c r="G14" s="111"/>
      <c r="H14" s="111"/>
      <c r="I14" s="111"/>
      <c r="J14" s="113" t="s">
        <v>356</v>
      </c>
      <c r="K14" s="113" t="s">
        <v>356</v>
      </c>
      <c r="L14" s="113"/>
      <c r="M14" s="113"/>
      <c r="N14" s="113"/>
      <c r="O14" s="111"/>
      <c r="P14" s="111"/>
    </row>
    <row r="15" spans="1:16">
      <c r="A15" s="111"/>
      <c r="B15" s="114">
        <v>4</v>
      </c>
      <c r="C15" s="111"/>
      <c r="D15" s="111"/>
      <c r="E15" s="115">
        <f>SUM(E18:E22)</f>
        <v>0.51811043193804618</v>
      </c>
      <c r="F15" s="115">
        <f>SUM(F18:F22)</f>
        <v>6.8093516151942063E-2</v>
      </c>
      <c r="G15" s="111"/>
      <c r="H15" s="111"/>
      <c r="I15" s="111"/>
      <c r="J15" s="115">
        <f>SUM(J18:J22)</f>
        <v>-0.27553054077198263</v>
      </c>
      <c r="K15" s="115">
        <f>SUM(K18:K22)</f>
        <v>-4.2302840651979472E-2</v>
      </c>
      <c r="L15" s="115"/>
      <c r="M15" s="115"/>
      <c r="N15" s="115"/>
      <c r="O15" s="111"/>
      <c r="P15" s="111"/>
    </row>
    <row r="16" spans="1:16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</row>
    <row r="17" spans="1:16" ht="25.2" customHeight="1">
      <c r="A17" s="111"/>
      <c r="B17" s="116" t="s">
        <v>357</v>
      </c>
      <c r="C17" s="117" t="s">
        <v>358</v>
      </c>
      <c r="D17" s="118" t="s">
        <v>359</v>
      </c>
      <c r="E17" s="119" t="s">
        <v>360</v>
      </c>
      <c r="F17" s="119" t="s">
        <v>361</v>
      </c>
      <c r="G17" s="118" t="s">
        <v>362</v>
      </c>
      <c r="H17" s="118" t="s">
        <v>363</v>
      </c>
      <c r="I17" s="118" t="s">
        <v>364</v>
      </c>
      <c r="J17" s="118" t="s">
        <v>365</v>
      </c>
      <c r="K17" s="118" t="s">
        <v>366</v>
      </c>
      <c r="L17" s="201" t="s">
        <v>414</v>
      </c>
      <c r="M17" s="201" t="s">
        <v>415</v>
      </c>
      <c r="N17" s="200" t="s">
        <v>417</v>
      </c>
      <c r="O17" s="201" t="s">
        <v>416</v>
      </c>
    </row>
    <row r="18" spans="1:16">
      <c r="A18" s="111"/>
      <c r="B18" s="121">
        <v>1</v>
      </c>
      <c r="C18" s="122">
        <v>648</v>
      </c>
      <c r="D18" s="123">
        <f>LN(C18)</f>
        <v>6.4738906963522744</v>
      </c>
      <c r="E18" s="124">
        <f>1/D18</f>
        <v>0.15446661781970644</v>
      </c>
      <c r="F18" s="124">
        <f>POWER(E18,2)</f>
        <v>2.385993602065925E-2</v>
      </c>
      <c r="G18" s="123">
        <f>1-(B18/($B$15+1))</f>
        <v>0.8</v>
      </c>
      <c r="H18" s="123">
        <f>LN(1/G18)</f>
        <v>0.22314355131420976</v>
      </c>
      <c r="I18" s="123">
        <f>LN(H18)</f>
        <v>-1.4999399867595156</v>
      </c>
      <c r="J18" s="123">
        <f>I18/D18</f>
        <v>-0.23169065668727765</v>
      </c>
      <c r="K18" s="123">
        <f>J18*E18</f>
        <v>-3.5788472118910529E-2</v>
      </c>
      <c r="L18" s="120">
        <f>(B15*K15)-(J15*E15)</f>
        <v>-2.6456115116422513E-2</v>
      </c>
      <c r="M18" s="120">
        <f>(K15*E15)-(J15*F15)</f>
        <v>-3.1556997139930917E-3</v>
      </c>
      <c r="N18" s="120">
        <f>EXP(L18/M18)</f>
        <v>4374.7171539519495</v>
      </c>
      <c r="O18" s="120">
        <f>K15/(E15-(LN(N18)*F15))</f>
        <v>0.80182531054983097</v>
      </c>
    </row>
    <row r="19" spans="1:16">
      <c r="A19" s="111"/>
      <c r="B19" s="121">
        <v>2</v>
      </c>
      <c r="C19" s="122">
        <v>2040</v>
      </c>
      <c r="D19" s="123">
        <f t="shared" ref="D19:D21" si="8">LN(C19)</f>
        <v>7.620705086838262</v>
      </c>
      <c r="E19" s="124">
        <f t="shared" ref="E19:E21" si="9">1/D19</f>
        <v>0.13122145373754227</v>
      </c>
      <c r="F19" s="124">
        <f t="shared" ref="F19:F21" si="10">POWER(E19,2)</f>
        <v>1.7219069920993944E-2</v>
      </c>
      <c r="G19" s="123">
        <f>1-(B19/($B$15+1))</f>
        <v>0.6</v>
      </c>
      <c r="H19" s="123">
        <f t="shared" ref="H19:H21" si="11">LN(1/G19)</f>
        <v>0.51082562376599072</v>
      </c>
      <c r="I19" s="123">
        <f t="shared" ref="I19:I21" si="12">LN(H19)</f>
        <v>-0.67172699209212194</v>
      </c>
      <c r="J19" s="123">
        <f t="shared" ref="J19:J21" si="13">I19/D19</f>
        <v>-8.8144992417074797E-2</v>
      </c>
      <c r="K19" s="123">
        <f t="shared" ref="K19:K21" si="14">J19*E19</f>
        <v>-1.1566514044653194E-2</v>
      </c>
      <c r="L19" s="125"/>
      <c r="M19" s="125"/>
      <c r="N19" s="125"/>
      <c r="O19" s="111"/>
    </row>
    <row r="20" spans="1:16" ht="15" thickBot="1">
      <c r="A20" s="111"/>
      <c r="B20" s="121">
        <v>3</v>
      </c>
      <c r="C20" s="122">
        <v>4896</v>
      </c>
      <c r="D20" s="123">
        <f t="shared" si="8"/>
        <v>8.4961738241921623</v>
      </c>
      <c r="E20" s="124">
        <f t="shared" si="9"/>
        <v>0.11770004012307064</v>
      </c>
      <c r="F20" s="124">
        <f t="shared" si="10"/>
        <v>1.3853299444972439E-2</v>
      </c>
      <c r="G20" s="123">
        <f>1-(B20/($B$15+1))</f>
        <v>0.4</v>
      </c>
      <c r="H20" s="123">
        <f t="shared" si="11"/>
        <v>0.91629073187415511</v>
      </c>
      <c r="I20" s="123">
        <f t="shared" si="12"/>
        <v>-8.7421571790755048E-2</v>
      </c>
      <c r="J20" s="123">
        <f t="shared" si="13"/>
        <v>-1.028952250739377E-2</v>
      </c>
      <c r="K20" s="123">
        <f t="shared" si="14"/>
        <v>-1.2110772119674851E-3</v>
      </c>
      <c r="L20" s="125"/>
      <c r="M20" s="125"/>
      <c r="N20" s="125"/>
      <c r="O20" s="111"/>
    </row>
    <row r="21" spans="1:16">
      <c r="A21" s="111"/>
      <c r="B21" s="121">
        <v>4</v>
      </c>
      <c r="C21" s="122">
        <v>6104</v>
      </c>
      <c r="D21" s="123">
        <f t="shared" si="8"/>
        <v>8.7166995729642931</v>
      </c>
      <c r="E21" s="124">
        <f t="shared" si="9"/>
        <v>0.11472232025772679</v>
      </c>
      <c r="F21" s="124">
        <f t="shared" si="10"/>
        <v>1.316121076531643E-2</v>
      </c>
      <c r="G21" s="123">
        <f>1-(B21/($B$15+1))</f>
        <v>0.19999999999999996</v>
      </c>
      <c r="H21" s="123">
        <f t="shared" si="11"/>
        <v>1.6094379124341005</v>
      </c>
      <c r="I21" s="123">
        <f t="shared" si="12"/>
        <v>0.4758849953271107</v>
      </c>
      <c r="J21" s="123">
        <f t="shared" si="13"/>
        <v>5.4594630839763611E-2</v>
      </c>
      <c r="K21" s="123">
        <f t="shared" si="14"/>
        <v>6.2632227235517287E-3</v>
      </c>
      <c r="L21" s="127" t="s">
        <v>367</v>
      </c>
      <c r="M21" s="128">
        <f>1-WEIBULL(N21,O18,N18,TRUE)</f>
        <v>0.75018266990948135</v>
      </c>
      <c r="N21" s="126">
        <v>924</v>
      </c>
    </row>
    <row r="22" spans="1:16">
      <c r="A22" s="111"/>
      <c r="B22" s="121"/>
      <c r="C22" s="129"/>
      <c r="D22" s="130"/>
      <c r="E22" s="120"/>
      <c r="F22" s="120"/>
      <c r="G22" s="130"/>
      <c r="H22" s="130"/>
      <c r="I22" s="130"/>
      <c r="J22" s="130"/>
      <c r="K22" s="130"/>
      <c r="L22" s="132" t="s">
        <v>368</v>
      </c>
      <c r="M22" s="133">
        <f>N18*EXP(GAMMALN((1+(1/O18))))</f>
        <v>4948.5105240790035</v>
      </c>
      <c r="N22" s="131"/>
      <c r="O22" s="111"/>
    </row>
    <row r="23" spans="1:16">
      <c r="A23" s="111"/>
      <c r="B23" s="111"/>
      <c r="C23" s="137"/>
      <c r="D23" s="131"/>
      <c r="E23" s="111"/>
      <c r="F23" s="111"/>
      <c r="G23" s="131"/>
      <c r="H23" s="131"/>
      <c r="I23" s="131"/>
      <c r="J23" s="131"/>
      <c r="K23" s="131"/>
      <c r="O23" s="111"/>
      <c r="P23" s="111"/>
    </row>
    <row r="24" spans="1:16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</row>
    <row r="25" spans="1:16">
      <c r="A25" s="110" t="s">
        <v>26</v>
      </c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</row>
    <row r="26" spans="1:16">
      <c r="A26" s="111"/>
      <c r="B26" s="112" t="s">
        <v>355</v>
      </c>
      <c r="C26" s="113"/>
      <c r="D26" s="111"/>
      <c r="E26" s="113" t="s">
        <v>356</v>
      </c>
      <c r="F26" s="113" t="s">
        <v>356</v>
      </c>
      <c r="G26" s="111"/>
      <c r="H26" s="111"/>
      <c r="I26" s="111"/>
      <c r="J26" s="113" t="s">
        <v>356</v>
      </c>
      <c r="K26" s="113" t="s">
        <v>356</v>
      </c>
      <c r="L26" s="113"/>
      <c r="M26" s="113"/>
      <c r="N26" s="113"/>
      <c r="O26" s="111"/>
      <c r="P26" s="111"/>
    </row>
    <row r="27" spans="1:16">
      <c r="A27" s="111"/>
      <c r="B27" s="114">
        <v>2</v>
      </c>
      <c r="C27" s="111"/>
      <c r="D27" s="111"/>
      <c r="E27" s="115">
        <f>SUM(E30:E34)</f>
        <v>0.30584473558024633</v>
      </c>
      <c r="F27" s="115">
        <f>SUM(F30:F34)</f>
        <v>4.955043637096114E-2</v>
      </c>
      <c r="G27" s="111"/>
      <c r="H27" s="111"/>
      <c r="I27" s="111"/>
      <c r="J27" s="115">
        <f>SUM(J30:J34)</f>
        <v>-0.16082591676944724</v>
      </c>
      <c r="K27" s="115">
        <f>SUM(K30:K34)</f>
        <v>-3.1400776715272305E-2</v>
      </c>
      <c r="L27" s="115"/>
      <c r="M27" s="115"/>
      <c r="N27" s="115"/>
      <c r="O27" s="111"/>
      <c r="P27" s="111"/>
    </row>
    <row r="28" spans="1:16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</row>
    <row r="29" spans="1:16" ht="40.200000000000003">
      <c r="A29" s="111"/>
      <c r="B29" s="116" t="s">
        <v>357</v>
      </c>
      <c r="C29" s="117" t="s">
        <v>358</v>
      </c>
      <c r="D29" s="118" t="s">
        <v>359</v>
      </c>
      <c r="E29" s="119" t="s">
        <v>360</v>
      </c>
      <c r="F29" s="119" t="s">
        <v>361</v>
      </c>
      <c r="G29" s="118" t="s">
        <v>362</v>
      </c>
      <c r="H29" s="118" t="s">
        <v>363</v>
      </c>
      <c r="I29" s="118" t="s">
        <v>364</v>
      </c>
      <c r="J29" s="118" t="s">
        <v>365</v>
      </c>
      <c r="K29" s="118" t="s">
        <v>366</v>
      </c>
      <c r="L29" s="201" t="s">
        <v>414</v>
      </c>
      <c r="M29" s="201" t="s">
        <v>415</v>
      </c>
      <c r="N29" s="200" t="s">
        <v>417</v>
      </c>
      <c r="O29" s="201" t="s">
        <v>416</v>
      </c>
    </row>
    <row r="30" spans="1:16">
      <c r="A30" s="111"/>
      <c r="B30" s="121">
        <v>1</v>
      </c>
      <c r="C30" s="122">
        <v>192</v>
      </c>
      <c r="D30" s="123">
        <f>LN(C30)</f>
        <v>5.2574953720277815</v>
      </c>
      <c r="E30" s="124">
        <f>1/D30</f>
        <v>0.19020463723476499</v>
      </c>
      <c r="F30" s="124">
        <f>POWER(E30,2)</f>
        <v>3.6177804025608551E-2</v>
      </c>
      <c r="G30" s="123">
        <f>1-(B30/($B$27+1))</f>
        <v>0.66666666666666674</v>
      </c>
      <c r="H30" s="123">
        <f>LN(1/G30)</f>
        <v>0.40546510810816422</v>
      </c>
      <c r="I30" s="123">
        <f>LN(H30)</f>
        <v>-0.9027204557178804</v>
      </c>
      <c r="J30" s="123">
        <f>I30/D30</f>
        <v>-0.17170161680422119</v>
      </c>
      <c r="K30" s="123">
        <f>J30*E30</f>
        <v>-3.2658443736869519E-2</v>
      </c>
      <c r="L30" s="120">
        <f>(B27*K27)-(J27*E27)</f>
        <v>-1.3613793441742315E-2</v>
      </c>
      <c r="M30" s="120">
        <f>(K27*E27)-(J27*F27)</f>
        <v>-1.6347678958108271E-3</v>
      </c>
      <c r="N30" s="120">
        <f>EXP(L30/M30)</f>
        <v>4136.7319125297818</v>
      </c>
      <c r="O30" s="120">
        <f>K27/(E27-(LN(N30)*F27))</f>
        <v>0.29402985332827675</v>
      </c>
    </row>
    <row r="31" spans="1:16">
      <c r="A31" s="111"/>
      <c r="B31" s="121">
        <v>2</v>
      </c>
      <c r="C31" s="122">
        <v>5696</v>
      </c>
      <c r="D31" s="123">
        <f t="shared" ref="D31" si="15">LN(C31)</f>
        <v>8.647519453091812</v>
      </c>
      <c r="E31" s="124">
        <f t="shared" ref="E31" si="16">1/D31</f>
        <v>0.11564009834548132</v>
      </c>
      <c r="F31" s="124">
        <f t="shared" ref="F31" si="17">POWER(E31,2)</f>
        <v>1.3372632345352591E-2</v>
      </c>
      <c r="G31" s="123">
        <f>1-(B31/($B$27+1))</f>
        <v>0.33333333333333337</v>
      </c>
      <c r="H31" s="123">
        <f t="shared" ref="H31" si="18">LN(1/G31)</f>
        <v>1.0986122886681096</v>
      </c>
      <c r="I31" s="123">
        <f t="shared" ref="I31" si="19">LN(H31)</f>
        <v>9.4047827616698901E-2</v>
      </c>
      <c r="J31" s="123">
        <f t="shared" ref="J31" si="20">I31/D31</f>
        <v>1.0875700034773936E-2</v>
      </c>
      <c r="K31" s="123">
        <f t="shared" ref="K31" si="21">J31*E31</f>
        <v>1.2576670215972126E-3</v>
      </c>
      <c r="L31" s="125"/>
      <c r="M31" s="125"/>
      <c r="N31" s="125"/>
      <c r="O31" s="111"/>
    </row>
    <row r="32" spans="1:16" ht="15" thickBot="1">
      <c r="A32" s="111"/>
      <c r="B32" s="121">
        <v>3</v>
      </c>
      <c r="C32" s="122"/>
      <c r="D32" s="123"/>
      <c r="E32" s="124"/>
      <c r="F32" s="124"/>
      <c r="G32" s="123"/>
      <c r="H32" s="123"/>
      <c r="I32" s="123"/>
      <c r="J32" s="123"/>
      <c r="K32" s="123"/>
      <c r="L32" s="125"/>
      <c r="M32" s="125"/>
      <c r="N32" s="125"/>
      <c r="O32" s="111"/>
    </row>
    <row r="33" spans="1:16">
      <c r="A33" s="111"/>
      <c r="B33" s="121">
        <v>4</v>
      </c>
      <c r="C33" s="122"/>
      <c r="D33" s="123"/>
      <c r="E33" s="124"/>
      <c r="F33" s="124"/>
      <c r="G33" s="123"/>
      <c r="H33" s="123"/>
      <c r="I33" s="123"/>
      <c r="J33" s="123"/>
      <c r="K33" s="123"/>
      <c r="L33" s="127" t="s">
        <v>367</v>
      </c>
      <c r="M33" s="128">
        <f>1-WEIBULL(N33,O30,N30,TRUE)</f>
        <v>0.75081103572654384</v>
      </c>
      <c r="N33" s="126">
        <v>59</v>
      </c>
    </row>
    <row r="34" spans="1:16">
      <c r="A34" s="111"/>
      <c r="B34" s="121"/>
      <c r="C34" s="129"/>
      <c r="D34" s="130"/>
      <c r="E34" s="120"/>
      <c r="F34" s="120"/>
      <c r="G34" s="130"/>
      <c r="H34" s="130"/>
      <c r="I34" s="130"/>
      <c r="J34" s="130"/>
      <c r="K34" s="130"/>
      <c r="L34" s="132" t="s">
        <v>368</v>
      </c>
      <c r="M34" s="133">
        <f>N30*EXP(GAMMALN((1+(1/O30))))</f>
        <v>41988.430555442057</v>
      </c>
      <c r="N34" s="111"/>
      <c r="O34" s="111"/>
    </row>
    <row r="35" spans="1:16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O35" s="111"/>
      <c r="P35" s="111"/>
    </row>
    <row r="36" spans="1:16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</row>
    <row r="37" spans="1:16">
      <c r="A37" s="110" t="s">
        <v>42</v>
      </c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</row>
    <row r="38" spans="1:16">
      <c r="A38" s="111"/>
      <c r="B38" s="112" t="s">
        <v>355</v>
      </c>
      <c r="C38" s="113"/>
      <c r="D38" s="111"/>
      <c r="E38" s="113" t="s">
        <v>356</v>
      </c>
      <c r="F38" s="113" t="s">
        <v>356</v>
      </c>
      <c r="G38" s="111"/>
      <c r="H38" s="111"/>
      <c r="I38" s="111"/>
      <c r="J38" s="113" t="s">
        <v>356</v>
      </c>
      <c r="K38" s="113" t="s">
        <v>356</v>
      </c>
      <c r="L38" s="113"/>
      <c r="M38" s="113"/>
      <c r="N38" s="113"/>
      <c r="O38" s="111"/>
      <c r="P38" s="111"/>
    </row>
    <row r="39" spans="1:16">
      <c r="A39" s="111"/>
      <c r="B39" s="114">
        <v>2</v>
      </c>
      <c r="C39" s="111"/>
      <c r="D39" s="111"/>
      <c r="E39" s="115">
        <f>SUM(E42:E46)</f>
        <v>0.26247155633449343</v>
      </c>
      <c r="F39" s="115">
        <f>SUM(F42:F46)</f>
        <v>3.5245935175260104E-2</v>
      </c>
      <c r="G39" s="111"/>
      <c r="H39" s="111"/>
      <c r="I39" s="111"/>
      <c r="J39" s="115">
        <f>SUM(J42:J46)</f>
        <v>-0.1260655887539015</v>
      </c>
      <c r="K39" s="115">
        <f>SUM(K42:K46)</f>
        <v>-1.9484581250924081E-2</v>
      </c>
      <c r="L39" s="115"/>
      <c r="M39" s="115"/>
      <c r="N39" s="115"/>
      <c r="O39" s="111"/>
      <c r="P39" s="111"/>
    </row>
    <row r="40" spans="1:16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</row>
    <row r="41" spans="1:16" ht="40.200000000000003">
      <c r="A41" s="111"/>
      <c r="B41" s="116" t="s">
        <v>357</v>
      </c>
      <c r="C41" s="117" t="s">
        <v>358</v>
      </c>
      <c r="D41" s="118" t="s">
        <v>359</v>
      </c>
      <c r="E41" s="119" t="s">
        <v>360</v>
      </c>
      <c r="F41" s="119" t="s">
        <v>361</v>
      </c>
      <c r="G41" s="118" t="s">
        <v>362</v>
      </c>
      <c r="H41" s="118" t="s">
        <v>363</v>
      </c>
      <c r="I41" s="118" t="s">
        <v>364</v>
      </c>
      <c r="J41" s="118" t="s">
        <v>365</v>
      </c>
      <c r="K41" s="118" t="s">
        <v>366</v>
      </c>
      <c r="L41" s="201" t="s">
        <v>414</v>
      </c>
      <c r="M41" s="201" t="s">
        <v>415</v>
      </c>
      <c r="N41" s="200" t="s">
        <v>417</v>
      </c>
      <c r="O41" s="201" t="s">
        <v>416</v>
      </c>
    </row>
    <row r="42" spans="1:16">
      <c r="A42" s="111"/>
      <c r="B42" s="121">
        <v>1</v>
      </c>
      <c r="C42" s="122">
        <v>744</v>
      </c>
      <c r="D42" s="123">
        <f>LN(C42)</f>
        <v>6.6120410348330916</v>
      </c>
      <c r="E42" s="124">
        <f>1/D42</f>
        <v>0.1512392307809147</v>
      </c>
      <c r="F42" s="124">
        <f>POWER(E42,2)</f>
        <v>2.2873304927202777E-2</v>
      </c>
      <c r="G42" s="123">
        <f>1-(B42/($B$39+1))</f>
        <v>0.66666666666666674</v>
      </c>
      <c r="H42" s="123">
        <f>LN(1/G42)</f>
        <v>0.40546510810816422</v>
      </c>
      <c r="I42" s="123">
        <f>LN(H42)</f>
        <v>-0.9027204557178804</v>
      </c>
      <c r="J42" s="123">
        <f>I42/D42</f>
        <v>-0.13652674733296902</v>
      </c>
      <c r="K42" s="123">
        <f>J42*E42</f>
        <v>-2.0648200247658531E-2</v>
      </c>
      <c r="L42" s="120">
        <f>(B39*K39)-(J39*E39)</f>
        <v>-5.8805312213874236E-3</v>
      </c>
      <c r="M42" s="120">
        <f>(K39*E39)-(J39*F39)</f>
        <v>-6.7084879640492284E-4</v>
      </c>
      <c r="N42" s="120">
        <f>EXP(L42/M42)</f>
        <v>6411.2351182966868</v>
      </c>
      <c r="O42" s="120">
        <f>K39/(E39-(LN(N42)*F39))</f>
        <v>0.41913577387209994</v>
      </c>
    </row>
    <row r="43" spans="1:16">
      <c r="A43" s="111"/>
      <c r="B43" s="121">
        <v>2</v>
      </c>
      <c r="C43" s="122">
        <v>8024</v>
      </c>
      <c r="D43" s="123">
        <f t="shared" ref="D43" si="22">LN(C43)</f>
        <v>8.9901923296417721</v>
      </c>
      <c r="E43" s="124">
        <f t="shared" ref="E43" si="23">1/D43</f>
        <v>0.11123232555357873</v>
      </c>
      <c r="F43" s="124">
        <f t="shared" ref="F43" si="24">POWER(E43,2)</f>
        <v>1.2372630248057324E-2</v>
      </c>
      <c r="G43" s="123">
        <f>1-(B43/($B$39+1))</f>
        <v>0.33333333333333337</v>
      </c>
      <c r="H43" s="123">
        <f t="shared" ref="H43" si="25">LN(1/G43)</f>
        <v>1.0986122886681096</v>
      </c>
      <c r="I43" s="123">
        <f t="shared" ref="I43" si="26">LN(H43)</f>
        <v>9.4047827616698901E-2</v>
      </c>
      <c r="J43" s="123">
        <f t="shared" ref="J43" si="27">I43/D43</f>
        <v>1.0461158579067504E-2</v>
      </c>
      <c r="K43" s="123">
        <f t="shared" ref="K43" si="28">J43*E43</f>
        <v>1.1636189967344497E-3</v>
      </c>
      <c r="L43" s="125"/>
      <c r="M43" s="125"/>
      <c r="N43" s="125"/>
      <c r="O43" s="111"/>
    </row>
    <row r="44" spans="1:16" ht="15" thickBot="1">
      <c r="A44" s="111"/>
      <c r="B44" s="121">
        <v>3</v>
      </c>
      <c r="C44" s="122"/>
      <c r="D44" s="123"/>
      <c r="E44" s="124"/>
      <c r="F44" s="124"/>
      <c r="G44" s="123"/>
      <c r="H44" s="123"/>
      <c r="I44" s="123"/>
      <c r="J44" s="123"/>
      <c r="K44" s="123"/>
      <c r="L44" s="125"/>
      <c r="M44" s="125"/>
      <c r="N44" s="125"/>
      <c r="O44" s="111"/>
    </row>
    <row r="45" spans="1:16">
      <c r="A45" s="111"/>
      <c r="B45" s="121">
        <v>4</v>
      </c>
      <c r="C45" s="122"/>
      <c r="D45" s="123"/>
      <c r="E45" s="124"/>
      <c r="F45" s="124"/>
      <c r="G45" s="123"/>
      <c r="H45" s="123"/>
      <c r="I45" s="123"/>
      <c r="J45" s="123"/>
      <c r="K45" s="123"/>
      <c r="L45" s="127" t="s">
        <v>367</v>
      </c>
      <c r="M45" s="128">
        <f>1-WEIBULL(N45,O42,N42,TRUE)</f>
        <v>0.75085235579807352</v>
      </c>
      <c r="N45" s="126">
        <v>325</v>
      </c>
    </row>
    <row r="46" spans="1:16">
      <c r="A46" s="111"/>
      <c r="B46" s="121"/>
      <c r="C46" s="129"/>
      <c r="D46" s="130"/>
      <c r="E46" s="120"/>
      <c r="F46" s="120"/>
      <c r="G46" s="130"/>
      <c r="H46" s="130"/>
      <c r="I46" s="130"/>
      <c r="J46" s="130"/>
      <c r="K46" s="130"/>
      <c r="L46" s="132" t="s">
        <v>368</v>
      </c>
      <c r="M46" s="133">
        <f>N42*EXP(GAMMALN((1+(1/O42))))</f>
        <v>18827.006274905194</v>
      </c>
      <c r="N46" s="131"/>
      <c r="O46" s="11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E9D6-C7E1-4D56-8F30-FED72859FACA}">
  <sheetPr>
    <pageSetUpPr fitToPage="1"/>
  </sheetPr>
  <dimension ref="A1:Y54"/>
  <sheetViews>
    <sheetView topLeftCell="G1" zoomScale="85" zoomScaleNormal="85" workbookViewId="0">
      <pane ySplit="1" topLeftCell="A2" activePane="bottomLeft" state="frozenSplit"/>
      <selection pane="bottomLeft" activeCell="V13" sqref="V13"/>
    </sheetView>
  </sheetViews>
  <sheetFormatPr baseColWidth="10" defaultColWidth="11.5546875" defaultRowHeight="13.2"/>
  <cols>
    <col min="1" max="1" width="11" style="1" bestFit="1" customWidth="1"/>
    <col min="2" max="2" width="54.77734375" style="1" customWidth="1"/>
    <col min="3" max="3" width="24.44140625" style="1" hidden="1" customWidth="1"/>
    <col min="4" max="4" width="49.5546875" style="1" customWidth="1"/>
    <col min="5" max="5" width="39.6640625" style="1" customWidth="1"/>
    <col min="6" max="6" width="21.77734375" style="1" customWidth="1"/>
    <col min="7" max="7" width="23.6640625" style="165" bestFit="1" customWidth="1"/>
    <col min="8" max="8" width="17" style="87" customWidth="1"/>
    <col min="9" max="9" width="10.21875" style="165" customWidth="1"/>
    <col min="10" max="10" width="13.5546875" style="165" bestFit="1" customWidth="1"/>
    <col min="11" max="11" width="11.44140625" style="165" customWidth="1"/>
    <col min="12" max="12" width="13.44140625" style="165" customWidth="1"/>
    <col min="13" max="13" width="10" style="168" customWidth="1"/>
    <col min="14" max="14" width="13" style="168" customWidth="1"/>
    <col min="15" max="15" width="12.6640625" style="165" customWidth="1"/>
    <col min="16" max="16" width="17.88671875" style="165" bestFit="1" customWidth="1"/>
    <col min="17" max="17" width="14.88671875" style="165" bestFit="1" customWidth="1"/>
    <col min="18" max="19" width="11.5546875" style="1"/>
    <col min="20" max="21" width="13.44140625" style="1" bestFit="1" customWidth="1"/>
    <col min="22" max="24" width="11.5546875" style="1"/>
    <col min="25" max="25" width="13.44140625" style="1" bestFit="1" customWidth="1"/>
    <col min="26" max="16384" width="11.5546875" style="1"/>
  </cols>
  <sheetData>
    <row r="1" spans="1:25" ht="63.6" customHeight="1">
      <c r="A1" s="72" t="s">
        <v>263</v>
      </c>
      <c r="B1" s="72" t="s">
        <v>18</v>
      </c>
      <c r="C1" s="75" t="s">
        <v>200</v>
      </c>
      <c r="D1" s="75" t="s">
        <v>259</v>
      </c>
      <c r="E1" s="75" t="s">
        <v>268</v>
      </c>
      <c r="F1" s="75" t="s">
        <v>244</v>
      </c>
      <c r="G1" s="75" t="s">
        <v>398</v>
      </c>
      <c r="H1" s="75" t="s">
        <v>397</v>
      </c>
      <c r="I1" s="243" t="s">
        <v>394</v>
      </c>
      <c r="J1" s="243" t="s">
        <v>395</v>
      </c>
      <c r="K1" s="243" t="s">
        <v>396</v>
      </c>
      <c r="L1" s="243" t="s">
        <v>449</v>
      </c>
      <c r="M1" s="243" t="s">
        <v>375</v>
      </c>
      <c r="N1" s="243" t="s">
        <v>446</v>
      </c>
      <c r="O1" s="243" t="s">
        <v>447</v>
      </c>
      <c r="P1" s="243" t="s">
        <v>420</v>
      </c>
      <c r="Q1" s="243" t="s">
        <v>399</v>
      </c>
      <c r="S1" s="1" t="s">
        <v>529</v>
      </c>
      <c r="T1" s="1" t="s">
        <v>274</v>
      </c>
      <c r="U1" s="1" t="s">
        <v>288</v>
      </c>
      <c r="V1" s="1" t="s">
        <v>293</v>
      </c>
      <c r="W1" s="1" t="s">
        <v>307</v>
      </c>
      <c r="X1" s="1" t="s">
        <v>314</v>
      </c>
      <c r="Y1" s="1" t="s">
        <v>530</v>
      </c>
    </row>
    <row r="2" spans="1:25" ht="15" customHeight="1">
      <c r="A2" s="65">
        <v>1</v>
      </c>
      <c r="B2" s="158" t="s">
        <v>28</v>
      </c>
      <c r="C2" s="35" t="s">
        <v>254</v>
      </c>
      <c r="D2" s="35" t="s">
        <v>345</v>
      </c>
      <c r="E2" s="35" t="s">
        <v>328</v>
      </c>
      <c r="F2" s="35" t="s">
        <v>201</v>
      </c>
      <c r="G2" s="35" t="s">
        <v>379</v>
      </c>
      <c r="H2" s="65" t="s">
        <v>314</v>
      </c>
      <c r="I2" s="177">
        <f>22/4</f>
        <v>5.5</v>
      </c>
      <c r="J2" s="177">
        <f>I2*M2*O2</f>
        <v>33</v>
      </c>
      <c r="K2" s="177">
        <v>0</v>
      </c>
      <c r="L2" s="177">
        <v>443.25</v>
      </c>
      <c r="M2" s="69">
        <v>4</v>
      </c>
      <c r="N2" s="69">
        <v>90</v>
      </c>
      <c r="O2" s="178">
        <f t="shared" ref="O2:O3" si="0">N2/60</f>
        <v>1.5</v>
      </c>
      <c r="P2" s="179">
        <f t="shared" ref="P2:P36" si="1">J2+K2+L2</f>
        <v>476.25</v>
      </c>
      <c r="Q2" s="179">
        <f>P2</f>
        <v>476.25</v>
      </c>
      <c r="S2" s="1" t="s">
        <v>517</v>
      </c>
      <c r="T2" s="284">
        <f>217.34*17.16666</f>
        <v>3731.0018844000001</v>
      </c>
      <c r="U2" s="284">
        <f>142.73*3</f>
        <v>428.18999999999994</v>
      </c>
      <c r="V2" s="284">
        <f>875.81+400</f>
        <v>1275.81</v>
      </c>
      <c r="W2" s="284"/>
      <c r="X2" s="284">
        <v>1400</v>
      </c>
      <c r="Y2" s="284">
        <f>SUBTOTAL(9,T2:X2)</f>
        <v>6835.0018844000006</v>
      </c>
    </row>
    <row r="3" spans="1:25" ht="15" customHeight="1">
      <c r="A3" s="346">
        <v>2</v>
      </c>
      <c r="B3" s="498" t="s">
        <v>20</v>
      </c>
      <c r="C3" s="35" t="s">
        <v>202</v>
      </c>
      <c r="D3" s="35" t="s">
        <v>340</v>
      </c>
      <c r="E3" s="35" t="s">
        <v>341</v>
      </c>
      <c r="F3" s="35" t="s">
        <v>203</v>
      </c>
      <c r="G3" s="35" t="s">
        <v>379</v>
      </c>
      <c r="H3" s="65" t="s">
        <v>307</v>
      </c>
      <c r="I3" s="169">
        <f>22/4</f>
        <v>5.5</v>
      </c>
      <c r="J3" s="169">
        <f t="shared" ref="J3:J36" si="2">I3*M3*O3</f>
        <v>226.23333333333332</v>
      </c>
      <c r="K3" s="169">
        <f>562/4</f>
        <v>140.5</v>
      </c>
      <c r="L3" s="177">
        <v>0</v>
      </c>
      <c r="M3" s="69">
        <v>4</v>
      </c>
      <c r="N3" s="69">
        <v>617</v>
      </c>
      <c r="O3" s="178">
        <f t="shared" si="0"/>
        <v>10.283333333333333</v>
      </c>
      <c r="P3" s="179">
        <f t="shared" si="1"/>
        <v>366.73333333333335</v>
      </c>
      <c r="Q3" s="179">
        <f>P3*2</f>
        <v>733.4666666666667</v>
      </c>
      <c r="S3" s="1" t="s">
        <v>518</v>
      </c>
      <c r="T3" s="284">
        <f t="shared" ref="T3:T12" si="3">217.34*17.16666</f>
        <v>3731.0018844000001</v>
      </c>
      <c r="U3" s="284">
        <f>142.73*3</f>
        <v>428.18999999999994</v>
      </c>
      <c r="V3" s="284">
        <f>875.81+400+333</f>
        <v>1608.81</v>
      </c>
      <c r="W3" s="284"/>
      <c r="X3" s="284"/>
      <c r="Y3" s="284">
        <f>SUBTOTAL(9,T3:X3)</f>
        <v>5768.0018844000006</v>
      </c>
    </row>
    <row r="4" spans="1:25" ht="15" customHeight="1">
      <c r="A4" s="346"/>
      <c r="B4" s="498"/>
      <c r="C4" s="35" t="s">
        <v>254</v>
      </c>
      <c r="D4" s="35" t="s">
        <v>299</v>
      </c>
      <c r="E4" s="35" t="s">
        <v>300</v>
      </c>
      <c r="F4" s="35" t="s">
        <v>201</v>
      </c>
      <c r="G4" s="35" t="s">
        <v>210</v>
      </c>
      <c r="H4" s="65" t="s">
        <v>293</v>
      </c>
      <c r="I4" s="169">
        <f>MO!$L$8</f>
        <v>7.7852272727272736</v>
      </c>
      <c r="J4" s="169">
        <f t="shared" si="2"/>
        <v>77.852272727272734</v>
      </c>
      <c r="K4" s="169">
        <v>0</v>
      </c>
      <c r="L4" s="177">
        <v>0</v>
      </c>
      <c r="M4" s="69">
        <v>5</v>
      </c>
      <c r="N4" s="69">
        <v>120</v>
      </c>
      <c r="O4" s="170">
        <f>N4/60</f>
        <v>2</v>
      </c>
      <c r="P4" s="171">
        <f t="shared" si="1"/>
        <v>77.852272727272734</v>
      </c>
      <c r="Q4" s="171">
        <f>P4*12</f>
        <v>934.22727272727275</v>
      </c>
      <c r="S4" s="1" t="s">
        <v>519</v>
      </c>
      <c r="T4" s="284">
        <f t="shared" si="3"/>
        <v>3731.0018844000001</v>
      </c>
      <c r="U4" s="284">
        <f>142.73*4</f>
        <v>570.91999999999996</v>
      </c>
      <c r="V4" s="284">
        <f t="shared" ref="V4:V12" si="4">875.81+400</f>
        <v>1275.81</v>
      </c>
      <c r="W4" s="284">
        <v>2027.26</v>
      </c>
      <c r="X4" s="284"/>
      <c r="Y4" s="284">
        <f>SUBTOTAL(9,T4:X4)</f>
        <v>7604.9918844000003</v>
      </c>
    </row>
    <row r="5" spans="1:25" ht="15" customHeight="1">
      <c r="A5" s="346">
        <v>3</v>
      </c>
      <c r="B5" s="498" t="s">
        <v>50</v>
      </c>
      <c r="C5" s="203" t="s">
        <v>202</v>
      </c>
      <c r="D5" s="203" t="s">
        <v>393</v>
      </c>
      <c r="E5" s="203" t="s">
        <v>331</v>
      </c>
      <c r="F5" s="203" t="s">
        <v>401</v>
      </c>
      <c r="G5" s="203" t="s">
        <v>407</v>
      </c>
      <c r="H5" s="65" t="s">
        <v>274</v>
      </c>
      <c r="I5" s="169">
        <f>MO!$L$8</f>
        <v>7.7852272727272736</v>
      </c>
      <c r="J5" s="177">
        <f t="shared" si="2"/>
        <v>12.975378787878789</v>
      </c>
      <c r="K5" s="177">
        <v>0</v>
      </c>
      <c r="L5" s="177">
        <v>0</v>
      </c>
      <c r="M5" s="69">
        <v>5</v>
      </c>
      <c r="N5" s="69">
        <v>20</v>
      </c>
      <c r="O5" s="178">
        <f>N5/60</f>
        <v>0.33333333333333331</v>
      </c>
      <c r="P5" s="179">
        <f t="shared" si="1"/>
        <v>12.975378787878789</v>
      </c>
      <c r="Q5" s="179">
        <f>P5*206</f>
        <v>2672.9280303030305</v>
      </c>
      <c r="S5" s="1" t="s">
        <v>520</v>
      </c>
      <c r="T5" s="284">
        <f t="shared" si="3"/>
        <v>3731.0018844000001</v>
      </c>
      <c r="U5" s="284">
        <f>142.73*3</f>
        <v>428.18999999999994</v>
      </c>
      <c r="V5" s="284">
        <f>875.81+400+333</f>
        <v>1608.81</v>
      </c>
      <c r="W5" s="284"/>
      <c r="X5" s="284"/>
      <c r="Y5" s="284">
        <f>SUBTOTAL(9,T5:X5)</f>
        <v>5768.0018844000006</v>
      </c>
    </row>
    <row r="6" spans="1:25" ht="15" customHeight="1">
      <c r="A6" s="346"/>
      <c r="B6" s="498"/>
      <c r="C6" s="203" t="s">
        <v>202</v>
      </c>
      <c r="D6" s="203" t="s">
        <v>327</v>
      </c>
      <c r="E6" s="203" t="s">
        <v>286</v>
      </c>
      <c r="F6" s="203" t="s">
        <v>201</v>
      </c>
      <c r="G6" s="203" t="s">
        <v>407</v>
      </c>
      <c r="H6" s="65" t="s">
        <v>274</v>
      </c>
      <c r="I6" s="169">
        <f>MO!$L$8</f>
        <v>7.7852272727272736</v>
      </c>
      <c r="J6" s="177">
        <f t="shared" si="2"/>
        <v>12.975378787878789</v>
      </c>
      <c r="K6" s="177">
        <v>0</v>
      </c>
      <c r="L6" s="177">
        <v>0</v>
      </c>
      <c r="M6" s="69">
        <v>5</v>
      </c>
      <c r="N6" s="69">
        <v>20</v>
      </c>
      <c r="O6" s="178">
        <f>N6/60</f>
        <v>0.33333333333333331</v>
      </c>
      <c r="P6" s="179">
        <f t="shared" si="1"/>
        <v>12.975378787878789</v>
      </c>
      <c r="Q6" s="179">
        <f>P6*206</f>
        <v>2672.9280303030305</v>
      </c>
      <c r="S6" s="1" t="s">
        <v>521</v>
      </c>
      <c r="T6" s="284">
        <f t="shared" si="3"/>
        <v>3731.0018844000001</v>
      </c>
      <c r="U6" s="284">
        <f>142.73*3</f>
        <v>428.18999999999994</v>
      </c>
      <c r="V6" s="284">
        <f t="shared" si="4"/>
        <v>1275.81</v>
      </c>
      <c r="W6" s="284"/>
      <c r="X6" s="284"/>
      <c r="Y6" s="284">
        <f t="shared" ref="Y6:Y7" si="5">SUBTOTAL(9,T6:X6)</f>
        <v>5435.0018844000006</v>
      </c>
    </row>
    <row r="7" spans="1:25" ht="15" customHeight="1">
      <c r="A7" s="346"/>
      <c r="B7" s="498"/>
      <c r="C7" s="35" t="s">
        <v>202</v>
      </c>
      <c r="D7" s="35" t="s">
        <v>329</v>
      </c>
      <c r="E7" s="35" t="s">
        <v>330</v>
      </c>
      <c r="F7" s="35" t="s">
        <v>203</v>
      </c>
      <c r="G7" s="35" t="s">
        <v>379</v>
      </c>
      <c r="H7" s="65" t="s">
        <v>314</v>
      </c>
      <c r="I7" s="169">
        <f>22/4</f>
        <v>5.5</v>
      </c>
      <c r="J7" s="169">
        <f t="shared" si="2"/>
        <v>7.333333333333333</v>
      </c>
      <c r="K7" s="169">
        <f>312.5</f>
        <v>312.5</v>
      </c>
      <c r="L7" s="177">
        <v>0</v>
      </c>
      <c r="M7" s="69">
        <v>4</v>
      </c>
      <c r="N7" s="69">
        <v>20</v>
      </c>
      <c r="O7" s="170">
        <f t="shared" ref="O7:O8" si="6">N7/60</f>
        <v>0.33333333333333331</v>
      </c>
      <c r="P7" s="171">
        <f t="shared" si="1"/>
        <v>319.83333333333331</v>
      </c>
      <c r="Q7" s="171">
        <f>P7</f>
        <v>319.83333333333331</v>
      </c>
      <c r="S7" s="1" t="s">
        <v>522</v>
      </c>
      <c r="T7" s="284">
        <f t="shared" si="3"/>
        <v>3731.0018844000001</v>
      </c>
      <c r="U7" s="284">
        <f>142.73*4</f>
        <v>570.91999999999996</v>
      </c>
      <c r="V7" s="284">
        <f>875.81+400+333</f>
        <v>1608.81</v>
      </c>
      <c r="X7" s="284"/>
      <c r="Y7" s="284">
        <f t="shared" si="5"/>
        <v>5910.7318844000001</v>
      </c>
    </row>
    <row r="8" spans="1:25" ht="15" customHeight="1">
      <c r="A8" s="65">
        <v>4</v>
      </c>
      <c r="B8" s="158" t="s">
        <v>51</v>
      </c>
      <c r="C8" s="35" t="s">
        <v>202</v>
      </c>
      <c r="D8" s="35" t="s">
        <v>324</v>
      </c>
      <c r="E8" s="35" t="s">
        <v>325</v>
      </c>
      <c r="F8" s="35" t="s">
        <v>201</v>
      </c>
      <c r="G8" s="35" t="s">
        <v>379</v>
      </c>
      <c r="H8" s="65" t="s">
        <v>314</v>
      </c>
      <c r="I8" s="177">
        <f>22/4</f>
        <v>5.5</v>
      </c>
      <c r="J8" s="177">
        <f t="shared" si="2"/>
        <v>7.333333333333333</v>
      </c>
      <c r="K8" s="177">
        <v>0</v>
      </c>
      <c r="L8" s="177">
        <v>0</v>
      </c>
      <c r="M8" s="69">
        <v>4</v>
      </c>
      <c r="N8" s="69">
        <v>20</v>
      </c>
      <c r="O8" s="178">
        <f t="shared" si="6"/>
        <v>0.33333333333333331</v>
      </c>
      <c r="P8" s="179">
        <f t="shared" si="1"/>
        <v>7.333333333333333</v>
      </c>
      <c r="Q8" s="179">
        <f>P8</f>
        <v>7.333333333333333</v>
      </c>
      <c r="S8" s="1" t="s">
        <v>523</v>
      </c>
      <c r="T8" s="284">
        <f t="shared" si="3"/>
        <v>3731.0018844000001</v>
      </c>
      <c r="U8" s="284">
        <f>142.73*3</f>
        <v>428.18999999999994</v>
      </c>
      <c r="V8" s="284">
        <f t="shared" si="4"/>
        <v>1275.81</v>
      </c>
      <c r="W8" s="284"/>
      <c r="X8" s="284"/>
      <c r="Y8" s="284">
        <f>SUBTOTAL(9,T8:X8)</f>
        <v>5435.0018844000006</v>
      </c>
    </row>
    <row r="9" spans="1:25" ht="15" customHeight="1">
      <c r="A9" s="346">
        <v>5</v>
      </c>
      <c r="B9" s="498" t="s">
        <v>29</v>
      </c>
      <c r="C9" s="203" t="s">
        <v>202</v>
      </c>
      <c r="D9" s="203" t="s">
        <v>285</v>
      </c>
      <c r="E9" s="203" t="s">
        <v>284</v>
      </c>
      <c r="F9" s="203" t="s">
        <v>201</v>
      </c>
      <c r="G9" s="203" t="s">
        <v>407</v>
      </c>
      <c r="H9" s="65" t="s">
        <v>274</v>
      </c>
      <c r="I9" s="169">
        <f>MO!$L$8</f>
        <v>7.7852272727272736</v>
      </c>
      <c r="J9" s="177">
        <f t="shared" si="2"/>
        <v>38.926136363636367</v>
      </c>
      <c r="K9" s="177">
        <v>0</v>
      </c>
      <c r="L9" s="177">
        <v>0</v>
      </c>
      <c r="M9" s="69">
        <v>5</v>
      </c>
      <c r="N9" s="69">
        <v>60</v>
      </c>
      <c r="O9" s="178">
        <f>N9/60</f>
        <v>1</v>
      </c>
      <c r="P9" s="179">
        <f t="shared" si="1"/>
        <v>38.926136363636367</v>
      </c>
      <c r="Q9" s="179">
        <f>P9*206</f>
        <v>8018.7840909090919</v>
      </c>
      <c r="S9" s="1" t="s">
        <v>524</v>
      </c>
      <c r="T9" s="284">
        <f t="shared" si="3"/>
        <v>3731.0018844000001</v>
      </c>
      <c r="U9" s="284">
        <f>142.73*3</f>
        <v>428.18999999999994</v>
      </c>
      <c r="V9" s="284">
        <f>875.81+400+333</f>
        <v>1608.81</v>
      </c>
      <c r="W9" s="284"/>
      <c r="X9" s="284"/>
      <c r="Y9" s="284">
        <f>SUBTOTAL(9,T9:X9)</f>
        <v>5768.0018844000006</v>
      </c>
    </row>
    <row r="10" spans="1:25" ht="15" customHeight="1">
      <c r="A10" s="346"/>
      <c r="B10" s="498"/>
      <c r="C10" s="35" t="s">
        <v>202</v>
      </c>
      <c r="D10" s="35" t="s">
        <v>301</v>
      </c>
      <c r="E10" s="35" t="s">
        <v>302</v>
      </c>
      <c r="F10" s="35" t="s">
        <v>201</v>
      </c>
      <c r="G10" s="35" t="s">
        <v>407</v>
      </c>
      <c r="H10" s="65" t="s">
        <v>293</v>
      </c>
      <c r="I10" s="169">
        <f>MO!$L$8</f>
        <v>7.7852272727272736</v>
      </c>
      <c r="J10" s="169">
        <f t="shared" si="2"/>
        <v>38.926136363636367</v>
      </c>
      <c r="K10" s="169">
        <v>0</v>
      </c>
      <c r="L10" s="177">
        <v>0</v>
      </c>
      <c r="M10" s="69">
        <v>5</v>
      </c>
      <c r="N10" s="69">
        <v>60</v>
      </c>
      <c r="O10" s="170">
        <f>N10/60</f>
        <v>1</v>
      </c>
      <c r="P10" s="171">
        <f t="shared" si="1"/>
        <v>38.926136363636367</v>
      </c>
      <c r="Q10" s="171">
        <f>P10*12</f>
        <v>467.11363636363637</v>
      </c>
      <c r="S10" s="1" t="s">
        <v>525</v>
      </c>
      <c r="T10" s="284">
        <f t="shared" si="3"/>
        <v>3731.0018844000001</v>
      </c>
      <c r="U10" s="284">
        <f>142.73*4</f>
        <v>570.91999999999996</v>
      </c>
      <c r="V10" s="284">
        <f t="shared" si="4"/>
        <v>1275.81</v>
      </c>
      <c r="W10" s="284">
        <v>2027.26</v>
      </c>
      <c r="X10" s="284">
        <v>1132.25</v>
      </c>
      <c r="Y10" s="284">
        <f>SUBTOTAL(9,T10:X10)</f>
        <v>8737.2418844000003</v>
      </c>
    </row>
    <row r="11" spans="1:25" ht="15" customHeight="1">
      <c r="A11" s="346"/>
      <c r="B11" s="498"/>
      <c r="C11" s="203" t="s">
        <v>202</v>
      </c>
      <c r="D11" s="203" t="s">
        <v>278</v>
      </c>
      <c r="E11" s="203" t="s">
        <v>279</v>
      </c>
      <c r="F11" s="203" t="s">
        <v>201</v>
      </c>
      <c r="G11" s="203" t="s">
        <v>407</v>
      </c>
      <c r="H11" s="65" t="s">
        <v>274</v>
      </c>
      <c r="I11" s="169">
        <f>MO!$L$8</f>
        <v>7.7852272727272736</v>
      </c>
      <c r="J11" s="177">
        <f t="shared" si="2"/>
        <v>9.7315340909090917</v>
      </c>
      <c r="K11" s="177">
        <v>0</v>
      </c>
      <c r="L11" s="177">
        <v>0</v>
      </c>
      <c r="M11" s="69">
        <v>5</v>
      </c>
      <c r="N11" s="69">
        <v>15</v>
      </c>
      <c r="O11" s="178">
        <f>N11/60</f>
        <v>0.25</v>
      </c>
      <c r="P11" s="179">
        <f t="shared" si="1"/>
        <v>9.7315340909090917</v>
      </c>
      <c r="Q11" s="179">
        <f>P11*206</f>
        <v>2004.696022727273</v>
      </c>
      <c r="S11" s="1" t="s">
        <v>526</v>
      </c>
      <c r="T11" s="284">
        <f t="shared" si="3"/>
        <v>3731.0018844000001</v>
      </c>
      <c r="U11" s="284">
        <f>142.73*3</f>
        <v>428.18999999999994</v>
      </c>
      <c r="V11" s="284">
        <f>875.81+400+333</f>
        <v>1608.81</v>
      </c>
      <c r="W11" s="284"/>
      <c r="X11" s="284"/>
      <c r="Y11" s="284">
        <f>SUBTOTAL(9,T11:X11)</f>
        <v>5768.0018844000006</v>
      </c>
    </row>
    <row r="12" spans="1:25" ht="15" customHeight="1">
      <c r="A12" s="346">
        <v>6</v>
      </c>
      <c r="B12" s="498" t="s">
        <v>30</v>
      </c>
      <c r="C12" s="35" t="s">
        <v>202</v>
      </c>
      <c r="D12" s="35" t="s">
        <v>337</v>
      </c>
      <c r="E12" s="35" t="s">
        <v>284</v>
      </c>
      <c r="F12" s="35" t="s">
        <v>201</v>
      </c>
      <c r="G12" s="35" t="s">
        <v>407</v>
      </c>
      <c r="H12" s="65" t="s">
        <v>293</v>
      </c>
      <c r="I12" s="169">
        <f>MO!$L$8</f>
        <v>7.7852272727272736</v>
      </c>
      <c r="J12" s="169">
        <f t="shared" si="2"/>
        <v>38.926136363636367</v>
      </c>
      <c r="K12" s="169">
        <v>0</v>
      </c>
      <c r="L12" s="177">
        <v>0</v>
      </c>
      <c r="M12" s="69">
        <v>5</v>
      </c>
      <c r="N12" s="69">
        <v>60</v>
      </c>
      <c r="O12" s="170">
        <f>N12/60</f>
        <v>1</v>
      </c>
      <c r="P12" s="171">
        <f t="shared" si="1"/>
        <v>38.926136363636367</v>
      </c>
      <c r="Q12" s="171">
        <f>P12*12</f>
        <v>467.11363636363637</v>
      </c>
      <c r="S12" s="1" t="s">
        <v>527</v>
      </c>
      <c r="T12" s="284">
        <f t="shared" si="3"/>
        <v>3731.0018844000001</v>
      </c>
      <c r="U12" s="284">
        <f>142.73*3</f>
        <v>428.18999999999994</v>
      </c>
      <c r="V12" s="284">
        <f t="shared" si="4"/>
        <v>1275.81</v>
      </c>
      <c r="W12" s="284"/>
      <c r="X12" s="284"/>
      <c r="Y12" s="284">
        <f t="shared" ref="Y12:Y13" si="7">SUBTOTAL(9,T12:X12)</f>
        <v>5435.0018844000006</v>
      </c>
    </row>
    <row r="13" spans="1:25" ht="15" customHeight="1">
      <c r="A13" s="346"/>
      <c r="B13" s="498"/>
      <c r="C13" s="203" t="s">
        <v>202</v>
      </c>
      <c r="D13" s="203" t="s">
        <v>400</v>
      </c>
      <c r="E13" s="203" t="s">
        <v>283</v>
      </c>
      <c r="F13" s="203" t="s">
        <v>401</v>
      </c>
      <c r="G13" s="203" t="s">
        <v>407</v>
      </c>
      <c r="H13" s="65" t="s">
        <v>274</v>
      </c>
      <c r="I13" s="169">
        <f>MO!$L$8</f>
        <v>7.7852272727272736</v>
      </c>
      <c r="J13" s="177">
        <f t="shared" si="2"/>
        <v>6.4876893939393945</v>
      </c>
      <c r="K13" s="177">
        <v>0</v>
      </c>
      <c r="L13" s="177">
        <v>0</v>
      </c>
      <c r="M13" s="69">
        <v>5</v>
      </c>
      <c r="N13" s="69">
        <v>10</v>
      </c>
      <c r="O13" s="178">
        <f>N13/60</f>
        <v>0.16666666666666666</v>
      </c>
      <c r="P13" s="179">
        <f t="shared" si="1"/>
        <v>6.4876893939393945</v>
      </c>
      <c r="Q13" s="179">
        <f>P13*206</f>
        <v>1336.4640151515152</v>
      </c>
      <c r="S13" s="1" t="s">
        <v>528</v>
      </c>
      <c r="T13" s="284">
        <f>217.34*17.16666</f>
        <v>3731.0018844000001</v>
      </c>
      <c r="U13" s="284">
        <f>142.73*5</f>
        <v>713.65</v>
      </c>
      <c r="V13" s="284">
        <f>875.81+400+333</f>
        <v>1608.81</v>
      </c>
      <c r="X13" s="284">
        <v>1400</v>
      </c>
      <c r="Y13" s="284">
        <f t="shared" si="7"/>
        <v>7453.4618843999997</v>
      </c>
    </row>
    <row r="14" spans="1:25" ht="15" customHeight="1">
      <c r="A14" s="65">
        <v>7</v>
      </c>
      <c r="B14" s="158" t="s">
        <v>25</v>
      </c>
      <c r="C14" s="35" t="s">
        <v>202</v>
      </c>
      <c r="D14" s="35" t="s">
        <v>333</v>
      </c>
      <c r="E14" s="35" t="s">
        <v>332</v>
      </c>
      <c r="F14" s="35" t="s">
        <v>205</v>
      </c>
      <c r="G14" s="35" t="s">
        <v>379</v>
      </c>
      <c r="H14" s="65" t="s">
        <v>314</v>
      </c>
      <c r="I14" s="177">
        <f>22/4</f>
        <v>5.5</v>
      </c>
      <c r="J14" s="177">
        <f t="shared" si="2"/>
        <v>88</v>
      </c>
      <c r="K14" s="177">
        <v>83</v>
      </c>
      <c r="L14" s="177">
        <v>0</v>
      </c>
      <c r="M14" s="69">
        <v>4</v>
      </c>
      <c r="N14" s="69">
        <v>240</v>
      </c>
      <c r="O14" s="178">
        <f t="shared" ref="O14" si="8">N14/60</f>
        <v>4</v>
      </c>
      <c r="P14" s="179">
        <f t="shared" si="1"/>
        <v>171</v>
      </c>
      <c r="Q14" s="179">
        <f>P14</f>
        <v>171</v>
      </c>
      <c r="T14" s="285">
        <f t="shared" ref="T14:V14" si="9">SUM(T2:T13)</f>
        <v>44772.022612799999</v>
      </c>
      <c r="U14" s="285">
        <f t="shared" si="9"/>
        <v>5851.9299999999985</v>
      </c>
      <c r="V14" s="285">
        <f t="shared" si="9"/>
        <v>17307.719999999998</v>
      </c>
      <c r="W14" s="285">
        <f>SUM(W2:W12)</f>
        <v>4054.52</v>
      </c>
      <c r="X14" s="285">
        <f>SUM(X2:X12)</f>
        <v>2532.25</v>
      </c>
      <c r="Y14" s="285">
        <f>SUM(Y2:Y13)</f>
        <v>75918.44261279999</v>
      </c>
    </row>
    <row r="15" spans="1:25" ht="15" customHeight="1">
      <c r="A15" s="65">
        <v>8</v>
      </c>
      <c r="B15" s="158" t="s">
        <v>31</v>
      </c>
      <c r="C15" s="35" t="s">
        <v>202</v>
      </c>
      <c r="D15" s="35" t="s">
        <v>404</v>
      </c>
      <c r="E15" s="35" t="s">
        <v>321</v>
      </c>
      <c r="F15" s="35" t="s">
        <v>204</v>
      </c>
      <c r="G15" s="35" t="s">
        <v>408</v>
      </c>
      <c r="H15" s="65" t="s">
        <v>293</v>
      </c>
      <c r="I15" s="177">
        <f>MO!$L$8</f>
        <v>7.7852272727272736</v>
      </c>
      <c r="J15" s="177">
        <f t="shared" si="2"/>
        <v>12.975378787878789</v>
      </c>
      <c r="K15" s="177">
        <v>0</v>
      </c>
      <c r="L15" s="177">
        <v>0</v>
      </c>
      <c r="M15" s="69">
        <v>5</v>
      </c>
      <c r="N15" s="69">
        <v>20</v>
      </c>
      <c r="O15" s="178">
        <f>N15/60</f>
        <v>0.33333333333333331</v>
      </c>
      <c r="P15" s="179">
        <f t="shared" si="1"/>
        <v>12.975378787878789</v>
      </c>
      <c r="Q15" s="179">
        <f>P15*12</f>
        <v>155.70454545454547</v>
      </c>
    </row>
    <row r="16" spans="1:25" ht="15" customHeight="1">
      <c r="A16" s="65">
        <v>9</v>
      </c>
      <c r="B16" s="158" t="s">
        <v>32</v>
      </c>
      <c r="C16" s="35" t="s">
        <v>202</v>
      </c>
      <c r="D16" s="35" t="s">
        <v>315</v>
      </c>
      <c r="E16" s="35" t="s">
        <v>316</v>
      </c>
      <c r="F16" s="35" t="s">
        <v>205</v>
      </c>
      <c r="G16" s="35" t="s">
        <v>379</v>
      </c>
      <c r="H16" s="65" t="s">
        <v>314</v>
      </c>
      <c r="I16" s="177">
        <f>22/4</f>
        <v>5.5</v>
      </c>
      <c r="J16" s="177">
        <f t="shared" si="2"/>
        <v>7.333333333333333</v>
      </c>
      <c r="K16" s="177">
        <v>0</v>
      </c>
      <c r="L16" s="177">
        <v>0</v>
      </c>
      <c r="M16" s="69">
        <v>4</v>
      </c>
      <c r="N16" s="69">
        <v>20</v>
      </c>
      <c r="O16" s="178">
        <f t="shared" ref="O16" si="10">N16/60</f>
        <v>0.33333333333333331</v>
      </c>
      <c r="P16" s="179">
        <f t="shared" si="1"/>
        <v>7.333333333333333</v>
      </c>
      <c r="Q16" s="179">
        <f>P16</f>
        <v>7.333333333333333</v>
      </c>
    </row>
    <row r="17" spans="1:17" ht="15" customHeight="1">
      <c r="A17" s="346">
        <v>10</v>
      </c>
      <c r="B17" s="498" t="s">
        <v>26</v>
      </c>
      <c r="C17" s="35" t="s">
        <v>202</v>
      </c>
      <c r="D17" s="35" t="s">
        <v>403</v>
      </c>
      <c r="E17" s="35" t="s">
        <v>292</v>
      </c>
      <c r="F17" s="35" t="s">
        <v>256</v>
      </c>
      <c r="G17" s="35" t="s">
        <v>408</v>
      </c>
      <c r="H17" s="65" t="s">
        <v>293</v>
      </c>
      <c r="I17" s="177">
        <f>MO!$L$8</f>
        <v>7.7852272727272736</v>
      </c>
      <c r="J17" s="169">
        <f t="shared" si="2"/>
        <v>155.70454545454547</v>
      </c>
      <c r="K17" s="169">
        <v>0</v>
      </c>
      <c r="L17" s="177">
        <v>0</v>
      </c>
      <c r="M17" s="69">
        <v>5</v>
      </c>
      <c r="N17" s="69">
        <v>240</v>
      </c>
      <c r="O17" s="170">
        <f>N17/60</f>
        <v>4</v>
      </c>
      <c r="P17" s="171">
        <f t="shared" si="1"/>
        <v>155.70454545454547</v>
      </c>
      <c r="Q17" s="171">
        <f>P17*12</f>
        <v>1868.4545454545455</v>
      </c>
    </row>
    <row r="18" spans="1:17" ht="15" customHeight="1">
      <c r="A18" s="346"/>
      <c r="B18" s="498"/>
      <c r="C18" s="35" t="s">
        <v>202</v>
      </c>
      <c r="D18" s="35" t="s">
        <v>335</v>
      </c>
      <c r="E18" s="35" t="s">
        <v>320</v>
      </c>
      <c r="F18" s="35" t="s">
        <v>256</v>
      </c>
      <c r="G18" s="35" t="s">
        <v>379</v>
      </c>
      <c r="H18" s="65" t="s">
        <v>314</v>
      </c>
      <c r="I18" s="169">
        <f>22/4</f>
        <v>5.5</v>
      </c>
      <c r="J18" s="169">
        <f t="shared" si="2"/>
        <v>44</v>
      </c>
      <c r="K18" s="169">
        <v>62.5</v>
      </c>
      <c r="L18" s="177">
        <v>0</v>
      </c>
      <c r="M18" s="69">
        <v>4</v>
      </c>
      <c r="N18" s="69">
        <v>120</v>
      </c>
      <c r="O18" s="170">
        <f t="shared" ref="O18:O19" si="11">N18/60</f>
        <v>2</v>
      </c>
      <c r="P18" s="171">
        <f t="shared" si="1"/>
        <v>106.5</v>
      </c>
      <c r="Q18" s="171">
        <f>P18</f>
        <v>106.5</v>
      </c>
    </row>
    <row r="19" spans="1:17" ht="15" customHeight="1">
      <c r="A19" s="346">
        <v>11</v>
      </c>
      <c r="B19" s="498" t="s">
        <v>27</v>
      </c>
      <c r="C19" s="35" t="s">
        <v>254</v>
      </c>
      <c r="D19" s="35" t="s">
        <v>311</v>
      </c>
      <c r="E19" s="35" t="s">
        <v>319</v>
      </c>
      <c r="F19" s="35" t="s">
        <v>201</v>
      </c>
      <c r="G19" s="35" t="s">
        <v>379</v>
      </c>
      <c r="H19" s="65" t="s">
        <v>307</v>
      </c>
      <c r="I19" s="169">
        <f>22/4</f>
        <v>5.5</v>
      </c>
      <c r="J19" s="169">
        <f t="shared" si="2"/>
        <v>226.23333333333332</v>
      </c>
      <c r="K19" s="169">
        <v>0</v>
      </c>
      <c r="L19" s="177">
        <v>0</v>
      </c>
      <c r="M19" s="69">
        <v>4</v>
      </c>
      <c r="N19" s="69">
        <v>617</v>
      </c>
      <c r="O19" s="178">
        <f t="shared" si="11"/>
        <v>10.283333333333333</v>
      </c>
      <c r="P19" s="179">
        <f t="shared" si="1"/>
        <v>226.23333333333332</v>
      </c>
      <c r="Q19" s="179">
        <f>P19*2</f>
        <v>452.46666666666664</v>
      </c>
    </row>
    <row r="20" spans="1:17" ht="15" customHeight="1">
      <c r="A20" s="346"/>
      <c r="B20" s="498"/>
      <c r="C20" s="35" t="s">
        <v>202</v>
      </c>
      <c r="D20" s="203" t="s">
        <v>255</v>
      </c>
      <c r="E20" s="203" t="s">
        <v>282</v>
      </c>
      <c r="F20" s="203" t="s">
        <v>201</v>
      </c>
      <c r="G20" s="203" t="s">
        <v>407</v>
      </c>
      <c r="H20" s="65" t="s">
        <v>274</v>
      </c>
      <c r="I20" s="169">
        <f>MO!$L$8</f>
        <v>7.7852272727272736</v>
      </c>
      <c r="J20" s="177">
        <f t="shared" si="2"/>
        <v>77.852272727272734</v>
      </c>
      <c r="K20" s="177">
        <v>0</v>
      </c>
      <c r="L20" s="177">
        <v>0</v>
      </c>
      <c r="M20" s="69">
        <v>5</v>
      </c>
      <c r="N20" s="69">
        <v>120</v>
      </c>
      <c r="O20" s="178">
        <f>N20/60</f>
        <v>2</v>
      </c>
      <c r="P20" s="179">
        <f t="shared" si="1"/>
        <v>77.852272727272734</v>
      </c>
      <c r="Q20" s="179">
        <f>P20*206</f>
        <v>16037.568181818184</v>
      </c>
    </row>
    <row r="21" spans="1:17" ht="15" customHeight="1">
      <c r="A21" s="346"/>
      <c r="B21" s="498"/>
      <c r="C21" s="35" t="s">
        <v>202</v>
      </c>
      <c r="D21" s="35" t="s">
        <v>317</v>
      </c>
      <c r="E21" s="35" t="s">
        <v>318</v>
      </c>
      <c r="F21" s="35" t="s">
        <v>401</v>
      </c>
      <c r="G21" s="35" t="s">
        <v>379</v>
      </c>
      <c r="H21" s="65" t="s">
        <v>307</v>
      </c>
      <c r="I21" s="169">
        <f>22/4</f>
        <v>5.5</v>
      </c>
      <c r="J21" s="169">
        <f t="shared" si="2"/>
        <v>226.23333333333332</v>
      </c>
      <c r="K21" s="169">
        <v>0</v>
      </c>
      <c r="L21" s="177">
        <v>0</v>
      </c>
      <c r="M21" s="69">
        <v>4</v>
      </c>
      <c r="N21" s="69">
        <v>617</v>
      </c>
      <c r="O21" s="178">
        <f t="shared" ref="O21:O22" si="12">N21/60</f>
        <v>10.283333333333333</v>
      </c>
      <c r="P21" s="179">
        <f t="shared" si="1"/>
        <v>226.23333333333332</v>
      </c>
      <c r="Q21" s="179">
        <f>P21*2</f>
        <v>452.46666666666664</v>
      </c>
    </row>
    <row r="22" spans="1:17" ht="15" customHeight="1">
      <c r="A22" s="65">
        <v>12</v>
      </c>
      <c r="B22" s="158" t="s">
        <v>52</v>
      </c>
      <c r="C22" s="35" t="s">
        <v>202</v>
      </c>
      <c r="D22" s="35" t="s">
        <v>336</v>
      </c>
      <c r="E22" s="35" t="s">
        <v>302</v>
      </c>
      <c r="F22" s="35" t="s">
        <v>204</v>
      </c>
      <c r="G22" s="35" t="s">
        <v>379</v>
      </c>
      <c r="H22" s="65" t="s">
        <v>314</v>
      </c>
      <c r="I22" s="169">
        <f>22/4</f>
        <v>5.5</v>
      </c>
      <c r="J22" s="169">
        <f t="shared" si="2"/>
        <v>22</v>
      </c>
      <c r="K22" s="169">
        <v>0</v>
      </c>
      <c r="L22" s="177">
        <v>0</v>
      </c>
      <c r="M22" s="69">
        <v>4</v>
      </c>
      <c r="N22" s="69">
        <v>60</v>
      </c>
      <c r="O22" s="170">
        <f t="shared" si="12"/>
        <v>1</v>
      </c>
      <c r="P22" s="171">
        <f t="shared" si="1"/>
        <v>22</v>
      </c>
      <c r="Q22" s="171">
        <f>P22</f>
        <v>22</v>
      </c>
    </row>
    <row r="23" spans="1:17" ht="15" customHeight="1">
      <c r="A23" s="65">
        <v>13</v>
      </c>
      <c r="B23" s="158" t="s">
        <v>46</v>
      </c>
      <c r="C23" s="35" t="s">
        <v>202</v>
      </c>
      <c r="D23" s="35" t="s">
        <v>289</v>
      </c>
      <c r="E23" s="35" t="s">
        <v>287</v>
      </c>
      <c r="F23" s="35" t="s">
        <v>401</v>
      </c>
      <c r="G23" s="35" t="s">
        <v>407</v>
      </c>
      <c r="H23" s="65" t="s">
        <v>288</v>
      </c>
      <c r="I23" s="169">
        <f>MO!$L$8</f>
        <v>7.7852272727272736</v>
      </c>
      <c r="J23" s="169">
        <f t="shared" si="2"/>
        <v>116.77840909090909</v>
      </c>
      <c r="K23" s="169">
        <v>0</v>
      </c>
      <c r="L23" s="177">
        <v>0</v>
      </c>
      <c r="M23" s="69">
        <v>5</v>
      </c>
      <c r="N23" s="69">
        <v>180</v>
      </c>
      <c r="O23" s="170">
        <f>N23/60</f>
        <v>3</v>
      </c>
      <c r="P23" s="171">
        <f t="shared" si="1"/>
        <v>116.77840909090909</v>
      </c>
      <c r="Q23" s="171">
        <f>P23*41</f>
        <v>4787.914772727273</v>
      </c>
    </row>
    <row r="24" spans="1:17" ht="15" customHeight="1">
      <c r="A24" s="65">
        <v>14</v>
      </c>
      <c r="B24" s="158" t="s">
        <v>47</v>
      </c>
      <c r="C24" s="35" t="s">
        <v>202</v>
      </c>
      <c r="D24" s="35" t="s">
        <v>297</v>
      </c>
      <c r="E24" s="35" t="s">
        <v>298</v>
      </c>
      <c r="F24" s="35" t="s">
        <v>206</v>
      </c>
      <c r="G24" s="35" t="s">
        <v>408</v>
      </c>
      <c r="H24" s="65" t="s">
        <v>293</v>
      </c>
      <c r="I24" s="177">
        <f>MO!$L$8</f>
        <v>7.7852272727272736</v>
      </c>
      <c r="J24" s="169">
        <f t="shared" si="2"/>
        <v>19.463068181818183</v>
      </c>
      <c r="K24" s="169">
        <f>100/12</f>
        <v>8.3333333333333339</v>
      </c>
      <c r="L24" s="177">
        <v>0</v>
      </c>
      <c r="M24" s="69">
        <v>5</v>
      </c>
      <c r="N24" s="69">
        <v>30</v>
      </c>
      <c r="O24" s="170">
        <f t="shared" ref="O24:O27" si="13">N24/60</f>
        <v>0.5</v>
      </c>
      <c r="P24" s="171">
        <f t="shared" si="1"/>
        <v>27.796401515151516</v>
      </c>
      <c r="Q24" s="171">
        <f>P24*12</f>
        <v>333.55681818181819</v>
      </c>
    </row>
    <row r="25" spans="1:17" ht="15" customHeight="1">
      <c r="A25" s="65">
        <v>15</v>
      </c>
      <c r="B25" s="158" t="s">
        <v>33</v>
      </c>
      <c r="C25" s="35" t="s">
        <v>202</v>
      </c>
      <c r="D25" s="35" t="s">
        <v>297</v>
      </c>
      <c r="E25" s="35" t="s">
        <v>298</v>
      </c>
      <c r="F25" s="35" t="s">
        <v>206</v>
      </c>
      <c r="G25" s="35" t="s">
        <v>408</v>
      </c>
      <c r="H25" s="65" t="s">
        <v>293</v>
      </c>
      <c r="I25" s="177">
        <f>MO!$L$8</f>
        <v>7.7852272727272736</v>
      </c>
      <c r="J25" s="169">
        <f t="shared" si="2"/>
        <v>19.463068181818183</v>
      </c>
      <c r="K25" s="169">
        <f>81.25/12</f>
        <v>6.770833333333333</v>
      </c>
      <c r="L25" s="177">
        <v>0</v>
      </c>
      <c r="M25" s="69">
        <v>5</v>
      </c>
      <c r="N25" s="69">
        <v>30</v>
      </c>
      <c r="O25" s="170">
        <f t="shared" si="13"/>
        <v>0.5</v>
      </c>
      <c r="P25" s="171">
        <f t="shared" si="1"/>
        <v>26.233901515151516</v>
      </c>
      <c r="Q25" s="171">
        <f>P25*12</f>
        <v>314.80681818181819</v>
      </c>
    </row>
    <row r="26" spans="1:17" ht="15" customHeight="1">
      <c r="A26" s="65">
        <v>16</v>
      </c>
      <c r="B26" s="158" t="s">
        <v>34</v>
      </c>
      <c r="C26" s="35" t="s">
        <v>202</v>
      </c>
      <c r="D26" s="35" t="s">
        <v>297</v>
      </c>
      <c r="E26" s="35" t="s">
        <v>298</v>
      </c>
      <c r="F26" s="35" t="s">
        <v>206</v>
      </c>
      <c r="G26" s="35" t="s">
        <v>408</v>
      </c>
      <c r="H26" s="65" t="s">
        <v>293</v>
      </c>
      <c r="I26" s="177">
        <f>MO!$L$8</f>
        <v>7.7852272727272736</v>
      </c>
      <c r="J26" s="169">
        <f t="shared" si="2"/>
        <v>19.463068181818183</v>
      </c>
      <c r="K26" s="169">
        <f>31.25/12</f>
        <v>2.6041666666666665</v>
      </c>
      <c r="L26" s="177">
        <v>0</v>
      </c>
      <c r="M26" s="69">
        <v>5</v>
      </c>
      <c r="N26" s="69">
        <v>30</v>
      </c>
      <c r="O26" s="170">
        <f t="shared" si="13"/>
        <v>0.5</v>
      </c>
      <c r="P26" s="171">
        <f t="shared" si="1"/>
        <v>22.067234848484851</v>
      </c>
      <c r="Q26" s="171">
        <f>P26*12</f>
        <v>264.80681818181824</v>
      </c>
    </row>
    <row r="27" spans="1:17" ht="15" customHeight="1">
      <c r="A27" s="65">
        <v>17</v>
      </c>
      <c r="B27" s="158" t="s">
        <v>53</v>
      </c>
      <c r="C27" s="35" t="s">
        <v>202</v>
      </c>
      <c r="D27" s="35" t="s">
        <v>297</v>
      </c>
      <c r="E27" s="35" t="s">
        <v>298</v>
      </c>
      <c r="F27" s="35" t="s">
        <v>206</v>
      </c>
      <c r="G27" s="35" t="s">
        <v>408</v>
      </c>
      <c r="H27" s="65" t="s">
        <v>293</v>
      </c>
      <c r="I27" s="177">
        <f>MO!$L$8</f>
        <v>7.7852272727272736</v>
      </c>
      <c r="J27" s="169">
        <f t="shared" si="2"/>
        <v>19.463068181818183</v>
      </c>
      <c r="K27" s="169">
        <f>150/12</f>
        <v>12.5</v>
      </c>
      <c r="L27" s="177">
        <v>0</v>
      </c>
      <c r="M27" s="69">
        <v>5</v>
      </c>
      <c r="N27" s="69">
        <v>30</v>
      </c>
      <c r="O27" s="170">
        <f t="shared" si="13"/>
        <v>0.5</v>
      </c>
      <c r="P27" s="171">
        <f t="shared" si="1"/>
        <v>31.963068181818183</v>
      </c>
      <c r="Q27" s="171">
        <f>P27*12</f>
        <v>383.55681818181819</v>
      </c>
    </row>
    <row r="28" spans="1:17" ht="15" customHeight="1">
      <c r="A28" s="65">
        <v>18</v>
      </c>
      <c r="B28" s="158" t="s">
        <v>35</v>
      </c>
      <c r="C28" s="203" t="s">
        <v>202</v>
      </c>
      <c r="D28" s="203" t="s">
        <v>376</v>
      </c>
      <c r="E28" s="203" t="s">
        <v>281</v>
      </c>
      <c r="F28" s="203" t="s">
        <v>201</v>
      </c>
      <c r="G28" s="203" t="s">
        <v>407</v>
      </c>
      <c r="H28" s="65" t="s">
        <v>274</v>
      </c>
      <c r="I28" s="169">
        <f>MO!$L$8</f>
        <v>7.7852272727272736</v>
      </c>
      <c r="J28" s="177">
        <f t="shared" si="2"/>
        <v>12.975378787878789</v>
      </c>
      <c r="K28" s="177">
        <v>0</v>
      </c>
      <c r="L28" s="177">
        <v>0</v>
      </c>
      <c r="M28" s="69">
        <v>5</v>
      </c>
      <c r="N28" s="69">
        <v>20</v>
      </c>
      <c r="O28" s="178">
        <f>N28/60</f>
        <v>0.33333333333333331</v>
      </c>
      <c r="P28" s="179">
        <f t="shared" si="1"/>
        <v>12.975378787878789</v>
      </c>
      <c r="Q28" s="179">
        <f t="shared" ref="Q28:Q29" si="14">P28*206</f>
        <v>2672.9280303030305</v>
      </c>
    </row>
    <row r="29" spans="1:17" ht="15" customHeight="1">
      <c r="A29" s="65">
        <v>19</v>
      </c>
      <c r="B29" s="158" t="s">
        <v>36</v>
      </c>
      <c r="C29" s="203" t="s">
        <v>202</v>
      </c>
      <c r="D29" s="203" t="s">
        <v>272</v>
      </c>
      <c r="E29" s="203" t="s">
        <v>273</v>
      </c>
      <c r="F29" s="203" t="s">
        <v>201</v>
      </c>
      <c r="G29" s="203" t="s">
        <v>407</v>
      </c>
      <c r="H29" s="65" t="s">
        <v>274</v>
      </c>
      <c r="I29" s="169">
        <f>MO!$L$8</f>
        <v>7.7852272727272736</v>
      </c>
      <c r="J29" s="177">
        <f t="shared" si="2"/>
        <v>6.4876893939393945</v>
      </c>
      <c r="K29" s="177">
        <v>0</v>
      </c>
      <c r="L29" s="177">
        <v>0</v>
      </c>
      <c r="M29" s="69">
        <v>5</v>
      </c>
      <c r="N29" s="69">
        <v>10</v>
      </c>
      <c r="O29" s="178">
        <f>N29/60</f>
        <v>0.16666666666666666</v>
      </c>
      <c r="P29" s="179">
        <f t="shared" si="1"/>
        <v>6.4876893939393945</v>
      </c>
      <c r="Q29" s="179">
        <f t="shared" si="14"/>
        <v>1336.4640151515152</v>
      </c>
    </row>
    <row r="30" spans="1:17" ht="15" customHeight="1">
      <c r="A30" s="65">
        <v>20</v>
      </c>
      <c r="B30" s="158" t="s">
        <v>54</v>
      </c>
      <c r="C30" s="35" t="s">
        <v>202</v>
      </c>
      <c r="D30" s="35" t="s">
        <v>322</v>
      </c>
      <c r="E30" s="35" t="s">
        <v>323</v>
      </c>
      <c r="F30" s="35" t="s">
        <v>207</v>
      </c>
      <c r="G30" s="35" t="s">
        <v>379</v>
      </c>
      <c r="H30" s="65" t="s">
        <v>314</v>
      </c>
      <c r="I30" s="169">
        <f>22/4</f>
        <v>5.5</v>
      </c>
      <c r="J30" s="169">
        <f t="shared" si="2"/>
        <v>22</v>
      </c>
      <c r="K30" s="169">
        <v>0</v>
      </c>
      <c r="L30" s="177">
        <v>0</v>
      </c>
      <c r="M30" s="69">
        <v>4</v>
      </c>
      <c r="N30" s="69">
        <v>60</v>
      </c>
      <c r="O30" s="170">
        <f>N30/60</f>
        <v>1</v>
      </c>
      <c r="P30" s="171">
        <f t="shared" si="1"/>
        <v>22</v>
      </c>
      <c r="Q30" s="171">
        <f>P30</f>
        <v>22</v>
      </c>
    </row>
    <row r="31" spans="1:17" ht="15" customHeight="1">
      <c r="A31" s="65">
        <v>21</v>
      </c>
      <c r="B31" s="158" t="s">
        <v>37</v>
      </c>
      <c r="C31" s="35" t="s">
        <v>202</v>
      </c>
      <c r="D31" s="35" t="s">
        <v>297</v>
      </c>
      <c r="E31" s="35" t="s">
        <v>298</v>
      </c>
      <c r="F31" s="35" t="s">
        <v>206</v>
      </c>
      <c r="G31" s="35" t="s">
        <v>408</v>
      </c>
      <c r="H31" s="65" t="s">
        <v>293</v>
      </c>
      <c r="I31" s="177">
        <f>MO!$L$8</f>
        <v>7.7852272727272736</v>
      </c>
      <c r="J31" s="169">
        <f t="shared" si="2"/>
        <v>38.926136363636367</v>
      </c>
      <c r="K31" s="169">
        <f>781.25/12</f>
        <v>65.104166666666671</v>
      </c>
      <c r="L31" s="177">
        <v>0</v>
      </c>
      <c r="M31" s="69">
        <v>5</v>
      </c>
      <c r="N31" s="69">
        <v>60</v>
      </c>
      <c r="O31" s="170">
        <f>N31/60</f>
        <v>1</v>
      </c>
      <c r="P31" s="171">
        <f t="shared" si="1"/>
        <v>104.03030303030303</v>
      </c>
      <c r="Q31" s="171">
        <f>P31*12</f>
        <v>1248.3636363636365</v>
      </c>
    </row>
    <row r="32" spans="1:17" ht="15" customHeight="1">
      <c r="A32" s="65">
        <v>22</v>
      </c>
      <c r="B32" s="158" t="s">
        <v>38</v>
      </c>
      <c r="C32" s="35" t="s">
        <v>202</v>
      </c>
      <c r="D32" s="35" t="s">
        <v>326</v>
      </c>
      <c r="E32" s="35" t="s">
        <v>309</v>
      </c>
      <c r="F32" s="35" t="s">
        <v>405</v>
      </c>
      <c r="G32" s="35" t="s">
        <v>379</v>
      </c>
      <c r="H32" s="65" t="s">
        <v>307</v>
      </c>
      <c r="I32" s="169">
        <f>22/4</f>
        <v>5.5</v>
      </c>
      <c r="J32" s="169">
        <f t="shared" si="2"/>
        <v>226.23333333333332</v>
      </c>
      <c r="K32" s="169">
        <f>37.5/2</f>
        <v>18.75</v>
      </c>
      <c r="L32" s="177">
        <v>0</v>
      </c>
      <c r="M32" s="69">
        <v>4</v>
      </c>
      <c r="N32" s="69">
        <v>617</v>
      </c>
      <c r="O32" s="178">
        <f t="shared" ref="O32:O33" si="15">N32/60</f>
        <v>10.283333333333333</v>
      </c>
      <c r="P32" s="179">
        <f t="shared" si="1"/>
        <v>244.98333333333332</v>
      </c>
      <c r="Q32" s="179">
        <f>P32*2</f>
        <v>489.96666666666664</v>
      </c>
    </row>
    <row r="33" spans="1:17" ht="15" customHeight="1">
      <c r="A33" s="65">
        <v>23</v>
      </c>
      <c r="B33" s="158" t="s">
        <v>39</v>
      </c>
      <c r="C33" s="35" t="s">
        <v>202</v>
      </c>
      <c r="D33" s="35" t="s">
        <v>310</v>
      </c>
      <c r="E33" s="35" t="s">
        <v>309</v>
      </c>
      <c r="F33" s="35" t="s">
        <v>405</v>
      </c>
      <c r="G33" s="35" t="s">
        <v>379</v>
      </c>
      <c r="H33" s="65" t="s">
        <v>307</v>
      </c>
      <c r="I33" s="169">
        <f>22/4</f>
        <v>5.5</v>
      </c>
      <c r="J33" s="169">
        <f t="shared" si="2"/>
        <v>226.23333333333332</v>
      </c>
      <c r="K33" s="169">
        <f>43.75/2</f>
        <v>21.875</v>
      </c>
      <c r="L33" s="177">
        <v>0</v>
      </c>
      <c r="M33" s="69">
        <v>4</v>
      </c>
      <c r="N33" s="69">
        <v>617</v>
      </c>
      <c r="O33" s="178">
        <f t="shared" si="15"/>
        <v>10.283333333333333</v>
      </c>
      <c r="P33" s="179">
        <f t="shared" si="1"/>
        <v>248.10833333333332</v>
      </c>
      <c r="Q33" s="179">
        <f>P33*2</f>
        <v>496.21666666666664</v>
      </c>
    </row>
    <row r="34" spans="1:17" ht="15" customHeight="1">
      <c r="A34" s="346">
        <v>24</v>
      </c>
      <c r="B34" s="498" t="s">
        <v>40</v>
      </c>
      <c r="C34" s="35" t="s">
        <v>202</v>
      </c>
      <c r="D34" s="203" t="s">
        <v>271</v>
      </c>
      <c r="E34" s="203" t="s">
        <v>406</v>
      </c>
      <c r="F34" s="203" t="s">
        <v>201</v>
      </c>
      <c r="G34" s="203" t="s">
        <v>407</v>
      </c>
      <c r="H34" s="65" t="s">
        <v>274</v>
      </c>
      <c r="I34" s="169">
        <f>MO!$L$8</f>
        <v>7.7852272727272736</v>
      </c>
      <c r="J34" s="177">
        <f t="shared" si="2"/>
        <v>12.975378787878789</v>
      </c>
      <c r="K34" s="177">
        <v>0</v>
      </c>
      <c r="L34" s="177">
        <v>0</v>
      </c>
      <c r="M34" s="69">
        <v>5</v>
      </c>
      <c r="N34" s="69">
        <v>20</v>
      </c>
      <c r="O34" s="178">
        <f>N34/60</f>
        <v>0.33333333333333331</v>
      </c>
      <c r="P34" s="179">
        <f t="shared" si="1"/>
        <v>12.975378787878789</v>
      </c>
      <c r="Q34" s="179">
        <f>P34*206</f>
        <v>2672.9280303030305</v>
      </c>
    </row>
    <row r="35" spans="1:17" ht="15" customHeight="1">
      <c r="A35" s="346"/>
      <c r="B35" s="498"/>
      <c r="C35" s="35" t="s">
        <v>202</v>
      </c>
      <c r="D35" s="35" t="s">
        <v>295</v>
      </c>
      <c r="E35" s="35" t="s">
        <v>296</v>
      </c>
      <c r="F35" s="35" t="s">
        <v>206</v>
      </c>
      <c r="G35" s="35" t="s">
        <v>408</v>
      </c>
      <c r="H35" s="65" t="s">
        <v>293</v>
      </c>
      <c r="I35" s="177">
        <f>MO!$L$8</f>
        <v>7.7852272727272736</v>
      </c>
      <c r="J35" s="169">
        <f t="shared" si="2"/>
        <v>25.950757575757578</v>
      </c>
      <c r="K35" s="169">
        <f>375/12</f>
        <v>31.25</v>
      </c>
      <c r="L35" s="177">
        <v>0</v>
      </c>
      <c r="M35" s="69">
        <v>5</v>
      </c>
      <c r="N35" s="69">
        <v>40</v>
      </c>
      <c r="O35" s="170">
        <f t="shared" ref="O35:O36" si="16">N35/60</f>
        <v>0.66666666666666663</v>
      </c>
      <c r="P35" s="171">
        <f t="shared" si="1"/>
        <v>57.200757575757578</v>
      </c>
      <c r="Q35" s="171">
        <f>P35*12</f>
        <v>686.40909090909099</v>
      </c>
    </row>
    <row r="36" spans="1:17" ht="15" customHeight="1">
      <c r="A36" s="346">
        <v>25</v>
      </c>
      <c r="B36" s="498" t="s">
        <v>41</v>
      </c>
      <c r="C36" s="35" t="s">
        <v>202</v>
      </c>
      <c r="D36" s="347" t="s">
        <v>295</v>
      </c>
      <c r="E36" s="347" t="s">
        <v>296</v>
      </c>
      <c r="F36" s="347" t="s">
        <v>206</v>
      </c>
      <c r="G36" s="347" t="s">
        <v>408</v>
      </c>
      <c r="H36" s="346" t="s">
        <v>293</v>
      </c>
      <c r="I36" s="501">
        <f>MO!$L$8</f>
        <v>7.7852272727272736</v>
      </c>
      <c r="J36" s="501">
        <f t="shared" si="2"/>
        <v>25.950757575757578</v>
      </c>
      <c r="K36" s="501">
        <f>187.5/12</f>
        <v>15.625</v>
      </c>
      <c r="L36" s="501">
        <v>0</v>
      </c>
      <c r="M36" s="502">
        <v>5</v>
      </c>
      <c r="N36" s="502">
        <v>40</v>
      </c>
      <c r="O36" s="503">
        <f t="shared" si="16"/>
        <v>0.66666666666666663</v>
      </c>
      <c r="P36" s="504">
        <f t="shared" si="1"/>
        <v>41.575757575757578</v>
      </c>
      <c r="Q36" s="504">
        <f>P36*12</f>
        <v>498.90909090909093</v>
      </c>
    </row>
    <row r="37" spans="1:17" ht="15" customHeight="1">
      <c r="A37" s="346"/>
      <c r="B37" s="498"/>
      <c r="C37" s="35" t="s">
        <v>202</v>
      </c>
      <c r="D37" s="347"/>
      <c r="E37" s="347"/>
      <c r="F37" s="347"/>
      <c r="G37" s="347"/>
      <c r="H37" s="346"/>
      <c r="I37" s="501"/>
      <c r="J37" s="501"/>
      <c r="K37" s="501"/>
      <c r="L37" s="501"/>
      <c r="M37" s="502"/>
      <c r="N37" s="502"/>
      <c r="O37" s="503"/>
      <c r="P37" s="504"/>
      <c r="Q37" s="504"/>
    </row>
    <row r="38" spans="1:17" ht="15" customHeight="1">
      <c r="A38" s="346">
        <v>26</v>
      </c>
      <c r="B38" s="498" t="s">
        <v>42</v>
      </c>
      <c r="C38" s="35" t="s">
        <v>202</v>
      </c>
      <c r="D38" s="35" t="s">
        <v>342</v>
      </c>
      <c r="E38" s="35" t="s">
        <v>343</v>
      </c>
      <c r="F38" s="35" t="s">
        <v>201</v>
      </c>
      <c r="G38" s="35" t="s">
        <v>407</v>
      </c>
      <c r="H38" s="65" t="s">
        <v>293</v>
      </c>
      <c r="I38" s="169">
        <f>MO!$L$8</f>
        <v>7.7852272727272736</v>
      </c>
      <c r="J38" s="169">
        <f t="shared" ref="J38:J46" si="17">I38*M38*O38</f>
        <v>116.77840909090909</v>
      </c>
      <c r="K38" s="169">
        <v>0</v>
      </c>
      <c r="L38" s="177">
        <v>0</v>
      </c>
      <c r="M38" s="69">
        <v>5</v>
      </c>
      <c r="N38" s="69">
        <v>180</v>
      </c>
      <c r="O38" s="170">
        <f t="shared" ref="O38:O46" si="18">N38/60</f>
        <v>3</v>
      </c>
      <c r="P38" s="171">
        <f t="shared" ref="P38:P46" si="19">J38+K38+L38</f>
        <v>116.77840909090909</v>
      </c>
      <c r="Q38" s="171">
        <f>P38*12</f>
        <v>1401.340909090909</v>
      </c>
    </row>
    <row r="39" spans="1:17" ht="15" customHeight="1">
      <c r="A39" s="346"/>
      <c r="B39" s="498"/>
      <c r="C39" s="35" t="s">
        <v>202</v>
      </c>
      <c r="D39" s="35" t="s">
        <v>308</v>
      </c>
      <c r="E39" s="35" t="s">
        <v>306</v>
      </c>
      <c r="F39" s="35" t="s">
        <v>203</v>
      </c>
      <c r="G39" s="35" t="s">
        <v>407</v>
      </c>
      <c r="H39" s="65" t="s">
        <v>293</v>
      </c>
      <c r="I39" s="169">
        <f>MO!$L$8</f>
        <v>7.7852272727272736</v>
      </c>
      <c r="J39" s="169">
        <f t="shared" si="17"/>
        <v>38.926136363636367</v>
      </c>
      <c r="K39" s="169">
        <v>7</v>
      </c>
      <c r="L39" s="177">
        <v>0</v>
      </c>
      <c r="M39" s="69">
        <v>5</v>
      </c>
      <c r="N39" s="69">
        <v>60</v>
      </c>
      <c r="O39" s="170">
        <f t="shared" si="18"/>
        <v>1</v>
      </c>
      <c r="P39" s="171">
        <f t="shared" si="19"/>
        <v>45.926136363636367</v>
      </c>
      <c r="Q39" s="171">
        <f>P39*12</f>
        <v>551.11363636363637</v>
      </c>
    </row>
    <row r="40" spans="1:17" ht="15" customHeight="1">
      <c r="A40" s="346">
        <v>27</v>
      </c>
      <c r="B40" s="498" t="s">
        <v>43</v>
      </c>
      <c r="C40" s="203" t="s">
        <v>202</v>
      </c>
      <c r="D40" s="203" t="s">
        <v>269</v>
      </c>
      <c r="E40" s="203" t="s">
        <v>270</v>
      </c>
      <c r="F40" s="203" t="s">
        <v>201</v>
      </c>
      <c r="G40" s="203" t="s">
        <v>407</v>
      </c>
      <c r="H40" s="65" t="s">
        <v>274</v>
      </c>
      <c r="I40" s="169">
        <f>MO!$L$8</f>
        <v>7.7852272727272736</v>
      </c>
      <c r="J40" s="177">
        <f t="shared" si="17"/>
        <v>12.975378787878789</v>
      </c>
      <c r="K40" s="177">
        <v>0</v>
      </c>
      <c r="L40" s="177">
        <v>0</v>
      </c>
      <c r="M40" s="69">
        <v>5</v>
      </c>
      <c r="N40" s="69">
        <v>20</v>
      </c>
      <c r="O40" s="178">
        <f t="shared" si="18"/>
        <v>0.33333333333333331</v>
      </c>
      <c r="P40" s="179">
        <f t="shared" si="19"/>
        <v>12.975378787878789</v>
      </c>
      <c r="Q40" s="179">
        <f>P40*206</f>
        <v>2672.9280303030305</v>
      </c>
    </row>
    <row r="41" spans="1:17" ht="15" customHeight="1">
      <c r="A41" s="346"/>
      <c r="B41" s="498"/>
      <c r="C41" s="35" t="s">
        <v>202</v>
      </c>
      <c r="D41" s="35" t="s">
        <v>338</v>
      </c>
      <c r="E41" s="35" t="s">
        <v>339</v>
      </c>
      <c r="F41" s="35" t="s">
        <v>401</v>
      </c>
      <c r="G41" s="35" t="s">
        <v>407</v>
      </c>
      <c r="H41" s="65" t="s">
        <v>293</v>
      </c>
      <c r="I41" s="169">
        <f>MO!$L$8</f>
        <v>7.7852272727272736</v>
      </c>
      <c r="J41" s="169">
        <f t="shared" si="17"/>
        <v>38.926136363636367</v>
      </c>
      <c r="K41" s="169">
        <v>0</v>
      </c>
      <c r="L41" s="177">
        <v>0</v>
      </c>
      <c r="M41" s="69">
        <v>5</v>
      </c>
      <c r="N41" s="69">
        <v>60</v>
      </c>
      <c r="O41" s="170">
        <f t="shared" si="18"/>
        <v>1</v>
      </c>
      <c r="P41" s="171">
        <f t="shared" si="19"/>
        <v>38.926136363636367</v>
      </c>
      <c r="Q41" s="171">
        <f>P41*12</f>
        <v>467.11363636363637</v>
      </c>
    </row>
    <row r="42" spans="1:17" ht="15" customHeight="1">
      <c r="A42" s="346">
        <v>28</v>
      </c>
      <c r="B42" s="498" t="s">
        <v>49</v>
      </c>
      <c r="C42" s="35" t="s">
        <v>202</v>
      </c>
      <c r="D42" s="35" t="s">
        <v>334</v>
      </c>
      <c r="E42" s="35" t="s">
        <v>402</v>
      </c>
      <c r="F42" s="35" t="s">
        <v>201</v>
      </c>
      <c r="G42" s="35" t="s">
        <v>407</v>
      </c>
      <c r="H42" s="65" t="s">
        <v>288</v>
      </c>
      <c r="I42" s="169">
        <f>MO!$L$8</f>
        <v>7.7852272727272736</v>
      </c>
      <c r="J42" s="169">
        <f t="shared" si="17"/>
        <v>25.950757575757578</v>
      </c>
      <c r="K42" s="169">
        <v>0</v>
      </c>
      <c r="L42" s="169">
        <v>0</v>
      </c>
      <c r="M42" s="69">
        <v>5</v>
      </c>
      <c r="N42" s="69">
        <v>40</v>
      </c>
      <c r="O42" s="170">
        <f t="shared" si="18"/>
        <v>0.66666666666666663</v>
      </c>
      <c r="P42" s="171">
        <f t="shared" si="19"/>
        <v>25.950757575757578</v>
      </c>
      <c r="Q42" s="171">
        <f>P42*41</f>
        <v>1063.9810606060607</v>
      </c>
    </row>
    <row r="43" spans="1:17" ht="15" customHeight="1">
      <c r="A43" s="346"/>
      <c r="B43" s="498"/>
      <c r="C43" s="35" t="s">
        <v>202</v>
      </c>
      <c r="D43" s="35" t="s">
        <v>312</v>
      </c>
      <c r="E43" s="35" t="s">
        <v>313</v>
      </c>
      <c r="F43" s="35" t="s">
        <v>203</v>
      </c>
      <c r="G43" s="35" t="s">
        <v>379</v>
      </c>
      <c r="H43" s="65" t="s">
        <v>307</v>
      </c>
      <c r="I43" s="169">
        <f>22/4</f>
        <v>5.5</v>
      </c>
      <c r="J43" s="169">
        <f t="shared" si="17"/>
        <v>226.23333333333332</v>
      </c>
      <c r="K43" s="169">
        <f>450/2</f>
        <v>225</v>
      </c>
      <c r="L43" s="177">
        <v>0</v>
      </c>
      <c r="M43" s="69">
        <v>4</v>
      </c>
      <c r="N43" s="69">
        <v>617</v>
      </c>
      <c r="O43" s="178">
        <f t="shared" si="18"/>
        <v>10.283333333333333</v>
      </c>
      <c r="P43" s="179">
        <f t="shared" si="19"/>
        <v>451.23333333333335</v>
      </c>
      <c r="Q43" s="179">
        <f>P43*2</f>
        <v>902.4666666666667</v>
      </c>
    </row>
    <row r="44" spans="1:17" ht="15" customHeight="1">
      <c r="A44" s="346">
        <v>29</v>
      </c>
      <c r="B44" s="498" t="s">
        <v>44</v>
      </c>
      <c r="C44" s="203" t="s">
        <v>202</v>
      </c>
      <c r="D44" s="203" t="s">
        <v>290</v>
      </c>
      <c r="E44" s="203" t="s">
        <v>291</v>
      </c>
      <c r="F44" s="203" t="s">
        <v>201</v>
      </c>
      <c r="G44" s="203" t="s">
        <v>407</v>
      </c>
      <c r="H44" s="65" t="s">
        <v>274</v>
      </c>
      <c r="I44" s="169">
        <f>MO!$L$8</f>
        <v>7.7852272727272736</v>
      </c>
      <c r="J44" s="177">
        <f t="shared" si="17"/>
        <v>6.4876893939393945</v>
      </c>
      <c r="K44" s="177">
        <v>0</v>
      </c>
      <c r="L44" s="177">
        <v>0</v>
      </c>
      <c r="M44" s="69">
        <v>5</v>
      </c>
      <c r="N44" s="69">
        <v>10</v>
      </c>
      <c r="O44" s="178">
        <f t="shared" si="18"/>
        <v>0.16666666666666666</v>
      </c>
      <c r="P44" s="179">
        <f t="shared" si="19"/>
        <v>6.4876893939393945</v>
      </c>
      <c r="Q44" s="179">
        <f>P44*206</f>
        <v>1336.4640151515152</v>
      </c>
    </row>
    <row r="45" spans="1:17" ht="15" customHeight="1">
      <c r="A45" s="346"/>
      <c r="B45" s="498"/>
      <c r="C45" s="35" t="s">
        <v>202</v>
      </c>
      <c r="D45" s="35" t="s">
        <v>304</v>
      </c>
      <c r="E45" s="35" t="s">
        <v>294</v>
      </c>
      <c r="F45" s="35" t="s">
        <v>401</v>
      </c>
      <c r="G45" s="35" t="s">
        <v>407</v>
      </c>
      <c r="H45" s="65" t="s">
        <v>293</v>
      </c>
      <c r="I45" s="169">
        <f>MO!$L$8</f>
        <v>7.7852272727272736</v>
      </c>
      <c r="J45" s="169">
        <f t="shared" si="17"/>
        <v>25.950757575757578</v>
      </c>
      <c r="K45" s="169">
        <v>0</v>
      </c>
      <c r="L45" s="177">
        <v>0</v>
      </c>
      <c r="M45" s="69">
        <v>5</v>
      </c>
      <c r="N45" s="69">
        <v>40</v>
      </c>
      <c r="O45" s="170">
        <f t="shared" si="18"/>
        <v>0.66666666666666663</v>
      </c>
      <c r="P45" s="171">
        <f t="shared" si="19"/>
        <v>25.950757575757578</v>
      </c>
      <c r="Q45" s="171">
        <f>P45*12</f>
        <v>311.40909090909093</v>
      </c>
    </row>
    <row r="46" spans="1:17" ht="15" customHeight="1">
      <c r="A46" s="346">
        <v>30</v>
      </c>
      <c r="B46" s="498" t="s">
        <v>45</v>
      </c>
      <c r="C46" s="35" t="s">
        <v>202</v>
      </c>
      <c r="D46" s="347" t="s">
        <v>340</v>
      </c>
      <c r="E46" s="347" t="s">
        <v>341</v>
      </c>
      <c r="F46" s="347" t="s">
        <v>203</v>
      </c>
      <c r="G46" s="347" t="s">
        <v>379</v>
      </c>
      <c r="H46" s="346" t="s">
        <v>307</v>
      </c>
      <c r="I46" s="501">
        <f>22/4</f>
        <v>5.5</v>
      </c>
      <c r="J46" s="501">
        <f t="shared" si="17"/>
        <v>226.23333333333332</v>
      </c>
      <c r="K46" s="501">
        <f>75/2</f>
        <v>37.5</v>
      </c>
      <c r="L46" s="501">
        <v>0</v>
      </c>
      <c r="M46" s="502">
        <v>4</v>
      </c>
      <c r="N46" s="502">
        <v>617</v>
      </c>
      <c r="O46" s="503">
        <f t="shared" si="18"/>
        <v>10.283333333333333</v>
      </c>
      <c r="P46" s="504">
        <f t="shared" si="19"/>
        <v>263.73333333333335</v>
      </c>
      <c r="Q46" s="504">
        <f>P46*2</f>
        <v>527.4666666666667</v>
      </c>
    </row>
    <row r="47" spans="1:17" ht="15" customHeight="1">
      <c r="A47" s="346"/>
      <c r="B47" s="498"/>
      <c r="C47" s="35" t="s">
        <v>202</v>
      </c>
      <c r="D47" s="347"/>
      <c r="E47" s="347"/>
      <c r="F47" s="347"/>
      <c r="G47" s="347"/>
      <c r="H47" s="346"/>
      <c r="I47" s="501"/>
      <c r="J47" s="501"/>
      <c r="K47" s="501"/>
      <c r="L47" s="501"/>
      <c r="M47" s="502"/>
      <c r="N47" s="502"/>
      <c r="O47" s="503"/>
      <c r="P47" s="504"/>
      <c r="Q47" s="504"/>
    </row>
    <row r="48" spans="1:17" ht="15" customHeight="1">
      <c r="A48" s="346">
        <v>31</v>
      </c>
      <c r="B48" s="498" t="s">
        <v>48</v>
      </c>
      <c r="C48" s="203" t="s">
        <v>202</v>
      </c>
      <c r="D48" s="203" t="s">
        <v>275</v>
      </c>
      <c r="E48" s="203" t="s">
        <v>276</v>
      </c>
      <c r="F48" s="203" t="s">
        <v>201</v>
      </c>
      <c r="G48" s="203" t="s">
        <v>407</v>
      </c>
      <c r="H48" s="65" t="s">
        <v>274</v>
      </c>
      <c r="I48" s="169">
        <f>MO!$L$8</f>
        <v>7.7852272727272736</v>
      </c>
      <c r="J48" s="177">
        <f>I48*M48*O48</f>
        <v>6.4876893939393945</v>
      </c>
      <c r="K48" s="177">
        <v>0</v>
      </c>
      <c r="L48" s="177">
        <v>0</v>
      </c>
      <c r="M48" s="69">
        <v>5</v>
      </c>
      <c r="N48" s="69">
        <v>10</v>
      </c>
      <c r="O48" s="178">
        <f>N48/60</f>
        <v>0.16666666666666666</v>
      </c>
      <c r="P48" s="179">
        <f>J48+K48+L48</f>
        <v>6.4876893939393945</v>
      </c>
      <c r="Q48" s="179">
        <f>P48*206</f>
        <v>1336.4640151515152</v>
      </c>
    </row>
    <row r="49" spans="1:17" ht="15" customHeight="1">
      <c r="A49" s="346"/>
      <c r="B49" s="498"/>
      <c r="C49" s="35" t="s">
        <v>202</v>
      </c>
      <c r="D49" s="35" t="s">
        <v>303</v>
      </c>
      <c r="E49" s="35" t="s">
        <v>305</v>
      </c>
      <c r="F49" s="35" t="s">
        <v>401</v>
      </c>
      <c r="G49" s="35" t="s">
        <v>407</v>
      </c>
      <c r="H49" s="65" t="s">
        <v>293</v>
      </c>
      <c r="I49" s="169">
        <f>MO!$L$8</f>
        <v>7.7852272727272736</v>
      </c>
      <c r="J49" s="169">
        <f>I49*M49*O49</f>
        <v>12.975378787878789</v>
      </c>
      <c r="K49" s="169">
        <v>0</v>
      </c>
      <c r="L49" s="177">
        <v>0</v>
      </c>
      <c r="M49" s="69">
        <v>5</v>
      </c>
      <c r="N49" s="69">
        <v>20</v>
      </c>
      <c r="O49" s="170">
        <f>N49/60</f>
        <v>0.33333333333333331</v>
      </c>
      <c r="P49" s="171">
        <f>J49+K49+L49</f>
        <v>12.975378787878789</v>
      </c>
      <c r="Q49" s="171">
        <f>P49*12</f>
        <v>155.70454545454547</v>
      </c>
    </row>
    <row r="50" spans="1:17">
      <c r="O50" s="166"/>
      <c r="P50" s="167"/>
    </row>
    <row r="51" spans="1:17">
      <c r="I51" s="167">
        <f>SUBTOTAL(9,I2:I50)</f>
        <v>323.8420454545456</v>
      </c>
      <c r="J51" s="167">
        <f>SUBTOTAL(9,J2:J50)</f>
        <v>2901.3213068181822</v>
      </c>
      <c r="K51" s="167">
        <f>SUBTOTAL(9,K2:K50)</f>
        <v>1050.8125</v>
      </c>
      <c r="L51" s="167">
        <f>SUBTOTAL(9,L2:L50)</f>
        <v>443.25</v>
      </c>
      <c r="M51" s="167"/>
      <c r="N51" s="167"/>
      <c r="O51" s="286">
        <f>SUBTOTAL(9,O2:O50)</f>
        <v>110.4</v>
      </c>
      <c r="P51" s="167">
        <f>SUBTOTAL(9,P2:P50)</f>
        <v>4395.3838068181813</v>
      </c>
      <c r="Q51" s="167">
        <f>SUBTOTAL(9,Q2:Q50)</f>
        <v>66319.91155303031</v>
      </c>
    </row>
    <row r="54" spans="1:17">
      <c r="P54" s="283"/>
    </row>
  </sheetData>
  <autoFilter ref="A1:Q49" xr:uid="{A6F8F13B-7797-4C51-A89D-9CE0BA69982B}"/>
  <mergeCells count="56">
    <mergeCell ref="A3:A4"/>
    <mergeCell ref="B3:B4"/>
    <mergeCell ref="A5:A7"/>
    <mergeCell ref="B5:B7"/>
    <mergeCell ref="A9:A11"/>
    <mergeCell ref="B9:B11"/>
    <mergeCell ref="E36:E37"/>
    <mergeCell ref="A12:A13"/>
    <mergeCell ref="B12:B13"/>
    <mergeCell ref="A17:A18"/>
    <mergeCell ref="B17:B18"/>
    <mergeCell ref="A19:A21"/>
    <mergeCell ref="B19:B21"/>
    <mergeCell ref="A34:A35"/>
    <mergeCell ref="B34:B35"/>
    <mergeCell ref="A36:A37"/>
    <mergeCell ref="B36:B37"/>
    <mergeCell ref="D36:D37"/>
    <mergeCell ref="Q36:Q37"/>
    <mergeCell ref="F36:F37"/>
    <mergeCell ref="G36:G37"/>
    <mergeCell ref="H36:H37"/>
    <mergeCell ref="I36:I37"/>
    <mergeCell ref="J36:J37"/>
    <mergeCell ref="K36:K37"/>
    <mergeCell ref="L36:L37"/>
    <mergeCell ref="M36:M37"/>
    <mergeCell ref="N36:N37"/>
    <mergeCell ref="O36:O37"/>
    <mergeCell ref="P36:P37"/>
    <mergeCell ref="A38:A39"/>
    <mergeCell ref="B38:B39"/>
    <mergeCell ref="A40:A41"/>
    <mergeCell ref="B40:B41"/>
    <mergeCell ref="A42:A43"/>
    <mergeCell ref="B42:B43"/>
    <mergeCell ref="A44:A45"/>
    <mergeCell ref="B44:B45"/>
    <mergeCell ref="A46:A47"/>
    <mergeCell ref="B46:B47"/>
    <mergeCell ref="D46:D47"/>
    <mergeCell ref="O46:O47"/>
    <mergeCell ref="P46:P47"/>
    <mergeCell ref="Q46:Q47"/>
    <mergeCell ref="F46:F47"/>
    <mergeCell ref="G46:G47"/>
    <mergeCell ref="H46:H47"/>
    <mergeCell ref="I46:I47"/>
    <mergeCell ref="J46:J47"/>
    <mergeCell ref="K46:K47"/>
    <mergeCell ref="A48:A49"/>
    <mergeCell ref="B48:B49"/>
    <mergeCell ref="L46:L47"/>
    <mergeCell ref="M46:M47"/>
    <mergeCell ref="N46:N47"/>
    <mergeCell ref="E46:E47"/>
  </mergeCells>
  <pageMargins left="0.70866141732283472" right="0.70866141732283472" top="0.74803149606299213" bottom="0.74803149606299213" header="0.31496062992125984" footer="0.31496062992125984"/>
  <pageSetup scale="24" fitToHeight="0" orientation="portrait" r:id="rId1"/>
  <ignoredErrors>
    <ignoredError sqref="I20 Q20 Q4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E950-F960-4C0A-9023-FF505AAF0AF2}">
  <dimension ref="B1:P22"/>
  <sheetViews>
    <sheetView workbookViewId="0">
      <selection activeCell="J29" sqref="J29"/>
    </sheetView>
  </sheetViews>
  <sheetFormatPr baseColWidth="10" defaultRowHeight="14.4"/>
  <cols>
    <col min="1" max="1" width="4.109375" customWidth="1"/>
    <col min="2" max="2" width="16.5546875" bestFit="1" customWidth="1"/>
    <col min="3" max="3" width="9.109375" bestFit="1" customWidth="1"/>
    <col min="4" max="6" width="10.21875" bestFit="1" customWidth="1"/>
    <col min="7" max="7" width="15.21875" bestFit="1" customWidth="1"/>
    <col min="8" max="8" width="10.21875" bestFit="1" customWidth="1"/>
    <col min="9" max="9" width="11.21875" bestFit="1" customWidth="1"/>
    <col min="10" max="10" width="9" bestFit="1" customWidth="1"/>
    <col min="11" max="11" width="10.5546875" bestFit="1" customWidth="1"/>
    <col min="12" max="12" width="8" bestFit="1" customWidth="1"/>
    <col min="13" max="13" width="10.33203125" bestFit="1" customWidth="1"/>
  </cols>
  <sheetData>
    <row r="1" spans="2:16">
      <c r="B1" t="s">
        <v>445</v>
      </c>
    </row>
    <row r="2" spans="2:16" ht="35.4">
      <c r="B2" s="180" t="s">
        <v>381</v>
      </c>
      <c r="C2" s="180" t="s">
        <v>383</v>
      </c>
      <c r="D2" s="181" t="s">
        <v>385</v>
      </c>
      <c r="E2" s="95" t="s">
        <v>386</v>
      </c>
      <c r="F2" s="95" t="s">
        <v>387</v>
      </c>
      <c r="G2" s="95" t="s">
        <v>388</v>
      </c>
      <c r="H2" s="95" t="s">
        <v>389</v>
      </c>
      <c r="I2" s="95" t="s">
        <v>390</v>
      </c>
      <c r="J2" s="95" t="s">
        <v>384</v>
      </c>
      <c r="K2" s="76" t="s">
        <v>450</v>
      </c>
      <c r="L2" s="76" t="s">
        <v>382</v>
      </c>
      <c r="M2" s="229"/>
    </row>
    <row r="3" spans="2:16" ht="18.600000000000001" customHeight="1">
      <c r="B3" s="79" t="s">
        <v>380</v>
      </c>
      <c r="C3" s="183">
        <v>2000</v>
      </c>
      <c r="D3" s="183">
        <f>IF(C3&gt;1000,1000*0.075,C3*0.075)</f>
        <v>75</v>
      </c>
      <c r="E3" s="184">
        <f>C3*0.0775</f>
        <v>155</v>
      </c>
      <c r="F3" s="183">
        <f>IF(C3&gt;1000,1000*0.01,C3*0.01)</f>
        <v>10</v>
      </c>
      <c r="G3" s="184">
        <f>C3*8.33%</f>
        <v>166.6</v>
      </c>
      <c r="H3" s="184">
        <f>C3*5.42%</f>
        <v>108.39999999999999</v>
      </c>
      <c r="I3" s="184">
        <f>C3*6%</f>
        <v>120</v>
      </c>
      <c r="J3" s="185">
        <f>C3+D3+E3+F3+H3+I3+G3</f>
        <v>2635</v>
      </c>
      <c r="K3" s="186">
        <v>176</v>
      </c>
      <c r="L3" s="187">
        <f>J3/K3</f>
        <v>14.971590909090908</v>
      </c>
      <c r="M3" s="230"/>
      <c r="N3" s="236"/>
      <c r="P3" s="236"/>
    </row>
    <row r="4" spans="2:16">
      <c r="B4" s="79" t="s">
        <v>377</v>
      </c>
      <c r="C4" s="183">
        <v>1000</v>
      </c>
      <c r="D4" s="183">
        <f>IF(C4&gt;1000,1000*0.075,C4*0.075)</f>
        <v>75</v>
      </c>
      <c r="E4" s="184">
        <f>C4*0.0775</f>
        <v>77.5</v>
      </c>
      <c r="F4" s="183">
        <f>IF(C4&gt;1000,1000*0.01,C4*0.01)</f>
        <v>10</v>
      </c>
      <c r="G4" s="184">
        <f>C4*8.33%</f>
        <v>83.3</v>
      </c>
      <c r="H4" s="184">
        <f>C4*5.42%</f>
        <v>54.199999999999996</v>
      </c>
      <c r="I4" s="184">
        <f>C4*6%</f>
        <v>60</v>
      </c>
      <c r="J4" s="185">
        <f t="shared" ref="J4:J7" si="0">C4+D4+E4+F4+H4+I4+G4</f>
        <v>1360</v>
      </c>
      <c r="K4" s="186">
        <v>176</v>
      </c>
      <c r="L4" s="187">
        <f>J4/K4</f>
        <v>7.7272727272727275</v>
      </c>
      <c r="M4" s="230"/>
      <c r="N4" s="236"/>
      <c r="P4" s="236"/>
    </row>
    <row r="5" spans="2:16">
      <c r="B5" s="79" t="s">
        <v>378</v>
      </c>
      <c r="C5" s="183">
        <v>800</v>
      </c>
      <c r="D5" s="183">
        <f>IF(C5&gt;1000,1000*0.075,C5*0.075)</f>
        <v>60</v>
      </c>
      <c r="E5" s="184">
        <f>C5*0.0775</f>
        <v>62</v>
      </c>
      <c r="F5" s="183">
        <f>IF(C5&gt;1000,1000*0.01,C5*0.01)</f>
        <v>8</v>
      </c>
      <c r="G5" s="184">
        <f>C5*8.33%</f>
        <v>66.64</v>
      </c>
      <c r="H5" s="184">
        <f>C5*5.42%</f>
        <v>43.36</v>
      </c>
      <c r="I5" s="184">
        <f>C5*6%</f>
        <v>48</v>
      </c>
      <c r="J5" s="185">
        <f t="shared" si="0"/>
        <v>1088</v>
      </c>
      <c r="K5" s="186">
        <v>176</v>
      </c>
      <c r="L5" s="187">
        <f>J5/K5</f>
        <v>6.1818181818181817</v>
      </c>
      <c r="M5" s="230"/>
      <c r="N5" s="236"/>
      <c r="P5" s="236"/>
    </row>
    <row r="6" spans="2:16">
      <c r="B6" s="79" t="s">
        <v>411</v>
      </c>
      <c r="C6" s="183">
        <v>650</v>
      </c>
      <c r="D6" s="183">
        <f>IF(C6&gt;1000,1000*0.075,C6*0.075)</f>
        <v>48.75</v>
      </c>
      <c r="E6" s="184">
        <f>C6*0.0775</f>
        <v>50.375</v>
      </c>
      <c r="F6" s="183">
        <f>IF(C6&gt;1000,1000*0.01,C6*0.01)</f>
        <v>6.5</v>
      </c>
      <c r="G6" s="184">
        <f>C6*8.33%</f>
        <v>54.144999999999996</v>
      </c>
      <c r="H6" s="184">
        <f>C6*5.42%</f>
        <v>35.229999999999997</v>
      </c>
      <c r="I6" s="184">
        <f>C6*6%</f>
        <v>39</v>
      </c>
      <c r="J6" s="185">
        <f t="shared" si="0"/>
        <v>884</v>
      </c>
      <c r="K6" s="186">
        <v>176</v>
      </c>
      <c r="L6" s="187">
        <f>J6/K6</f>
        <v>5.0227272727272725</v>
      </c>
      <c r="M6" s="230"/>
      <c r="N6" s="236"/>
      <c r="P6" s="236"/>
    </row>
    <row r="7" spans="2:16">
      <c r="B7" s="79" t="s">
        <v>412</v>
      </c>
      <c r="C7" s="183">
        <v>650</v>
      </c>
      <c r="D7" s="183">
        <f>IF(C7&gt;1000,1000*0.075,C7*0.075)</f>
        <v>48.75</v>
      </c>
      <c r="E7" s="184">
        <f>C7*0.0775</f>
        <v>50.375</v>
      </c>
      <c r="F7" s="183">
        <f>IF(C7&gt;1000,1000*0.01,C7*0.01)</f>
        <v>6.5</v>
      </c>
      <c r="G7" s="184">
        <f>C7*8.33%</f>
        <v>54.144999999999996</v>
      </c>
      <c r="H7" s="184">
        <f>C7*5.42%</f>
        <v>35.229999999999997</v>
      </c>
      <c r="I7" s="184">
        <f>C7*6%</f>
        <v>39</v>
      </c>
      <c r="J7" s="185">
        <f t="shared" si="0"/>
        <v>884</v>
      </c>
      <c r="K7" s="186">
        <v>176</v>
      </c>
      <c r="L7" s="187">
        <f>J7/K7</f>
        <v>5.0227272727272725</v>
      </c>
      <c r="M7" s="230"/>
      <c r="N7" s="236"/>
      <c r="P7" s="236"/>
    </row>
    <row r="8" spans="2:16">
      <c r="B8" s="186"/>
      <c r="C8" s="183"/>
      <c r="D8" s="183"/>
      <c r="E8" s="184"/>
      <c r="F8" s="183"/>
      <c r="G8" s="184"/>
      <c r="H8" s="184"/>
      <c r="I8" s="189" t="s">
        <v>369</v>
      </c>
      <c r="J8" s="190">
        <f>SUM(J3:J7)</f>
        <v>6851</v>
      </c>
      <c r="K8" s="189">
        <f>SUM(K3:K7)</f>
        <v>880</v>
      </c>
      <c r="L8" s="190">
        <f>AVERAGE(L3:L7)</f>
        <v>7.7852272727272736</v>
      </c>
      <c r="M8" s="231"/>
      <c r="N8" s="231"/>
    </row>
    <row r="9" spans="2:16"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</row>
    <row r="10" spans="2:16"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</row>
    <row r="11" spans="2:16">
      <c r="B11" s="182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</row>
    <row r="12" spans="2:16">
      <c r="B12" s="182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</row>
    <row r="13" spans="2:16" ht="35.4">
      <c r="B13" s="180" t="s">
        <v>381</v>
      </c>
      <c r="C13" s="180" t="s">
        <v>383</v>
      </c>
      <c r="D13" s="181" t="s">
        <v>385</v>
      </c>
      <c r="E13" s="95" t="s">
        <v>386</v>
      </c>
      <c r="F13" s="95" t="s">
        <v>387</v>
      </c>
      <c r="G13" s="95" t="s">
        <v>388</v>
      </c>
      <c r="H13" s="95" t="s">
        <v>389</v>
      </c>
      <c r="I13" s="95" t="s">
        <v>390</v>
      </c>
      <c r="J13" s="95" t="s">
        <v>384</v>
      </c>
      <c r="K13" s="95" t="s">
        <v>448</v>
      </c>
      <c r="L13" s="76" t="s">
        <v>409</v>
      </c>
      <c r="M13" s="189" t="s">
        <v>410</v>
      </c>
    </row>
    <row r="14" spans="2:16" ht="15.6" customHeight="1">
      <c r="B14" s="79" t="s">
        <v>380</v>
      </c>
      <c r="C14" s="183">
        <v>2000</v>
      </c>
      <c r="D14" s="183">
        <f>IF(C14&gt;1000,1000*0.075,C14*0.075)</f>
        <v>75</v>
      </c>
      <c r="E14" s="184">
        <f>C14*0.0775</f>
        <v>155</v>
      </c>
      <c r="F14" s="183">
        <f>IF(C14&gt;1000,1000*0.01,C14*0.01)</f>
        <v>10</v>
      </c>
      <c r="G14" s="184">
        <f>C14*8.33%</f>
        <v>166.6</v>
      </c>
      <c r="H14" s="184">
        <f>C14*5.42%</f>
        <v>108.39999999999999</v>
      </c>
      <c r="I14" s="184">
        <f>C14*6%</f>
        <v>120</v>
      </c>
      <c r="J14" s="185">
        <f>C14+D14+E14+F14+H14+I14+G14</f>
        <v>2635</v>
      </c>
      <c r="K14" s="238">
        <f>52/12</f>
        <v>4.333333333333333</v>
      </c>
      <c r="L14" s="191">
        <f>K14/K3</f>
        <v>2.462121212121212E-2</v>
      </c>
      <c r="M14" s="192">
        <f>L14*J14*12</f>
        <v>778.52272727272725</v>
      </c>
    </row>
    <row r="15" spans="2:16">
      <c r="B15" s="79" t="s">
        <v>377</v>
      </c>
      <c r="C15" s="183">
        <v>1000</v>
      </c>
      <c r="D15" s="183">
        <f>IF(C15&gt;1000,1000*0.075,C15*0.075)</f>
        <v>75</v>
      </c>
      <c r="E15" s="184">
        <f>C15*0.0775</f>
        <v>77.5</v>
      </c>
      <c r="F15" s="183">
        <f>IF(C15&gt;1000,1000*0.01,C15*0.01)</f>
        <v>10</v>
      </c>
      <c r="G15" s="184">
        <f>C15*8.33%</f>
        <v>83.3</v>
      </c>
      <c r="H15" s="184">
        <f>C15*5.42%</f>
        <v>54.199999999999996</v>
      </c>
      <c r="I15" s="184">
        <f>C15*6%</f>
        <v>60</v>
      </c>
      <c r="J15" s="185">
        <f t="shared" ref="J15:J18" si="1">C15+D15+E15+F15+H15+I15+G15</f>
        <v>1360</v>
      </c>
      <c r="K15" s="238">
        <f>29/12</f>
        <v>2.4166666666666665</v>
      </c>
      <c r="L15" s="191">
        <f t="shared" ref="L15:L18" si="2">K15/K4</f>
        <v>1.3731060606060606E-2</v>
      </c>
      <c r="M15" s="192">
        <f t="shared" ref="M15:M18" si="3">L15*J15*12</f>
        <v>224.09090909090912</v>
      </c>
    </row>
    <row r="16" spans="2:16">
      <c r="B16" s="79" t="s">
        <v>378</v>
      </c>
      <c r="C16" s="183">
        <v>800</v>
      </c>
      <c r="D16" s="183">
        <f>IF(C16&gt;1000,1000*0.075,C16*0.075)</f>
        <v>60</v>
      </c>
      <c r="E16" s="184">
        <f>C16*0.0775</f>
        <v>62</v>
      </c>
      <c r="F16" s="183">
        <f>IF(C16&gt;1000,1000*0.01,C16*0.01)</f>
        <v>8</v>
      </c>
      <c r="G16" s="184">
        <f>C16*8.33%</f>
        <v>66.64</v>
      </c>
      <c r="H16" s="184">
        <f>C16*5.42%</f>
        <v>43.36</v>
      </c>
      <c r="I16" s="184">
        <f>C16*6%</f>
        <v>48</v>
      </c>
      <c r="J16" s="185">
        <f t="shared" si="1"/>
        <v>1088</v>
      </c>
      <c r="K16" s="238">
        <f>23/12</f>
        <v>1.9166666666666667</v>
      </c>
      <c r="L16" s="191">
        <f t="shared" si="2"/>
        <v>1.0890151515151516E-2</v>
      </c>
      <c r="M16" s="192">
        <f t="shared" si="3"/>
        <v>142.18181818181819</v>
      </c>
    </row>
    <row r="17" spans="2:13">
      <c r="B17" s="79" t="s">
        <v>411</v>
      </c>
      <c r="C17" s="183">
        <v>650</v>
      </c>
      <c r="D17" s="183">
        <f>IF(C17&gt;1000,1000*0.075,C17*0.075)</f>
        <v>48.75</v>
      </c>
      <c r="E17" s="184">
        <f>C17*0.0775</f>
        <v>50.375</v>
      </c>
      <c r="F17" s="183">
        <f>IF(C17&gt;1000,1000*0.01,C17*0.01)</f>
        <v>6.5</v>
      </c>
      <c r="G17" s="184">
        <f>C17*8.33%</f>
        <v>54.144999999999996</v>
      </c>
      <c r="H17" s="184">
        <f>C17*5.42%</f>
        <v>35.229999999999997</v>
      </c>
      <c r="I17" s="184">
        <f>C17*6%</f>
        <v>39</v>
      </c>
      <c r="J17" s="185">
        <f t="shared" si="1"/>
        <v>884</v>
      </c>
      <c r="K17" s="238">
        <f>676/12</f>
        <v>56.333333333333336</v>
      </c>
      <c r="L17" s="191">
        <f t="shared" si="2"/>
        <v>0.32007575757575757</v>
      </c>
      <c r="M17" s="192">
        <f t="shared" si="3"/>
        <v>3395.363636363636</v>
      </c>
    </row>
    <row r="18" spans="2:13">
      <c r="B18" s="79" t="s">
        <v>412</v>
      </c>
      <c r="C18" s="183">
        <v>650</v>
      </c>
      <c r="D18" s="183">
        <f>IF(C18&gt;1000,1000*0.075,C18*0.075)</f>
        <v>48.75</v>
      </c>
      <c r="E18" s="184">
        <f>C18*0.0775</f>
        <v>50.375</v>
      </c>
      <c r="F18" s="183">
        <f>IF(C18&gt;1000,1000*0.01,C18*0.01)</f>
        <v>6.5</v>
      </c>
      <c r="G18" s="184">
        <f>C18*8.33%</f>
        <v>54.144999999999996</v>
      </c>
      <c r="H18" s="184">
        <f>C18*5.42%</f>
        <v>35.229999999999997</v>
      </c>
      <c r="I18" s="184">
        <f>C18*6%</f>
        <v>39</v>
      </c>
      <c r="J18" s="185">
        <f t="shared" si="1"/>
        <v>884</v>
      </c>
      <c r="K18" s="238">
        <f>22/12</f>
        <v>1.8333333333333333</v>
      </c>
      <c r="L18" s="191">
        <f t="shared" si="2"/>
        <v>1.0416666666666666E-2</v>
      </c>
      <c r="M18" s="192">
        <f t="shared" si="3"/>
        <v>110.49999999999999</v>
      </c>
    </row>
    <row r="19" spans="2:13">
      <c r="B19" s="188"/>
      <c r="C19" s="183"/>
      <c r="D19" s="183"/>
      <c r="E19" s="184"/>
      <c r="F19" s="183"/>
      <c r="G19" s="184"/>
      <c r="H19" s="184"/>
      <c r="I19" s="189" t="s">
        <v>369</v>
      </c>
      <c r="J19" s="190">
        <f>SUM(J14:J18)</f>
        <v>6851</v>
      </c>
      <c r="K19" s="239">
        <f>SUM(K14:K18)</f>
        <v>66.833333333333329</v>
      </c>
      <c r="L19" s="235">
        <f>K19/K8</f>
        <v>7.5946969696969693E-2</v>
      </c>
      <c r="M19" s="190">
        <f>SUM(M14:M18)</f>
        <v>4650.6590909090901</v>
      </c>
    </row>
    <row r="22" spans="2:13">
      <c r="M22" s="240"/>
    </row>
  </sheetData>
  <pageMargins left="0.7" right="0.7" top="0.75" bottom="0.75" header="0.3" footer="0.3"/>
  <pageSetup paperSize="9" orientation="portrait" r:id="rId1"/>
  <ignoredErrors>
    <ignoredError sqref="L8 L19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CEDD-6386-475C-B5C2-131E2349FA09}">
  <dimension ref="B1:BA90"/>
  <sheetViews>
    <sheetView zoomScale="80" zoomScaleNormal="80" workbookViewId="0">
      <pane xSplit="3" ySplit="2" topLeftCell="U3" activePane="bottomRight" state="frozenSplit"/>
      <selection pane="topRight" activeCell="I1" sqref="I1"/>
      <selection pane="bottomLeft" activeCell="A11" sqref="A11"/>
      <selection pane="bottomRight" activeCell="Y2" sqref="Y2"/>
    </sheetView>
  </sheetViews>
  <sheetFormatPr baseColWidth="10" defaultRowHeight="14.4"/>
  <cols>
    <col min="1" max="1" width="3.33203125" customWidth="1"/>
    <col min="2" max="2" width="9" bestFit="1" customWidth="1"/>
    <col min="3" max="3" width="50.77734375" bestFit="1" customWidth="1"/>
    <col min="5" max="8" width="14.21875" customWidth="1"/>
    <col min="11" max="11" width="13" bestFit="1" customWidth="1"/>
    <col min="12" max="12" width="4.5546875" customWidth="1"/>
    <col min="13" max="13" width="13.109375" customWidth="1"/>
    <col min="14" max="15" width="14.21875" customWidth="1"/>
    <col min="19" max="19" width="5.44140625" customWidth="1"/>
    <col min="20" max="20" width="12.33203125" customWidth="1"/>
    <col min="21" max="21" width="13.21875" customWidth="1"/>
    <col min="22" max="22" width="13.88671875" customWidth="1"/>
    <col min="23" max="23" width="10.77734375" customWidth="1"/>
    <col min="24" max="24" width="16.6640625" bestFit="1" customWidth="1"/>
    <col min="25" max="25" width="14.6640625" customWidth="1"/>
    <col min="26" max="26" width="12.6640625" customWidth="1"/>
    <col min="27" max="27" width="12" bestFit="1" customWidth="1"/>
    <col min="28" max="28" width="13.109375" customWidth="1"/>
    <col min="29" max="29" width="12.6640625" customWidth="1"/>
    <col min="30" max="30" width="13.21875" customWidth="1"/>
    <col min="31" max="31" width="11.88671875" customWidth="1"/>
    <col min="32" max="32" width="16.33203125" bestFit="1" customWidth="1"/>
    <col min="33" max="33" width="14.6640625" customWidth="1"/>
    <col min="34" max="34" width="12.44140625" bestFit="1" customWidth="1"/>
    <col min="35" max="35" width="12" bestFit="1" customWidth="1"/>
    <col min="36" max="36" width="37.88671875" bestFit="1" customWidth="1"/>
    <col min="37" max="37" width="10" customWidth="1"/>
    <col min="39" max="39" width="15.33203125" customWidth="1"/>
    <col min="40" max="40" width="19.21875" bestFit="1" customWidth="1"/>
    <col min="41" max="41" width="14.6640625" bestFit="1" customWidth="1"/>
    <col min="42" max="42" width="14" bestFit="1" customWidth="1"/>
    <col min="43" max="43" width="14.5546875" bestFit="1" customWidth="1"/>
    <col min="44" max="44" width="16.21875" customWidth="1"/>
    <col min="45" max="46" width="16" bestFit="1" customWidth="1"/>
    <col min="47" max="47" width="18" bestFit="1" customWidth="1"/>
    <col min="48" max="48" width="13.44140625" customWidth="1"/>
  </cols>
  <sheetData>
    <row r="1" spans="2:48" ht="15" thickBot="1">
      <c r="T1" t="s">
        <v>243</v>
      </c>
      <c r="Z1" s="236"/>
    </row>
    <row r="2" spans="2:48" ht="67.2" customHeight="1" thickBot="1">
      <c r="B2" s="76" t="s">
        <v>56</v>
      </c>
      <c r="C2" s="95" t="s">
        <v>55</v>
      </c>
      <c r="D2" s="101" t="s">
        <v>349</v>
      </c>
      <c r="E2" s="101" t="s">
        <v>350</v>
      </c>
      <c r="F2" s="102" t="s">
        <v>419</v>
      </c>
      <c r="G2" s="102" t="s">
        <v>421</v>
      </c>
      <c r="H2" s="76" t="s">
        <v>418</v>
      </c>
      <c r="I2" s="76" t="s">
        <v>348</v>
      </c>
      <c r="J2" s="76" t="s">
        <v>533</v>
      </c>
      <c r="K2" s="76" t="s">
        <v>370</v>
      </c>
      <c r="L2" s="76"/>
      <c r="M2" s="78" t="s">
        <v>514</v>
      </c>
      <c r="N2" s="78" t="s">
        <v>513</v>
      </c>
      <c r="O2" s="76" t="s">
        <v>512</v>
      </c>
      <c r="P2" s="76" t="s">
        <v>510</v>
      </c>
      <c r="Q2" s="76" t="s">
        <v>534</v>
      </c>
      <c r="R2" s="76" t="s">
        <v>511</v>
      </c>
      <c r="S2" s="76"/>
      <c r="T2" s="142" t="s">
        <v>353</v>
      </c>
      <c r="U2" s="142" t="s">
        <v>352</v>
      </c>
      <c r="V2" s="142" t="s">
        <v>374</v>
      </c>
      <c r="W2" s="142" t="s">
        <v>451</v>
      </c>
      <c r="X2" s="142" t="s">
        <v>509</v>
      </c>
      <c r="Y2" s="142" t="s">
        <v>535</v>
      </c>
      <c r="Z2" s="247" t="s">
        <v>508</v>
      </c>
      <c r="AB2" s="142" t="s">
        <v>353</v>
      </c>
      <c r="AC2" s="142" t="s">
        <v>352</v>
      </c>
      <c r="AD2" s="142" t="s">
        <v>374</v>
      </c>
      <c r="AE2" s="142" t="s">
        <v>451</v>
      </c>
      <c r="AF2" s="142" t="s">
        <v>509</v>
      </c>
      <c r="AG2" s="142" t="s">
        <v>536</v>
      </c>
      <c r="AH2" s="247" t="s">
        <v>508</v>
      </c>
      <c r="AI2" s="223"/>
    </row>
    <row r="3" spans="2:48" ht="15" customHeight="1">
      <c r="B3" s="79">
        <v>1</v>
      </c>
      <c r="C3" s="96" t="s">
        <v>28</v>
      </c>
      <c r="D3" s="80">
        <f>412*12</f>
        <v>4944</v>
      </c>
      <c r="E3" s="80">
        <v>48</v>
      </c>
      <c r="F3" s="103">
        <f>1/30</f>
        <v>3.3333333333333333E-2</v>
      </c>
      <c r="G3" s="103">
        <f t="shared" ref="G3:G33" si="0">F3/(206*24)</f>
        <v>6.7421790722761597E-6</v>
      </c>
      <c r="H3" s="80">
        <f>1/G3</f>
        <v>148320</v>
      </c>
      <c r="I3" s="93">
        <f>EXP(-(D3*G3))</f>
        <v>0.9672161004820059</v>
      </c>
      <c r="J3" s="104">
        <f>EXP(-(D3*G3))*G3</f>
        <v>6.5211441510383357E-6</v>
      </c>
      <c r="K3" s="104">
        <f>H3/(H3+E3)</f>
        <v>0.99967648010352639</v>
      </c>
      <c r="L3" s="93"/>
      <c r="M3" s="93">
        <f>(D3-E3)/(O3)</f>
        <v>3.109642470889077E-2</v>
      </c>
      <c r="N3" s="104">
        <f>M3/(206*24)</f>
        <v>6.2897299168468388E-6</v>
      </c>
      <c r="O3" s="80">
        <f>'MTTF OREDA'!K3</f>
        <v>157445.75287461217</v>
      </c>
      <c r="P3" s="93">
        <f>EXP(-(D3*N3))</f>
        <v>0.96938209618292892</v>
      </c>
      <c r="Q3" s="104">
        <f>EXP(-(D3*N3))*N3</f>
        <v>6.0971515712174677E-6</v>
      </c>
      <c r="R3" s="104">
        <f t="shared" ref="R3:R33" si="1">O3/(O3+E3)</f>
        <v>0.99969522600659455</v>
      </c>
      <c r="S3" s="93"/>
      <c r="T3" s="143">
        <f>F3</f>
        <v>3.3333333333333333E-2</v>
      </c>
      <c r="U3" s="144">
        <v>3125</v>
      </c>
      <c r="V3" s="145">
        <f>T3*U3</f>
        <v>104.16666666666667</v>
      </c>
      <c r="W3" s="145">
        <f>V3*0.15</f>
        <v>15.625</v>
      </c>
      <c r="X3" s="145">
        <f t="shared" ref="X3:X33" si="2">$AJ$6*E3*T3</f>
        <v>1089.5999999999999</v>
      </c>
      <c r="Y3" s="145">
        <f t="shared" ref="Y3:Y33" si="3">(T3*E3*$AJ$4*5)+(V3+W3+X3)</f>
        <v>1271.6734848484848</v>
      </c>
      <c r="Z3" s="241">
        <f>V3+W3+X3</f>
        <v>1209.3916666666667</v>
      </c>
      <c r="AA3" s="310">
        <f>(T3*F3*$AJ$4*5)+(V3+W3)</f>
        <v>119.83491792929293</v>
      </c>
      <c r="AB3" s="143">
        <f t="shared" ref="AB3:AB33" si="4">M3</f>
        <v>3.109642470889077E-2</v>
      </c>
      <c r="AC3" s="144">
        <v>3125</v>
      </c>
      <c r="AD3" s="145">
        <f>AB3*AC3</f>
        <v>97.176327215283649</v>
      </c>
      <c r="AE3" s="145">
        <f>AD3*0.15</f>
        <v>14.576449082292546</v>
      </c>
      <c r="AF3" s="145">
        <f t="shared" ref="AF3:AF33" si="5">$AJ$6*E3*AB3</f>
        <v>1016.4799308842215</v>
      </c>
      <c r="AG3" s="145">
        <f t="shared" ref="AG3:AG33" si="6">(AB3*M3*$AJ$4*5)+(AD3+AE3+AF3)</f>
        <v>1128.2703482741324</v>
      </c>
      <c r="AH3" s="241">
        <f>AD3+AE3+AF3</f>
        <v>1128.2327071817977</v>
      </c>
      <c r="AI3" s="310">
        <f>(AB3*M3*$AJ$4*5)+(AD3+AE3)</f>
        <v>111.7904173899109</v>
      </c>
      <c r="AJ3" s="94" t="s">
        <v>391</v>
      </c>
      <c r="AK3" s="288"/>
      <c r="AL3" s="335" t="s">
        <v>354</v>
      </c>
      <c r="AM3" s="335" t="s">
        <v>531</v>
      </c>
      <c r="AN3" s="335" t="s">
        <v>532</v>
      </c>
      <c r="AO3" s="335" t="s">
        <v>537</v>
      </c>
      <c r="AP3" s="290"/>
    </row>
    <row r="4" spans="2:48" ht="15" customHeight="1">
      <c r="B4" s="79">
        <v>2</v>
      </c>
      <c r="C4" s="96" t="s">
        <v>20</v>
      </c>
      <c r="D4" s="80">
        <f t="shared" ref="D4:D33" si="7">412*12</f>
        <v>4944</v>
      </c>
      <c r="E4" s="80">
        <v>8</v>
      </c>
      <c r="F4" s="103">
        <f>1/5</f>
        <v>0.2</v>
      </c>
      <c r="G4" s="103">
        <f t="shared" si="0"/>
        <v>4.0453074433656958E-5</v>
      </c>
      <c r="H4" s="80">
        <f t="shared" ref="H4:H33" si="8">1/G4</f>
        <v>24720</v>
      </c>
      <c r="I4" s="93">
        <f t="shared" ref="I4:I33" si="9">EXP(-(D4*G4))</f>
        <v>0.81873075307798182</v>
      </c>
      <c r="J4" s="104">
        <f t="shared" ref="J4:J33" si="10">EXP(-(D4*G4))*G4</f>
        <v>3.3120176095387615E-5</v>
      </c>
      <c r="K4" s="104">
        <f t="shared" ref="K4:K33" si="11">H4/(H4+E4)</f>
        <v>0.99967648010352639</v>
      </c>
      <c r="L4" s="93"/>
      <c r="M4" s="93">
        <f t="shared" ref="M4:M33" si="12">(D4-E4)/(O4)</f>
        <v>0.14583809136367343</v>
      </c>
      <c r="N4" s="104">
        <f t="shared" ref="N4:N33" si="13">M4/(206*24)</f>
        <v>2.9497995825985724E-5</v>
      </c>
      <c r="O4" s="80">
        <f>'MTTF OREDA'!K4</f>
        <v>33845.752874612153</v>
      </c>
      <c r="P4" s="93">
        <f t="shared" ref="P4:P33" si="14">EXP(-(D4*N4))</f>
        <v>0.86429762910723851</v>
      </c>
      <c r="Q4" s="104">
        <f t="shared" ref="Q4:Q33" si="15">EXP(-(D4*N4))*N4</f>
        <v>2.5495047855814681E-5</v>
      </c>
      <c r="R4" s="104">
        <f t="shared" si="1"/>
        <v>0.99976368941931992</v>
      </c>
      <c r="S4" s="93"/>
      <c r="T4" s="143">
        <f t="shared" ref="T4:T33" si="16">F4</f>
        <v>0.2</v>
      </c>
      <c r="U4" s="144">
        <v>562.5</v>
      </c>
      <c r="V4" s="145">
        <f t="shared" ref="V4:V33" si="17">T4*U4</f>
        <v>112.5</v>
      </c>
      <c r="W4" s="145">
        <f t="shared" ref="W4:W33" si="18">V4*0.15</f>
        <v>16.875</v>
      </c>
      <c r="X4" s="145">
        <f t="shared" si="2"/>
        <v>1089.6000000000001</v>
      </c>
      <c r="Y4" s="145">
        <f t="shared" si="3"/>
        <v>1281.2568181818183</v>
      </c>
      <c r="Z4" s="241">
        <f t="shared" ref="Z4:Z33" si="19">V4+W4+X4</f>
        <v>1218.9750000000001</v>
      </c>
      <c r="AA4" s="310">
        <f t="shared" ref="AA4:AA33" si="20">(T4*F4*$AJ$4*5)+(V4+W4)</f>
        <v>130.93204545454546</v>
      </c>
      <c r="AB4" s="143">
        <f t="shared" si="4"/>
        <v>0.14583809136367343</v>
      </c>
      <c r="AC4" s="144">
        <v>562.5</v>
      </c>
      <c r="AD4" s="145">
        <f t="shared" ref="AD4:AD33" si="21">AB4*AC4</f>
        <v>82.033926392066306</v>
      </c>
      <c r="AE4" s="145">
        <f t="shared" ref="AE4:AE33" si="22">AD4*0.15</f>
        <v>12.305088958809945</v>
      </c>
      <c r="AF4" s="145">
        <f t="shared" si="5"/>
        <v>794.52592174929282</v>
      </c>
      <c r="AG4" s="145">
        <f t="shared" si="6"/>
        <v>889.69284731984635</v>
      </c>
      <c r="AH4" s="241">
        <f t="shared" ref="AH4:AH33" si="23">AD4+AE4+AF4</f>
        <v>888.86493710016907</v>
      </c>
      <c r="AI4" s="310">
        <f t="shared" ref="AI4:AI33" si="24">(AB4*M4*$AJ$4*5)+(AD4+AE4)</f>
        <v>95.166925570553502</v>
      </c>
      <c r="AJ4" s="159">
        <f>MO!L8</f>
        <v>7.7852272727272736</v>
      </c>
      <c r="AK4" s="174"/>
      <c r="AL4" s="290">
        <v>2024</v>
      </c>
      <c r="AM4" s="147">
        <f>Y34</f>
        <v>94503.592316017326</v>
      </c>
      <c r="AN4" s="147">
        <f>AM4+AN12+AN13+AN14</f>
        <v>104103.59231601733</v>
      </c>
      <c r="AO4" s="337">
        <f>AN4-AM4</f>
        <v>9600</v>
      </c>
      <c r="AP4" s="338">
        <f>(AM4-AN4)/AN4</f>
        <v>-9.2215837959349164E-2</v>
      </c>
    </row>
    <row r="5" spans="2:48" ht="15" customHeight="1">
      <c r="B5" s="79">
        <v>3</v>
      </c>
      <c r="C5" s="96" t="s">
        <v>64</v>
      </c>
      <c r="D5" s="80">
        <f t="shared" si="7"/>
        <v>4944</v>
      </c>
      <c r="E5" s="80">
        <v>12</v>
      </c>
      <c r="F5" s="103">
        <f>1/7</f>
        <v>0.14285714285714285</v>
      </c>
      <c r="G5" s="103">
        <f t="shared" si="0"/>
        <v>2.8895053166897826E-5</v>
      </c>
      <c r="H5" s="80">
        <f t="shared" si="8"/>
        <v>34608</v>
      </c>
      <c r="I5" s="93">
        <f t="shared" si="9"/>
        <v>0.86687789975018159</v>
      </c>
      <c r="J5" s="104">
        <f t="shared" si="10"/>
        <v>2.5048483002490222E-5</v>
      </c>
      <c r="K5" s="104">
        <f t="shared" si="11"/>
        <v>0.99965337954939337</v>
      </c>
      <c r="L5" s="93"/>
      <c r="M5" s="93">
        <f t="shared" si="12"/>
        <v>0.13099630254548095</v>
      </c>
      <c r="N5" s="104">
        <f t="shared" si="13"/>
        <v>2.6496015887030937E-5</v>
      </c>
      <c r="O5" s="80">
        <f>'MTTF OREDA'!K5</f>
        <v>37649.917624870715</v>
      </c>
      <c r="P5" s="93">
        <f t="shared" si="14"/>
        <v>0.87722101786986395</v>
      </c>
      <c r="Q5" s="104">
        <f t="shared" si="15"/>
        <v>2.3242862025917365E-5</v>
      </c>
      <c r="R5" s="104">
        <f t="shared" si="1"/>
        <v>0.99968137575681815</v>
      </c>
      <c r="S5" s="93"/>
      <c r="T5" s="143">
        <f t="shared" si="16"/>
        <v>0.14285714285714285</v>
      </c>
      <c r="U5" s="144">
        <v>312.5</v>
      </c>
      <c r="V5" s="145">
        <f t="shared" si="17"/>
        <v>44.642857142857139</v>
      </c>
      <c r="W5" s="145">
        <f t="shared" si="18"/>
        <v>6.6964285714285703</v>
      </c>
      <c r="X5" s="145">
        <f t="shared" si="2"/>
        <v>1167.4285714285713</v>
      </c>
      <c r="Y5" s="145">
        <f t="shared" si="3"/>
        <v>1285.4983766233765</v>
      </c>
      <c r="Z5" s="241">
        <f t="shared" si="19"/>
        <v>1218.7678571428571</v>
      </c>
      <c r="AA5" s="310">
        <f t="shared" si="20"/>
        <v>52.133696660482371</v>
      </c>
      <c r="AB5" s="143">
        <f t="shared" si="4"/>
        <v>0.13099630254548095</v>
      </c>
      <c r="AC5" s="144">
        <v>312.5</v>
      </c>
      <c r="AD5" s="145">
        <f t="shared" si="21"/>
        <v>40.936344545462795</v>
      </c>
      <c r="AE5" s="145">
        <f t="shared" si="22"/>
        <v>6.1404516818194192</v>
      </c>
      <c r="AF5" s="145">
        <f t="shared" si="5"/>
        <v>1070.5017844016702</v>
      </c>
      <c r="AG5" s="145">
        <f t="shared" si="6"/>
        <v>1118.2465543465846</v>
      </c>
      <c r="AH5" s="241">
        <f t="shared" si="23"/>
        <v>1117.5785806289523</v>
      </c>
      <c r="AI5" s="310">
        <f t="shared" si="24"/>
        <v>47.744769944914616</v>
      </c>
      <c r="AJ5" s="94" t="s">
        <v>392</v>
      </c>
      <c r="AK5" s="288"/>
      <c r="AL5" s="290">
        <v>2025</v>
      </c>
      <c r="AM5" s="147">
        <f>AM4*1.03</f>
        <v>97338.700085497854</v>
      </c>
      <c r="AN5" s="147">
        <f>AG34*1.03+AN14</f>
        <v>74459.055149748965</v>
      </c>
      <c r="AO5" s="337">
        <f t="shared" ref="AO5:AO6" si="25">AN5-AM5</f>
        <v>-22879.644935748889</v>
      </c>
      <c r="AP5" s="338">
        <f t="shared" ref="AP5:AP8" si="26">(AM5-AN5)/AN5</f>
        <v>0.30727820665645428</v>
      </c>
    </row>
    <row r="6" spans="2:48" ht="15" customHeight="1">
      <c r="B6" s="79">
        <v>4</v>
      </c>
      <c r="C6" s="96" t="s">
        <v>51</v>
      </c>
      <c r="D6" s="80">
        <f t="shared" si="7"/>
        <v>4944</v>
      </c>
      <c r="E6" s="80">
        <f>24*5</f>
        <v>120</v>
      </c>
      <c r="F6" s="103">
        <f>1/30</f>
        <v>3.3333333333333333E-2</v>
      </c>
      <c r="G6" s="103">
        <f t="shared" si="0"/>
        <v>6.7421790722761597E-6</v>
      </c>
      <c r="H6" s="80">
        <f t="shared" si="8"/>
        <v>148320</v>
      </c>
      <c r="I6" s="93">
        <f t="shared" si="9"/>
        <v>0.9672161004820059</v>
      </c>
      <c r="J6" s="104">
        <f t="shared" si="10"/>
        <v>6.5211441510383357E-6</v>
      </c>
      <c r="K6" s="104">
        <f t="shared" si="11"/>
        <v>0.99919159256265155</v>
      </c>
      <c r="L6" s="93"/>
      <c r="M6" s="93">
        <f t="shared" si="12"/>
        <v>3.2476694211149744E-2</v>
      </c>
      <c r="N6" s="104">
        <f t="shared" si="13"/>
        <v>6.5689106414137831E-6</v>
      </c>
      <c r="O6" s="80">
        <f>'MTTF OREDA'!K6</f>
        <v>148537.28549575858</v>
      </c>
      <c r="P6" s="93">
        <f t="shared" si="14"/>
        <v>0.96804501062102155</v>
      </c>
      <c r="Q6" s="104">
        <f t="shared" si="15"/>
        <v>6.359001171635947E-6</v>
      </c>
      <c r="R6" s="104">
        <f t="shared" si="1"/>
        <v>0.99919277417450603</v>
      </c>
      <c r="S6" s="93"/>
      <c r="T6" s="143">
        <f t="shared" si="16"/>
        <v>3.3333333333333333E-2</v>
      </c>
      <c r="U6" s="144">
        <v>2500</v>
      </c>
      <c r="V6" s="145">
        <f t="shared" si="17"/>
        <v>83.333333333333329</v>
      </c>
      <c r="W6" s="145">
        <f t="shared" si="18"/>
        <v>12.499999999999998</v>
      </c>
      <c r="X6" s="145">
        <f t="shared" si="2"/>
        <v>2724</v>
      </c>
      <c r="Y6" s="145">
        <f t="shared" si="3"/>
        <v>2975.537878787879</v>
      </c>
      <c r="Z6" s="241">
        <f t="shared" si="19"/>
        <v>2819.8333333333335</v>
      </c>
      <c r="AA6" s="310">
        <f t="shared" si="20"/>
        <v>95.876584595959585</v>
      </c>
      <c r="AB6" s="143">
        <f t="shared" si="4"/>
        <v>3.2476694211149744E-2</v>
      </c>
      <c r="AC6" s="144">
        <v>2500</v>
      </c>
      <c r="AD6" s="145">
        <f t="shared" si="21"/>
        <v>81.191735527874357</v>
      </c>
      <c r="AE6" s="145">
        <f t="shared" si="22"/>
        <v>12.178760329181154</v>
      </c>
      <c r="AF6" s="145">
        <f t="shared" si="5"/>
        <v>2653.9954509351569</v>
      </c>
      <c r="AG6" s="145">
        <f t="shared" si="6"/>
        <v>2747.4070035766094</v>
      </c>
      <c r="AH6" s="241">
        <f t="shared" si="23"/>
        <v>2747.3659467922125</v>
      </c>
      <c r="AI6" s="310">
        <f t="shared" si="24"/>
        <v>93.411552641452261</v>
      </c>
      <c r="AJ6" s="160">
        <v>681</v>
      </c>
      <c r="AK6" s="173"/>
      <c r="AL6" s="290">
        <v>2026</v>
      </c>
      <c r="AM6" s="147">
        <f>AM5*1.03</f>
        <v>100258.8610880628</v>
      </c>
      <c r="AN6" s="147">
        <f>(AG34)*1.03+AN14</f>
        <v>74459.055149748965</v>
      </c>
      <c r="AO6" s="337">
        <f t="shared" si="25"/>
        <v>-25799.805938313832</v>
      </c>
      <c r="AP6" s="338">
        <f t="shared" si="26"/>
        <v>0.346496552856148</v>
      </c>
    </row>
    <row r="7" spans="2:48" ht="15" customHeight="1">
      <c r="B7" s="79">
        <v>5</v>
      </c>
      <c r="C7" s="96" t="s">
        <v>70</v>
      </c>
      <c r="D7" s="80">
        <f t="shared" si="7"/>
        <v>4944</v>
      </c>
      <c r="E7" s="80">
        <v>8</v>
      </c>
      <c r="F7" s="103">
        <f>1/4</f>
        <v>0.25</v>
      </c>
      <c r="G7" s="103">
        <f t="shared" si="0"/>
        <v>5.05663430420712E-5</v>
      </c>
      <c r="H7" s="80">
        <f t="shared" si="8"/>
        <v>19776</v>
      </c>
      <c r="I7" s="93">
        <f t="shared" si="9"/>
        <v>0.77880078307140488</v>
      </c>
      <c r="J7" s="104">
        <f t="shared" si="10"/>
        <v>3.9381107558222333E-5</v>
      </c>
      <c r="K7" s="104">
        <f t="shared" si="11"/>
        <v>0.99959563283461383</v>
      </c>
      <c r="L7" s="93"/>
      <c r="M7" s="93">
        <f t="shared" si="12"/>
        <v>0.1707854890813863</v>
      </c>
      <c r="N7" s="104">
        <f t="shared" si="13"/>
        <v>3.4543990509989138E-5</v>
      </c>
      <c r="O7" s="80">
        <f>'MTTF OREDA'!K7</f>
        <v>28901.752874612157</v>
      </c>
      <c r="P7" s="93">
        <f t="shared" si="14"/>
        <v>0.843002387294149</v>
      </c>
      <c r="Q7" s="104">
        <f t="shared" si="15"/>
        <v>2.912066646658727E-5</v>
      </c>
      <c r="R7" s="104">
        <f t="shared" si="1"/>
        <v>0.99972327677670936</v>
      </c>
      <c r="S7" s="93"/>
      <c r="T7" s="143">
        <f t="shared" si="16"/>
        <v>0.25</v>
      </c>
      <c r="U7" s="144">
        <v>187.5</v>
      </c>
      <c r="V7" s="145">
        <f t="shared" si="17"/>
        <v>46.875</v>
      </c>
      <c r="W7" s="145">
        <f t="shared" si="18"/>
        <v>7.03125</v>
      </c>
      <c r="X7" s="145">
        <f t="shared" si="2"/>
        <v>1362</v>
      </c>
      <c r="Y7" s="145">
        <f t="shared" si="3"/>
        <v>1493.7585227272727</v>
      </c>
      <c r="Z7" s="241">
        <f t="shared" si="19"/>
        <v>1415.90625</v>
      </c>
      <c r="AA7" s="310">
        <f t="shared" si="20"/>
        <v>56.339133522727273</v>
      </c>
      <c r="AB7" s="143">
        <f t="shared" si="4"/>
        <v>0.1707854890813863</v>
      </c>
      <c r="AC7" s="144">
        <v>187.5</v>
      </c>
      <c r="AD7" s="145">
        <f t="shared" si="21"/>
        <v>32.022279202759933</v>
      </c>
      <c r="AE7" s="145">
        <f t="shared" si="22"/>
        <v>4.8033418804139894</v>
      </c>
      <c r="AF7" s="145">
        <f t="shared" si="5"/>
        <v>930.43934451539258</v>
      </c>
      <c r="AG7" s="145">
        <f t="shared" si="6"/>
        <v>968.40035081536507</v>
      </c>
      <c r="AH7" s="241">
        <f t="shared" si="23"/>
        <v>967.2649655985665</v>
      </c>
      <c r="AI7" s="310">
        <f t="shared" si="24"/>
        <v>37.961006299972468</v>
      </c>
      <c r="AL7" s="290">
        <v>2027</v>
      </c>
      <c r="AM7" s="147">
        <f>AM6*1.03</f>
        <v>103266.62692070469</v>
      </c>
      <c r="AN7" s="147">
        <f>AG34*1.03+AN14</f>
        <v>74459.055149748965</v>
      </c>
      <c r="AO7" s="337">
        <f t="shared" ref="AO7:AO8" si="27">AN7-AM7</f>
        <v>-28807.571770955721</v>
      </c>
      <c r="AP7" s="338">
        <f t="shared" si="26"/>
        <v>0.38689144944183251</v>
      </c>
    </row>
    <row r="8" spans="2:48" ht="15" customHeight="1">
      <c r="B8" s="79">
        <v>6</v>
      </c>
      <c r="C8" s="96" t="s">
        <v>73</v>
      </c>
      <c r="D8" s="80">
        <f t="shared" si="7"/>
        <v>4944</v>
      </c>
      <c r="E8" s="80">
        <v>8</v>
      </c>
      <c r="F8" s="103">
        <v>2</v>
      </c>
      <c r="G8" s="103">
        <f t="shared" si="0"/>
        <v>4.045307443365696E-4</v>
      </c>
      <c r="H8" s="80">
        <f t="shared" si="8"/>
        <v>2472</v>
      </c>
      <c r="I8" s="93">
        <f t="shared" si="9"/>
        <v>0.1353352832366127</v>
      </c>
      <c r="J8" s="104">
        <f t="shared" si="10"/>
        <v>5.4747282862707408E-5</v>
      </c>
      <c r="K8" s="104">
        <f t="shared" si="11"/>
        <v>0.99677419354838714</v>
      </c>
      <c r="L8" s="93"/>
      <c r="M8" s="93">
        <f t="shared" si="12"/>
        <v>0.4255996875743972</v>
      </c>
      <c r="N8" s="104">
        <f t="shared" si="13"/>
        <v>8.6084079201941187E-5</v>
      </c>
      <c r="O8" s="80">
        <f>'MTTF OREDA'!K8</f>
        <v>11597.752874612155</v>
      </c>
      <c r="P8" s="93">
        <f t="shared" si="14"/>
        <v>0.65337784504573371</v>
      </c>
      <c r="Q8" s="104">
        <f t="shared" si="15"/>
        <v>5.6245430161710594E-5</v>
      </c>
      <c r="R8" s="104">
        <f t="shared" si="1"/>
        <v>0.9993106866838859</v>
      </c>
      <c r="S8" s="93"/>
      <c r="T8" s="143">
        <f t="shared" si="16"/>
        <v>2</v>
      </c>
      <c r="U8" s="144">
        <v>56.25</v>
      </c>
      <c r="V8" s="145">
        <f t="shared" si="17"/>
        <v>112.5</v>
      </c>
      <c r="W8" s="145">
        <f t="shared" si="18"/>
        <v>16.875</v>
      </c>
      <c r="X8" s="145">
        <f t="shared" si="2"/>
        <v>10896</v>
      </c>
      <c r="Y8" s="145">
        <f t="shared" si="3"/>
        <v>11648.193181818182</v>
      </c>
      <c r="Z8" s="241">
        <f t="shared" si="19"/>
        <v>11025.375</v>
      </c>
      <c r="AA8" s="310">
        <f t="shared" si="20"/>
        <v>285.0795454545455</v>
      </c>
      <c r="AB8" s="143">
        <f t="shared" si="4"/>
        <v>0.4255996875743972</v>
      </c>
      <c r="AC8" s="144">
        <v>56.25</v>
      </c>
      <c r="AD8" s="145">
        <f t="shared" si="21"/>
        <v>23.939982426059842</v>
      </c>
      <c r="AE8" s="145">
        <f t="shared" si="22"/>
        <v>3.5909973639089761</v>
      </c>
      <c r="AF8" s="145">
        <f t="shared" si="5"/>
        <v>2318.667097905316</v>
      </c>
      <c r="AG8" s="145">
        <f t="shared" si="6"/>
        <v>2353.2489670670379</v>
      </c>
      <c r="AH8" s="241">
        <f t="shared" si="23"/>
        <v>2346.1980776952851</v>
      </c>
      <c r="AI8" s="310">
        <f t="shared" si="24"/>
        <v>34.581869161721784</v>
      </c>
      <c r="AL8" s="290">
        <v>2028</v>
      </c>
      <c r="AM8" s="147">
        <f>AM7*1.03</f>
        <v>106364.62572832583</v>
      </c>
      <c r="AN8" s="147">
        <f>AG34*1.03+AN14</f>
        <v>74459.055149748965</v>
      </c>
      <c r="AO8" s="337">
        <f t="shared" si="27"/>
        <v>-31905.570578576866</v>
      </c>
      <c r="AP8" s="338">
        <f t="shared" si="26"/>
        <v>0.42849819292508756</v>
      </c>
    </row>
    <row r="9" spans="2:48" ht="15" customHeight="1">
      <c r="B9" s="79">
        <v>7</v>
      </c>
      <c r="C9" s="96" t="s">
        <v>25</v>
      </c>
      <c r="D9" s="80">
        <f t="shared" si="7"/>
        <v>4944</v>
      </c>
      <c r="E9" s="80">
        <v>48</v>
      </c>
      <c r="F9" s="103">
        <f>1/30</f>
        <v>3.3333333333333333E-2</v>
      </c>
      <c r="G9" s="103">
        <f t="shared" si="0"/>
        <v>6.7421790722761597E-6</v>
      </c>
      <c r="H9" s="80">
        <f t="shared" si="8"/>
        <v>148320</v>
      </c>
      <c r="I9" s="93">
        <f t="shared" si="9"/>
        <v>0.9672161004820059</v>
      </c>
      <c r="J9" s="104">
        <f t="shared" si="10"/>
        <v>6.5211441510383357E-6</v>
      </c>
      <c r="K9" s="104">
        <f t="shared" si="11"/>
        <v>0.99967648010352639</v>
      </c>
      <c r="L9" s="93"/>
      <c r="M9" s="93">
        <f t="shared" si="12"/>
        <v>3.2700172308194948E-2</v>
      </c>
      <c r="N9" s="104">
        <f t="shared" si="13"/>
        <v>6.6141125218840914E-6</v>
      </c>
      <c r="O9" s="80">
        <f>'MTTF OREDA'!K9</f>
        <v>149723.98169207873</v>
      </c>
      <c r="P9" s="93">
        <f t="shared" si="14"/>
        <v>0.96782869793566784</v>
      </c>
      <c r="Q9" s="104">
        <f t="shared" si="15"/>
        <v>6.4013279100550765E-6</v>
      </c>
      <c r="R9" s="104">
        <f t="shared" si="1"/>
        <v>0.9996795128203706</v>
      </c>
      <c r="S9" s="93"/>
      <c r="T9" s="143">
        <f t="shared" si="16"/>
        <v>3.3333333333333333E-2</v>
      </c>
      <c r="U9" s="144">
        <v>250</v>
      </c>
      <c r="V9" s="145">
        <f t="shared" si="17"/>
        <v>8.3333333333333339</v>
      </c>
      <c r="W9" s="145">
        <f t="shared" si="18"/>
        <v>1.25</v>
      </c>
      <c r="X9" s="145">
        <f t="shared" si="2"/>
        <v>1089.5999999999999</v>
      </c>
      <c r="Y9" s="145">
        <f t="shared" si="3"/>
        <v>1161.4651515151513</v>
      </c>
      <c r="Z9" s="241">
        <f t="shared" si="19"/>
        <v>1099.1833333333332</v>
      </c>
      <c r="AA9" s="310">
        <f t="shared" si="20"/>
        <v>9.6265845959595957</v>
      </c>
      <c r="AB9" s="143">
        <f t="shared" si="4"/>
        <v>3.2700172308194948E-2</v>
      </c>
      <c r="AC9" s="144">
        <v>250</v>
      </c>
      <c r="AD9" s="145">
        <f t="shared" si="21"/>
        <v>8.1750430770487377</v>
      </c>
      <c r="AE9" s="145">
        <f t="shared" si="22"/>
        <v>1.2262564615573106</v>
      </c>
      <c r="AF9" s="145">
        <f t="shared" si="5"/>
        <v>1068.9032324102764</v>
      </c>
      <c r="AG9" s="145">
        <f t="shared" si="6"/>
        <v>1078.3461557158928</v>
      </c>
      <c r="AH9" s="241">
        <f t="shared" si="23"/>
        <v>1078.3045319488824</v>
      </c>
      <c r="AI9" s="310">
        <f t="shared" si="24"/>
        <v>9.442923305616393</v>
      </c>
      <c r="AL9" s="339" t="s">
        <v>369</v>
      </c>
      <c r="AM9" s="336">
        <f>SUM(AM4:AM8)</f>
        <v>501732.40613860846</v>
      </c>
      <c r="AN9" s="336">
        <f t="shared" ref="AN9" si="28">SUM(AN4:AN8)</f>
        <v>401939.81291501323</v>
      </c>
      <c r="AO9" s="336">
        <f>SUM(AO4:AO8)</f>
        <v>-99792.593223595308</v>
      </c>
      <c r="AP9" s="291">
        <f>AVERAGE(AP4:AP8)</f>
        <v>0.27538971278403462</v>
      </c>
    </row>
    <row r="10" spans="2:48" ht="15" customHeight="1">
      <c r="B10" s="79">
        <v>8</v>
      </c>
      <c r="C10" s="96" t="s">
        <v>31</v>
      </c>
      <c r="D10" s="80">
        <f t="shared" si="7"/>
        <v>4944</v>
      </c>
      <c r="E10" s="80">
        <v>8</v>
      </c>
      <c r="F10" s="103">
        <f>1/10</f>
        <v>0.1</v>
      </c>
      <c r="G10" s="103">
        <f t="shared" si="0"/>
        <v>2.0226537216828479E-5</v>
      </c>
      <c r="H10" s="80">
        <f t="shared" si="8"/>
        <v>49440</v>
      </c>
      <c r="I10" s="93">
        <f t="shared" si="9"/>
        <v>0.90483741803595952</v>
      </c>
      <c r="J10" s="104">
        <f t="shared" si="10"/>
        <v>1.8301727711083324E-5</v>
      </c>
      <c r="K10" s="104">
        <f t="shared" si="11"/>
        <v>0.99983821388124894</v>
      </c>
      <c r="L10" s="93"/>
      <c r="M10" s="93">
        <f t="shared" si="12"/>
        <v>9.7081303149965673E-2</v>
      </c>
      <c r="N10" s="104">
        <f t="shared" si="13"/>
        <v>1.9636185912209885E-5</v>
      </c>
      <c r="O10" s="80">
        <f>'MTTF OREDA'!K10</f>
        <v>50843.981692078734</v>
      </c>
      <c r="P10" s="93">
        <f t="shared" si="14"/>
        <v>0.90748222197068684</v>
      </c>
      <c r="Q10" s="104">
        <f t="shared" si="15"/>
        <v>1.7819489622641727E-5</v>
      </c>
      <c r="R10" s="104">
        <f t="shared" si="1"/>
        <v>0.9998426806638836</v>
      </c>
      <c r="S10" s="93"/>
      <c r="T10" s="143">
        <f t="shared" si="16"/>
        <v>0.1</v>
      </c>
      <c r="U10" s="144">
        <v>1000</v>
      </c>
      <c r="V10" s="145">
        <f t="shared" si="17"/>
        <v>100</v>
      </c>
      <c r="W10" s="145">
        <f t="shared" si="18"/>
        <v>15</v>
      </c>
      <c r="X10" s="145">
        <f t="shared" si="2"/>
        <v>544.80000000000007</v>
      </c>
      <c r="Y10" s="145">
        <f t="shared" si="3"/>
        <v>690.94090909090914</v>
      </c>
      <c r="Z10" s="241">
        <f t="shared" si="19"/>
        <v>659.80000000000007</v>
      </c>
      <c r="AA10" s="310">
        <f t="shared" si="20"/>
        <v>115.38926136363636</v>
      </c>
      <c r="AB10" s="143">
        <f t="shared" si="4"/>
        <v>9.7081303149965673E-2</v>
      </c>
      <c r="AC10" s="144">
        <v>1000</v>
      </c>
      <c r="AD10" s="145">
        <f t="shared" si="21"/>
        <v>97.081303149965677</v>
      </c>
      <c r="AE10" s="145">
        <f t="shared" si="22"/>
        <v>14.562195472494851</v>
      </c>
      <c r="AF10" s="145">
        <f t="shared" si="5"/>
        <v>528.89893956101298</v>
      </c>
      <c r="AG10" s="145">
        <f t="shared" si="6"/>
        <v>640.90930843242404</v>
      </c>
      <c r="AH10" s="241">
        <f t="shared" si="23"/>
        <v>640.54243818347345</v>
      </c>
      <c r="AI10" s="310">
        <f t="shared" si="24"/>
        <v>112.01036887141107</v>
      </c>
      <c r="AM10" s="289"/>
      <c r="AN10" s="289"/>
      <c r="AO10" s="66"/>
    </row>
    <row r="11" spans="2:48" ht="15" customHeight="1">
      <c r="B11" s="79">
        <v>9</v>
      </c>
      <c r="C11" s="96" t="s">
        <v>32</v>
      </c>
      <c r="D11" s="80">
        <f t="shared" si="7"/>
        <v>4944</v>
      </c>
      <c r="E11" s="80">
        <f>24*5*2</f>
        <v>240</v>
      </c>
      <c r="F11" s="103">
        <f>1/30</f>
        <v>3.3333333333333333E-2</v>
      </c>
      <c r="G11" s="103">
        <f t="shared" si="0"/>
        <v>6.7421790722761597E-6</v>
      </c>
      <c r="H11" s="80">
        <f t="shared" si="8"/>
        <v>148320</v>
      </c>
      <c r="I11" s="93">
        <f t="shared" si="9"/>
        <v>0.9672161004820059</v>
      </c>
      <c r="J11" s="104">
        <f t="shared" si="10"/>
        <v>6.5211441510383357E-6</v>
      </c>
      <c r="K11" s="104">
        <f t="shared" si="11"/>
        <v>0.99838449111470118</v>
      </c>
      <c r="L11" s="93"/>
      <c r="M11" s="93">
        <f t="shared" si="12"/>
        <v>3.141781260983436E-2</v>
      </c>
      <c r="N11" s="104">
        <f t="shared" si="13"/>
        <v>6.3547355602415778E-6</v>
      </c>
      <c r="O11" s="80">
        <f>'MTTF OREDA'!K11</f>
        <v>149723.98169207873</v>
      </c>
      <c r="P11" s="93">
        <f t="shared" si="14"/>
        <v>0.96907059856428845</v>
      </c>
      <c r="Q11" s="104">
        <f t="shared" si="15"/>
        <v>6.1581873930810747E-6</v>
      </c>
      <c r="R11" s="104">
        <f t="shared" si="1"/>
        <v>0.99839961571243963</v>
      </c>
      <c r="S11" s="93"/>
      <c r="T11" s="143">
        <f t="shared" si="16"/>
        <v>3.3333333333333333E-2</v>
      </c>
      <c r="U11" s="144">
        <v>1875</v>
      </c>
      <c r="V11" s="145">
        <f t="shared" si="17"/>
        <v>62.5</v>
      </c>
      <c r="W11" s="145">
        <f t="shared" si="18"/>
        <v>9.375</v>
      </c>
      <c r="X11" s="145">
        <f t="shared" si="2"/>
        <v>5448</v>
      </c>
      <c r="Y11" s="145">
        <f t="shared" si="3"/>
        <v>5831.284090909091</v>
      </c>
      <c r="Z11" s="241">
        <f t="shared" si="19"/>
        <v>5519.875</v>
      </c>
      <c r="AA11" s="310">
        <f t="shared" si="20"/>
        <v>71.918251262626256</v>
      </c>
      <c r="AB11" s="143">
        <f t="shared" si="4"/>
        <v>3.141781260983436E-2</v>
      </c>
      <c r="AC11" s="144">
        <v>1875</v>
      </c>
      <c r="AD11" s="145">
        <f t="shared" si="21"/>
        <v>58.908398643439426</v>
      </c>
      <c r="AE11" s="145">
        <f t="shared" si="22"/>
        <v>8.8362597965159129</v>
      </c>
      <c r="AF11" s="145">
        <f t="shared" si="5"/>
        <v>5134.9272929513281</v>
      </c>
      <c r="AG11" s="145">
        <f t="shared" si="6"/>
        <v>5202.7103745610611</v>
      </c>
      <c r="AH11" s="241">
        <f t="shared" si="23"/>
        <v>5202.6719513912831</v>
      </c>
      <c r="AI11" s="310">
        <f t="shared" si="24"/>
        <v>67.78308160973306</v>
      </c>
      <c r="AM11" s="289"/>
      <c r="AN11" s="289"/>
      <c r="AO11" s="66"/>
    </row>
    <row r="12" spans="2:48" ht="15" customHeight="1">
      <c r="B12" s="79">
        <v>10</v>
      </c>
      <c r="C12" s="97" t="s">
        <v>26</v>
      </c>
      <c r="D12" s="80">
        <f t="shared" si="7"/>
        <v>4944</v>
      </c>
      <c r="E12" s="80">
        <v>48</v>
      </c>
      <c r="F12" s="103">
        <f>1/5</f>
        <v>0.2</v>
      </c>
      <c r="G12" s="103">
        <f t="shared" si="0"/>
        <v>4.0453074433656958E-5</v>
      </c>
      <c r="H12" s="80">
        <f t="shared" si="8"/>
        <v>24720</v>
      </c>
      <c r="I12" s="93">
        <f t="shared" si="9"/>
        <v>0.81873075307798182</v>
      </c>
      <c r="J12" s="104">
        <f t="shared" si="10"/>
        <v>3.3120176095387615E-5</v>
      </c>
      <c r="K12" s="104">
        <f t="shared" si="11"/>
        <v>0.99806201550387597</v>
      </c>
      <c r="L12" s="93"/>
      <c r="M12" s="93">
        <f t="shared" si="12"/>
        <v>0.15893933753470685</v>
      </c>
      <c r="N12" s="104">
        <f t="shared" si="13"/>
        <v>3.2147924258638119E-5</v>
      </c>
      <c r="O12" s="80">
        <f>'MTTF OREDA'!K12</f>
        <v>30804.205402774398</v>
      </c>
      <c r="P12" s="93">
        <f t="shared" si="14"/>
        <v>0.85304810540066989</v>
      </c>
      <c r="Q12" s="104">
        <f t="shared" si="15"/>
        <v>2.7423725881395483E-5</v>
      </c>
      <c r="R12" s="104">
        <f t="shared" si="1"/>
        <v>0.99844419550001817</v>
      </c>
      <c r="S12" s="93"/>
      <c r="T12" s="143">
        <f t="shared" si="16"/>
        <v>0.2</v>
      </c>
      <c r="U12" s="144">
        <v>12500</v>
      </c>
      <c r="V12" s="145">
        <f t="shared" si="17"/>
        <v>2500</v>
      </c>
      <c r="W12" s="145">
        <f t="shared" si="18"/>
        <v>375</v>
      </c>
      <c r="X12" s="145">
        <f t="shared" si="2"/>
        <v>6537.6</v>
      </c>
      <c r="Y12" s="145">
        <f t="shared" si="3"/>
        <v>9786.2909090909088</v>
      </c>
      <c r="Z12" s="241">
        <f t="shared" si="19"/>
        <v>9412.6</v>
      </c>
      <c r="AA12" s="310">
        <f t="shared" si="20"/>
        <v>2876.5570454545455</v>
      </c>
      <c r="AB12" s="143">
        <f t="shared" si="4"/>
        <v>0.15893933753470685</v>
      </c>
      <c r="AC12" s="144">
        <v>12500</v>
      </c>
      <c r="AD12" s="145">
        <f t="shared" si="21"/>
        <v>1986.7417191838356</v>
      </c>
      <c r="AE12" s="145">
        <f t="shared" si="22"/>
        <v>298.0112578775753</v>
      </c>
      <c r="AF12" s="145">
        <f t="shared" si="5"/>
        <v>5195.4090653344974</v>
      </c>
      <c r="AG12" s="145">
        <f t="shared" si="6"/>
        <v>7481.1453832815469</v>
      </c>
      <c r="AH12" s="241">
        <f t="shared" si="23"/>
        <v>7480.1620423959084</v>
      </c>
      <c r="AI12" s="310">
        <f t="shared" si="24"/>
        <v>2285.7363179470499</v>
      </c>
      <c r="AM12" s="109" t="s">
        <v>597</v>
      </c>
      <c r="AN12" s="340">
        <v>2800</v>
      </c>
      <c r="AO12" t="s">
        <v>598</v>
      </c>
      <c r="AP12" s="172"/>
      <c r="AQ12" s="172"/>
      <c r="AR12" s="172"/>
    </row>
    <row r="13" spans="2:48" ht="15" customHeight="1">
      <c r="B13" s="79">
        <v>11</v>
      </c>
      <c r="C13" s="98" t="s">
        <v>27</v>
      </c>
      <c r="D13" s="80">
        <f t="shared" si="7"/>
        <v>4944</v>
      </c>
      <c r="E13" s="80">
        <f>24*5*2</f>
        <v>240</v>
      </c>
      <c r="F13" s="103">
        <f>1/20</f>
        <v>0.05</v>
      </c>
      <c r="G13" s="104">
        <f t="shared" si="0"/>
        <v>1.011326860841424E-5</v>
      </c>
      <c r="H13" s="80">
        <f t="shared" si="8"/>
        <v>98880</v>
      </c>
      <c r="I13" s="93">
        <f t="shared" si="9"/>
        <v>0.95122942450071402</v>
      </c>
      <c r="J13" s="104">
        <f t="shared" si="10"/>
        <v>9.6200386782030144E-6</v>
      </c>
      <c r="K13" s="104">
        <f t="shared" si="11"/>
        <v>0.99757869249394671</v>
      </c>
      <c r="L13" s="93"/>
      <c r="M13" s="93">
        <f t="shared" si="12"/>
        <v>4.4815277569620553E-2</v>
      </c>
      <c r="N13" s="104">
        <f t="shared" si="13"/>
        <v>9.0645787964442867E-6</v>
      </c>
      <c r="O13" s="80">
        <f>'MTTF OREDA'!K13</f>
        <v>104964.2054027744</v>
      </c>
      <c r="P13" s="93">
        <f t="shared" si="14"/>
        <v>0.95617409232283801</v>
      </c>
      <c r="Q13" s="104">
        <f t="shared" si="15"/>
        <v>8.6673154029789589E-6</v>
      </c>
      <c r="R13" s="104">
        <f t="shared" si="1"/>
        <v>0.99771872237349102</v>
      </c>
      <c r="S13" s="93"/>
      <c r="T13" s="143">
        <f t="shared" si="16"/>
        <v>0.05</v>
      </c>
      <c r="U13" s="144">
        <v>25000</v>
      </c>
      <c r="V13" s="145">
        <f t="shared" si="17"/>
        <v>1250</v>
      </c>
      <c r="W13" s="145">
        <f t="shared" si="18"/>
        <v>187.5</v>
      </c>
      <c r="X13" s="145">
        <f t="shared" si="2"/>
        <v>8172</v>
      </c>
      <c r="Y13" s="145">
        <f t="shared" si="3"/>
        <v>10076.613636363636</v>
      </c>
      <c r="Z13" s="241">
        <f t="shared" si="19"/>
        <v>9609.5</v>
      </c>
      <c r="AA13" s="310">
        <f t="shared" si="20"/>
        <v>1437.5973153409091</v>
      </c>
      <c r="AB13" s="143">
        <f t="shared" si="4"/>
        <v>4.4815277569620553E-2</v>
      </c>
      <c r="AC13" s="144">
        <v>25000</v>
      </c>
      <c r="AD13" s="145">
        <f t="shared" si="21"/>
        <v>1120.3819392405139</v>
      </c>
      <c r="AE13" s="145">
        <f t="shared" si="22"/>
        <v>168.05729088607708</v>
      </c>
      <c r="AF13" s="145">
        <f t="shared" si="5"/>
        <v>7324.6089659787831</v>
      </c>
      <c r="AG13" s="145">
        <f t="shared" si="6"/>
        <v>8613.1263757120159</v>
      </c>
      <c r="AH13" s="241">
        <f t="shared" si="23"/>
        <v>8613.0481961053738</v>
      </c>
      <c r="AI13" s="310">
        <f t="shared" si="24"/>
        <v>1288.5174097332333</v>
      </c>
      <c r="AM13" s="109" t="s">
        <v>599</v>
      </c>
      <c r="AN13" s="341">
        <v>2000</v>
      </c>
      <c r="AO13" t="s">
        <v>598</v>
      </c>
      <c r="AP13" s="172"/>
      <c r="AQ13" s="173"/>
      <c r="AR13" s="175"/>
      <c r="AV13" s="174"/>
    </row>
    <row r="14" spans="2:48" ht="15" customHeight="1">
      <c r="B14" s="79">
        <v>12</v>
      </c>
      <c r="C14" s="96" t="s">
        <v>88</v>
      </c>
      <c r="D14" s="80">
        <f t="shared" si="7"/>
        <v>4944</v>
      </c>
      <c r="E14" s="80">
        <v>48</v>
      </c>
      <c r="F14" s="103">
        <f>1/10</f>
        <v>0.1</v>
      </c>
      <c r="G14" s="104">
        <f t="shared" si="0"/>
        <v>2.0226537216828479E-5</v>
      </c>
      <c r="H14" s="80">
        <f t="shared" si="8"/>
        <v>49440</v>
      </c>
      <c r="I14" s="93">
        <f t="shared" si="9"/>
        <v>0.90483741803595952</v>
      </c>
      <c r="J14" s="104">
        <f t="shared" si="10"/>
        <v>1.8301727711083324E-5</v>
      </c>
      <c r="K14" s="104">
        <f t="shared" si="11"/>
        <v>0.99903006789524729</v>
      </c>
      <c r="L14" s="93"/>
      <c r="M14" s="93">
        <f t="shared" si="12"/>
        <v>9.8595804243431437E-2</v>
      </c>
      <c r="N14" s="104">
        <f t="shared" si="13"/>
        <v>1.9942517039529012E-5</v>
      </c>
      <c r="O14" s="80">
        <f>'MTTF OREDA'!K14</f>
        <v>49657.285495758581</v>
      </c>
      <c r="P14" s="93">
        <f t="shared" si="14"/>
        <v>0.90610887938014351</v>
      </c>
      <c r="Q14" s="104">
        <f t="shared" si="15"/>
        <v>1.8070091766707051E-5</v>
      </c>
      <c r="R14" s="104">
        <f t="shared" si="1"/>
        <v>0.9990343079308116</v>
      </c>
      <c r="S14" s="93"/>
      <c r="T14" s="143">
        <f t="shared" si="16"/>
        <v>0.1</v>
      </c>
      <c r="U14" s="144">
        <v>500</v>
      </c>
      <c r="V14" s="145">
        <f t="shared" si="17"/>
        <v>50</v>
      </c>
      <c r="W14" s="145">
        <f t="shared" si="18"/>
        <v>7.5</v>
      </c>
      <c r="X14" s="145">
        <f t="shared" si="2"/>
        <v>3268.8</v>
      </c>
      <c r="Y14" s="145">
        <f t="shared" si="3"/>
        <v>3513.1454545454549</v>
      </c>
      <c r="Z14" s="241">
        <f t="shared" si="19"/>
        <v>3326.3</v>
      </c>
      <c r="AA14" s="310">
        <f t="shared" si="20"/>
        <v>57.889261363636365</v>
      </c>
      <c r="AB14" s="143">
        <f t="shared" si="4"/>
        <v>9.8595804243431437E-2</v>
      </c>
      <c r="AC14" s="144">
        <v>500</v>
      </c>
      <c r="AD14" s="145">
        <f t="shared" si="21"/>
        <v>49.297902121715715</v>
      </c>
      <c r="AE14" s="145">
        <f t="shared" si="22"/>
        <v>7.3946853182573573</v>
      </c>
      <c r="AF14" s="145">
        <f t="shared" si="5"/>
        <v>3222.8996491092867</v>
      </c>
      <c r="AG14" s="145">
        <f t="shared" si="6"/>
        <v>3279.9706426830171</v>
      </c>
      <c r="AH14" s="241">
        <f t="shared" si="23"/>
        <v>3279.5922365492597</v>
      </c>
      <c r="AI14" s="310">
        <f t="shared" si="24"/>
        <v>57.070993573730554</v>
      </c>
      <c r="AM14" s="109" t="s">
        <v>600</v>
      </c>
      <c r="AN14" s="340">
        <f>400*12</f>
        <v>4800</v>
      </c>
      <c r="AO14" t="s">
        <v>596</v>
      </c>
      <c r="AP14" s="174"/>
      <c r="AQ14" s="173"/>
      <c r="AR14" s="175"/>
      <c r="AV14" s="174"/>
    </row>
    <row r="15" spans="2:48" ht="15" customHeight="1">
      <c r="B15" s="79">
        <v>13</v>
      </c>
      <c r="C15" s="97" t="s">
        <v>46</v>
      </c>
      <c r="D15" s="80">
        <f t="shared" si="7"/>
        <v>4944</v>
      </c>
      <c r="E15" s="80">
        <f>4</f>
        <v>4</v>
      </c>
      <c r="F15" s="103">
        <v>2</v>
      </c>
      <c r="G15" s="104">
        <f t="shared" si="0"/>
        <v>4.045307443365696E-4</v>
      </c>
      <c r="H15" s="80">
        <f t="shared" si="8"/>
        <v>2472</v>
      </c>
      <c r="I15" s="93">
        <f t="shared" si="9"/>
        <v>0.1353352832366127</v>
      </c>
      <c r="J15" s="104">
        <f t="shared" si="10"/>
        <v>5.4747282862707408E-5</v>
      </c>
      <c r="K15" s="104">
        <f t="shared" si="11"/>
        <v>0.99838449111470118</v>
      </c>
      <c r="L15" s="93"/>
      <c r="M15" s="93">
        <f t="shared" si="12"/>
        <v>1.8369191399690112</v>
      </c>
      <c r="N15" s="104">
        <f t="shared" si="13"/>
        <v>3.715451334888777E-4</v>
      </c>
      <c r="O15" s="80">
        <f>'MTTF OREDA'!K15</f>
        <v>2689.2854957585873</v>
      </c>
      <c r="P15" s="93">
        <f t="shared" si="14"/>
        <v>0.15930747486543848</v>
      </c>
      <c r="Q15" s="104">
        <f t="shared" si="15"/>
        <v>5.9189917014655364E-5</v>
      </c>
      <c r="R15" s="104">
        <f t="shared" si="1"/>
        <v>0.99851482510625067</v>
      </c>
      <c r="S15" s="93"/>
      <c r="T15" s="143">
        <f t="shared" si="16"/>
        <v>2</v>
      </c>
      <c r="U15" s="144">
        <v>62.5</v>
      </c>
      <c r="V15" s="145">
        <f t="shared" si="17"/>
        <v>125</v>
      </c>
      <c r="W15" s="145">
        <f t="shared" si="18"/>
        <v>18.75</v>
      </c>
      <c r="X15" s="145">
        <f t="shared" si="2"/>
        <v>5448</v>
      </c>
      <c r="Y15" s="145">
        <f t="shared" si="3"/>
        <v>5903.159090909091</v>
      </c>
      <c r="Z15" s="241">
        <f t="shared" si="19"/>
        <v>5591.75</v>
      </c>
      <c r="AA15" s="310">
        <f t="shared" si="20"/>
        <v>299.4545454545455</v>
      </c>
      <c r="AB15" s="143">
        <f t="shared" si="4"/>
        <v>1.8369191399690112</v>
      </c>
      <c r="AC15" s="144">
        <v>62.5</v>
      </c>
      <c r="AD15" s="145">
        <f t="shared" si="21"/>
        <v>114.8074462480632</v>
      </c>
      <c r="AE15" s="145">
        <f t="shared" si="22"/>
        <v>17.22111693720948</v>
      </c>
      <c r="AF15" s="145">
        <f t="shared" si="5"/>
        <v>5003.767737275587</v>
      </c>
      <c r="AG15" s="145">
        <f t="shared" si="6"/>
        <v>5267.1436696108631</v>
      </c>
      <c r="AH15" s="241">
        <f t="shared" si="23"/>
        <v>5135.79630046086</v>
      </c>
      <c r="AI15" s="310">
        <f t="shared" si="24"/>
        <v>263.37593233527582</v>
      </c>
      <c r="AM15" s="105"/>
      <c r="AN15" s="173"/>
      <c r="AO15" s="174"/>
      <c r="AP15" s="174"/>
      <c r="AQ15" s="173"/>
      <c r="AR15" s="175"/>
      <c r="AV15" s="174"/>
    </row>
    <row r="16" spans="2:48" ht="15" customHeight="1">
      <c r="B16" s="79">
        <v>14</v>
      </c>
      <c r="C16" s="96" t="s">
        <v>47</v>
      </c>
      <c r="D16" s="80">
        <f t="shared" si="7"/>
        <v>4944</v>
      </c>
      <c r="E16" s="80">
        <v>4</v>
      </c>
      <c r="F16" s="103">
        <f>1/3</f>
        <v>0.33333333333333331</v>
      </c>
      <c r="G16" s="104">
        <f t="shared" si="0"/>
        <v>6.7421790722761591E-5</v>
      </c>
      <c r="H16" s="80">
        <f t="shared" si="8"/>
        <v>14832.000000000002</v>
      </c>
      <c r="I16" s="93">
        <f t="shared" si="9"/>
        <v>0.71653131057378927</v>
      </c>
      <c r="J16" s="104">
        <f t="shared" si="10"/>
        <v>4.8309824067812111E-5</v>
      </c>
      <c r="K16" s="104">
        <f t="shared" si="11"/>
        <v>0.99973038554866545</v>
      </c>
      <c r="L16" s="93"/>
      <c r="M16" s="93">
        <f t="shared" si="12"/>
        <v>0.30426247662068645</v>
      </c>
      <c r="N16" s="104">
        <f t="shared" si="13"/>
        <v>6.1541763070527188E-5</v>
      </c>
      <c r="O16" s="80">
        <f>'MTTF OREDA'!K16</f>
        <v>16235.981692078738</v>
      </c>
      <c r="P16" s="93">
        <f t="shared" si="14"/>
        <v>0.73766722063868939</v>
      </c>
      <c r="Q16" s="104">
        <f t="shared" si="15"/>
        <v>4.5397341317440524E-5</v>
      </c>
      <c r="R16" s="104">
        <f t="shared" si="1"/>
        <v>0.99975369430361172</v>
      </c>
      <c r="S16" s="93"/>
      <c r="T16" s="143">
        <f t="shared" si="16"/>
        <v>0.33333333333333331</v>
      </c>
      <c r="U16" s="144">
        <v>100</v>
      </c>
      <c r="V16" s="145">
        <f t="shared" si="17"/>
        <v>33.333333333333329</v>
      </c>
      <c r="W16" s="145">
        <f t="shared" si="18"/>
        <v>4.9999999999999991</v>
      </c>
      <c r="X16" s="145">
        <f t="shared" si="2"/>
        <v>908</v>
      </c>
      <c r="Y16" s="145">
        <f t="shared" si="3"/>
        <v>998.2348484848485</v>
      </c>
      <c r="Z16" s="241">
        <f t="shared" si="19"/>
        <v>946.33333333333337</v>
      </c>
      <c r="AA16" s="310">
        <f t="shared" si="20"/>
        <v>42.658459595959592</v>
      </c>
      <c r="AB16" s="143">
        <f t="shared" si="4"/>
        <v>0.30426247662068645</v>
      </c>
      <c r="AC16" s="144">
        <v>100</v>
      </c>
      <c r="AD16" s="145">
        <f t="shared" si="21"/>
        <v>30.426247662068644</v>
      </c>
      <c r="AE16" s="145">
        <f t="shared" si="22"/>
        <v>4.5639371493102967</v>
      </c>
      <c r="AF16" s="145">
        <f t="shared" si="5"/>
        <v>828.81098631474993</v>
      </c>
      <c r="AG16" s="145">
        <f t="shared" si="6"/>
        <v>867.40478368413039</v>
      </c>
      <c r="AH16" s="241">
        <f t="shared" si="23"/>
        <v>863.80117112612891</v>
      </c>
      <c r="AI16" s="310">
        <f t="shared" si="24"/>
        <v>38.593797369380376</v>
      </c>
      <c r="AM16" s="105"/>
      <c r="AN16" s="173"/>
      <c r="AO16" s="174"/>
      <c r="AP16" s="174"/>
      <c r="AQ16" s="173"/>
      <c r="AR16" s="175"/>
      <c r="AV16" s="174"/>
    </row>
    <row r="17" spans="2:48" ht="15" customHeight="1">
      <c r="B17" s="79">
        <v>15</v>
      </c>
      <c r="C17" s="96" t="s">
        <v>33</v>
      </c>
      <c r="D17" s="80">
        <f t="shared" si="7"/>
        <v>4944</v>
      </c>
      <c r="E17" s="80">
        <f>4</f>
        <v>4</v>
      </c>
      <c r="F17" s="103">
        <f>1/10</f>
        <v>0.1</v>
      </c>
      <c r="G17" s="104">
        <f t="shared" si="0"/>
        <v>2.0226537216828479E-5</v>
      </c>
      <c r="H17" s="80">
        <f t="shared" si="8"/>
        <v>49440</v>
      </c>
      <c r="I17" s="93">
        <f t="shared" si="9"/>
        <v>0.90483741803595952</v>
      </c>
      <c r="J17" s="104">
        <f t="shared" si="10"/>
        <v>1.8301727711083324E-5</v>
      </c>
      <c r="K17" s="104">
        <f t="shared" si="11"/>
        <v>0.99991910039640808</v>
      </c>
      <c r="L17" s="93"/>
      <c r="M17" s="93">
        <f t="shared" si="12"/>
        <v>9.7159975194657702E-2</v>
      </c>
      <c r="N17" s="104">
        <f t="shared" si="13"/>
        <v>1.9652098542608759E-5</v>
      </c>
      <c r="O17" s="80">
        <f>'MTTF OREDA'!K17</f>
        <v>50843.981692078734</v>
      </c>
      <c r="P17" s="93">
        <f t="shared" si="14"/>
        <v>0.90741083129702471</v>
      </c>
      <c r="Q17" s="104">
        <f t="shared" si="15"/>
        <v>1.7832527075279663E-5</v>
      </c>
      <c r="R17" s="104">
        <f t="shared" si="1"/>
        <v>0.99992133414411166</v>
      </c>
      <c r="S17" s="93"/>
      <c r="T17" s="143">
        <f t="shared" si="16"/>
        <v>0.1</v>
      </c>
      <c r="U17" s="144">
        <v>81.25</v>
      </c>
      <c r="V17" s="145">
        <f t="shared" si="17"/>
        <v>8.125</v>
      </c>
      <c r="W17" s="145">
        <f t="shared" si="18"/>
        <v>1.21875</v>
      </c>
      <c r="X17" s="145">
        <f t="shared" si="2"/>
        <v>272.40000000000003</v>
      </c>
      <c r="Y17" s="145">
        <f t="shared" si="3"/>
        <v>297.31420454545457</v>
      </c>
      <c r="Z17" s="241">
        <f t="shared" si="19"/>
        <v>281.74375000000003</v>
      </c>
      <c r="AA17" s="310">
        <f t="shared" si="20"/>
        <v>9.7330113636363631</v>
      </c>
      <c r="AB17" s="143">
        <f t="shared" si="4"/>
        <v>9.7159975194657702E-2</v>
      </c>
      <c r="AC17" s="144">
        <v>81.25</v>
      </c>
      <c r="AD17" s="145">
        <f t="shared" si="21"/>
        <v>7.8942479845659381</v>
      </c>
      <c r="AE17" s="145">
        <f t="shared" si="22"/>
        <v>1.1841371976848907</v>
      </c>
      <c r="AF17" s="145">
        <f t="shared" si="5"/>
        <v>264.6637724302476</v>
      </c>
      <c r="AG17" s="145">
        <f t="shared" si="6"/>
        <v>274.10962270569496</v>
      </c>
      <c r="AH17" s="241">
        <f t="shared" si="23"/>
        <v>273.74215761249843</v>
      </c>
      <c r="AI17" s="310">
        <f t="shared" si="24"/>
        <v>9.4458502754473699</v>
      </c>
      <c r="AP17" s="174"/>
      <c r="AQ17" s="173"/>
      <c r="AR17" s="175"/>
      <c r="AV17" s="174"/>
    </row>
    <row r="18" spans="2:48" ht="15" customHeight="1">
      <c r="B18" s="79">
        <v>16</v>
      </c>
      <c r="C18" s="96" t="s">
        <v>34</v>
      </c>
      <c r="D18" s="80">
        <f t="shared" si="7"/>
        <v>4944</v>
      </c>
      <c r="E18" s="80">
        <v>3</v>
      </c>
      <c r="F18" s="103">
        <f>1/10</f>
        <v>0.1</v>
      </c>
      <c r="G18" s="104">
        <f t="shared" si="0"/>
        <v>2.0226537216828479E-5</v>
      </c>
      <c r="H18" s="80">
        <f t="shared" si="8"/>
        <v>49440</v>
      </c>
      <c r="I18" s="93">
        <f t="shared" si="9"/>
        <v>0.90483741803595952</v>
      </c>
      <c r="J18" s="104">
        <f t="shared" si="10"/>
        <v>1.8301727711083324E-5</v>
      </c>
      <c r="K18" s="104">
        <f t="shared" si="11"/>
        <v>0.99993932407014141</v>
      </c>
      <c r="L18" s="93"/>
      <c r="M18" s="93">
        <f t="shared" si="12"/>
        <v>9.717964320583071E-2</v>
      </c>
      <c r="N18" s="104">
        <f t="shared" si="13"/>
        <v>1.9656076700208477E-5</v>
      </c>
      <c r="O18" s="80">
        <f>'MTTF OREDA'!K18</f>
        <v>50843.981692078734</v>
      </c>
      <c r="P18" s="93">
        <f t="shared" si="14"/>
        <v>0.90739298450616224</v>
      </c>
      <c r="Q18" s="104">
        <f t="shared" si="15"/>
        <v>1.7835786100684206E-5</v>
      </c>
      <c r="R18" s="104">
        <f t="shared" si="1"/>
        <v>0.9999409994477515</v>
      </c>
      <c r="S18" s="93"/>
      <c r="T18" s="143">
        <f t="shared" si="16"/>
        <v>0.1</v>
      </c>
      <c r="U18" s="144">
        <v>31.25</v>
      </c>
      <c r="V18" s="145">
        <f t="shared" si="17"/>
        <v>3.125</v>
      </c>
      <c r="W18" s="145">
        <f t="shared" si="18"/>
        <v>0.46875</v>
      </c>
      <c r="X18" s="145">
        <f t="shared" si="2"/>
        <v>204.3</v>
      </c>
      <c r="Y18" s="145">
        <f t="shared" si="3"/>
        <v>219.57159090909093</v>
      </c>
      <c r="Z18" s="241">
        <f t="shared" si="19"/>
        <v>207.89375000000001</v>
      </c>
      <c r="AA18" s="310">
        <f t="shared" si="20"/>
        <v>3.983011363636364</v>
      </c>
      <c r="AB18" s="143">
        <f t="shared" si="4"/>
        <v>9.717964320583071E-2</v>
      </c>
      <c r="AC18" s="144">
        <v>31.25</v>
      </c>
      <c r="AD18" s="145">
        <f t="shared" si="21"/>
        <v>3.0368638501822098</v>
      </c>
      <c r="AE18" s="145">
        <f t="shared" si="22"/>
        <v>0.45552957752733148</v>
      </c>
      <c r="AF18" s="145">
        <f t="shared" si="5"/>
        <v>198.53801106951215</v>
      </c>
      <c r="AG18" s="145">
        <f t="shared" si="6"/>
        <v>202.39801837676885</v>
      </c>
      <c r="AH18" s="241">
        <f t="shared" si="23"/>
        <v>202.0304044972217</v>
      </c>
      <c r="AI18" s="310">
        <f t="shared" si="24"/>
        <v>3.8600073072566987</v>
      </c>
      <c r="AM18" s="105"/>
      <c r="AN18" s="105"/>
      <c r="AQ18" s="107"/>
      <c r="AR18" s="175"/>
      <c r="AV18" s="176"/>
    </row>
    <row r="19" spans="2:48" ht="15" customHeight="1">
      <c r="B19" s="79">
        <v>17</v>
      </c>
      <c r="C19" s="96" t="s">
        <v>53</v>
      </c>
      <c r="D19" s="80">
        <f t="shared" si="7"/>
        <v>4944</v>
      </c>
      <c r="E19" s="80">
        <v>4</v>
      </c>
      <c r="F19" s="103">
        <f>1/10</f>
        <v>0.1</v>
      </c>
      <c r="G19" s="104">
        <f t="shared" si="0"/>
        <v>2.0226537216828479E-5</v>
      </c>
      <c r="H19" s="80">
        <f t="shared" si="8"/>
        <v>49440</v>
      </c>
      <c r="I19" s="93">
        <f t="shared" si="9"/>
        <v>0.90483741803595952</v>
      </c>
      <c r="J19" s="104">
        <f t="shared" si="10"/>
        <v>1.8301727711083324E-5</v>
      </c>
      <c r="K19" s="104">
        <f t="shared" si="11"/>
        <v>0.99991910039640808</v>
      </c>
      <c r="L19" s="93"/>
      <c r="M19" s="93">
        <f t="shared" si="12"/>
        <v>9.7159975194657702E-2</v>
      </c>
      <c r="N19" s="104">
        <f t="shared" si="13"/>
        <v>1.9652098542608759E-5</v>
      </c>
      <c r="O19" s="80">
        <f>'MTTF OREDA'!K19</f>
        <v>50843.981692078734</v>
      </c>
      <c r="P19" s="93">
        <f t="shared" si="14"/>
        <v>0.90741083129702471</v>
      </c>
      <c r="Q19" s="104">
        <f t="shared" si="15"/>
        <v>1.7832527075279663E-5</v>
      </c>
      <c r="R19" s="104">
        <f t="shared" si="1"/>
        <v>0.99992133414411166</v>
      </c>
      <c r="S19" s="93"/>
      <c r="T19" s="143">
        <f t="shared" si="16"/>
        <v>0.1</v>
      </c>
      <c r="U19" s="144">
        <v>150</v>
      </c>
      <c r="V19" s="145">
        <f t="shared" si="17"/>
        <v>15</v>
      </c>
      <c r="W19" s="145">
        <f t="shared" si="18"/>
        <v>2.25</v>
      </c>
      <c r="X19" s="145">
        <f t="shared" si="2"/>
        <v>272.40000000000003</v>
      </c>
      <c r="Y19" s="145">
        <f t="shared" si="3"/>
        <v>305.22045454545457</v>
      </c>
      <c r="Z19" s="241">
        <f t="shared" si="19"/>
        <v>289.65000000000003</v>
      </c>
      <c r="AA19" s="310">
        <f t="shared" si="20"/>
        <v>17.639261363636365</v>
      </c>
      <c r="AB19" s="143">
        <f t="shared" si="4"/>
        <v>9.7159975194657702E-2</v>
      </c>
      <c r="AC19" s="144">
        <v>150</v>
      </c>
      <c r="AD19" s="145">
        <f t="shared" si="21"/>
        <v>14.573996279198655</v>
      </c>
      <c r="AE19" s="145">
        <f t="shared" si="22"/>
        <v>2.1860994418797981</v>
      </c>
      <c r="AF19" s="145">
        <f t="shared" si="5"/>
        <v>264.6637724302476</v>
      </c>
      <c r="AG19" s="145">
        <f t="shared" si="6"/>
        <v>281.7913332445226</v>
      </c>
      <c r="AH19" s="241">
        <f t="shared" si="23"/>
        <v>281.42386815132608</v>
      </c>
      <c r="AI19" s="310">
        <f t="shared" si="24"/>
        <v>17.127560814274997</v>
      </c>
    </row>
    <row r="20" spans="2:48" ht="15" customHeight="1">
      <c r="B20" s="79">
        <v>18</v>
      </c>
      <c r="C20" s="96" t="s">
        <v>35</v>
      </c>
      <c r="D20" s="80">
        <f t="shared" si="7"/>
        <v>4944</v>
      </c>
      <c r="E20" s="80">
        <f>5</f>
        <v>5</v>
      </c>
      <c r="F20" s="103">
        <f>1/10</f>
        <v>0.1</v>
      </c>
      <c r="G20" s="104">
        <f t="shared" si="0"/>
        <v>2.0226537216828479E-5</v>
      </c>
      <c r="H20" s="80">
        <f t="shared" si="8"/>
        <v>49440</v>
      </c>
      <c r="I20" s="93">
        <f t="shared" si="9"/>
        <v>0.90483741803595952</v>
      </c>
      <c r="J20" s="104">
        <f t="shared" si="10"/>
        <v>1.8301727711083324E-5</v>
      </c>
      <c r="K20" s="104">
        <f t="shared" si="11"/>
        <v>0.99989887754070184</v>
      </c>
      <c r="L20" s="93"/>
      <c r="M20" s="93">
        <f t="shared" si="12"/>
        <v>9.7140307183484695E-2</v>
      </c>
      <c r="N20" s="104">
        <f t="shared" si="13"/>
        <v>1.9648120385009042E-5</v>
      </c>
      <c r="O20" s="80">
        <f>'MTTF OREDA'!K20</f>
        <v>50843.981692078734</v>
      </c>
      <c r="P20" s="93">
        <f t="shared" si="14"/>
        <v>0.9074286784389014</v>
      </c>
      <c r="Q20" s="104">
        <f t="shared" si="15"/>
        <v>1.7829267914777194E-5</v>
      </c>
      <c r="R20" s="104">
        <f t="shared" si="1"/>
        <v>0.99990166961395066</v>
      </c>
      <c r="S20" s="93"/>
      <c r="T20" s="143">
        <f t="shared" si="16"/>
        <v>0.1</v>
      </c>
      <c r="U20" s="144">
        <v>1125</v>
      </c>
      <c r="V20" s="145">
        <f t="shared" si="17"/>
        <v>112.5</v>
      </c>
      <c r="W20" s="145">
        <f t="shared" si="18"/>
        <v>16.875</v>
      </c>
      <c r="X20" s="145">
        <f t="shared" si="2"/>
        <v>340.5</v>
      </c>
      <c r="Y20" s="145">
        <f t="shared" si="3"/>
        <v>489.33806818181819</v>
      </c>
      <c r="Z20" s="241">
        <f t="shared" si="19"/>
        <v>469.875</v>
      </c>
      <c r="AA20" s="310">
        <f t="shared" si="20"/>
        <v>129.76426136363636</v>
      </c>
      <c r="AB20" s="143">
        <f t="shared" si="4"/>
        <v>9.7140307183484695E-2</v>
      </c>
      <c r="AC20" s="144">
        <v>1125</v>
      </c>
      <c r="AD20" s="145">
        <f t="shared" si="21"/>
        <v>109.28284558142028</v>
      </c>
      <c r="AE20" s="145">
        <f t="shared" si="22"/>
        <v>16.392426837213041</v>
      </c>
      <c r="AF20" s="145">
        <f t="shared" si="5"/>
        <v>330.76274595976537</v>
      </c>
      <c r="AG20" s="145">
        <f t="shared" si="6"/>
        <v>456.80533471536023</v>
      </c>
      <c r="AH20" s="241">
        <f t="shared" si="23"/>
        <v>456.43801837839868</v>
      </c>
      <c r="AI20" s="310">
        <f t="shared" si="24"/>
        <v>126.04258875559489</v>
      </c>
      <c r="AO20" s="163"/>
      <c r="AP20" s="164"/>
      <c r="AQ20" s="164"/>
      <c r="AR20" s="164"/>
      <c r="AV20" s="164"/>
    </row>
    <row r="21" spans="2:48" ht="15" customHeight="1">
      <c r="B21" s="79">
        <v>19</v>
      </c>
      <c r="C21" s="96" t="s">
        <v>36</v>
      </c>
      <c r="D21" s="80">
        <f t="shared" si="7"/>
        <v>4944</v>
      </c>
      <c r="E21" s="80">
        <v>4</v>
      </c>
      <c r="F21" s="103">
        <f>1/5</f>
        <v>0.2</v>
      </c>
      <c r="G21" s="104">
        <f t="shared" si="0"/>
        <v>4.0453074433656958E-5</v>
      </c>
      <c r="H21" s="80">
        <f t="shared" si="8"/>
        <v>24720</v>
      </c>
      <c r="I21" s="93">
        <f t="shared" si="9"/>
        <v>0.81873075307798182</v>
      </c>
      <c r="J21" s="104">
        <f t="shared" si="10"/>
        <v>3.3120176095387615E-5</v>
      </c>
      <c r="K21" s="104">
        <f t="shared" si="11"/>
        <v>0.99983821388124894</v>
      </c>
      <c r="L21" s="93"/>
      <c r="M21" s="93">
        <f t="shared" si="12"/>
        <v>0.18909827981918612</v>
      </c>
      <c r="N21" s="104">
        <f t="shared" si="13"/>
        <v>3.8248033944010136E-5</v>
      </c>
      <c r="O21" s="80">
        <f>'MTTF OREDA'!K21</f>
        <v>26123.981692078734</v>
      </c>
      <c r="P21" s="93">
        <f t="shared" si="14"/>
        <v>0.82770515598416305</v>
      </c>
      <c r="Q21" s="104">
        <f t="shared" si="15"/>
        <v>3.1658094901714472E-5</v>
      </c>
      <c r="R21" s="104">
        <f t="shared" si="1"/>
        <v>0.99984690742487725</v>
      </c>
      <c r="S21" s="93"/>
      <c r="T21" s="143">
        <f t="shared" si="16"/>
        <v>0.2</v>
      </c>
      <c r="U21" s="144">
        <v>93.75</v>
      </c>
      <c r="V21" s="145">
        <f>T21*U21</f>
        <v>18.75</v>
      </c>
      <c r="W21" s="145">
        <f t="shared" si="18"/>
        <v>2.8125</v>
      </c>
      <c r="X21" s="145">
        <f t="shared" si="2"/>
        <v>544.80000000000007</v>
      </c>
      <c r="Y21" s="145">
        <f t="shared" si="3"/>
        <v>597.50340909090914</v>
      </c>
      <c r="Z21" s="241">
        <f t="shared" si="19"/>
        <v>566.36250000000007</v>
      </c>
      <c r="AA21" s="310">
        <f t="shared" si="20"/>
        <v>23.119545454545456</v>
      </c>
      <c r="AB21" s="143">
        <f t="shared" si="4"/>
        <v>0.18909827981918612</v>
      </c>
      <c r="AC21" s="144">
        <v>93.75</v>
      </c>
      <c r="AD21" s="145">
        <f t="shared" si="21"/>
        <v>17.7279637330487</v>
      </c>
      <c r="AE21" s="145">
        <f t="shared" si="22"/>
        <v>2.6591945599573048</v>
      </c>
      <c r="AF21" s="145">
        <f t="shared" si="5"/>
        <v>515.103714227463</v>
      </c>
      <c r="AG21" s="145">
        <f t="shared" si="6"/>
        <v>536.88279951057621</v>
      </c>
      <c r="AH21" s="241">
        <f t="shared" si="23"/>
        <v>535.490872520469</v>
      </c>
      <c r="AI21" s="310">
        <f t="shared" si="24"/>
        <v>21.779085283113222</v>
      </c>
    </row>
    <row r="22" spans="2:48" ht="15" customHeight="1">
      <c r="B22" s="79">
        <v>20</v>
      </c>
      <c r="C22" s="96" t="s">
        <v>101</v>
      </c>
      <c r="D22" s="80">
        <f t="shared" si="7"/>
        <v>4944</v>
      </c>
      <c r="E22" s="80">
        <f>3</f>
        <v>3</v>
      </c>
      <c r="F22" s="103">
        <f>1/5</f>
        <v>0.2</v>
      </c>
      <c r="G22" s="104">
        <f t="shared" si="0"/>
        <v>4.0453074433656958E-5</v>
      </c>
      <c r="H22" s="80">
        <f t="shared" si="8"/>
        <v>24720</v>
      </c>
      <c r="I22" s="93">
        <f t="shared" si="9"/>
        <v>0.81873075307798182</v>
      </c>
      <c r="J22" s="104">
        <f t="shared" si="10"/>
        <v>3.3120176095387615E-5</v>
      </c>
      <c r="K22" s="104">
        <f t="shared" si="11"/>
        <v>0.99987865550297295</v>
      </c>
      <c r="L22" s="93"/>
      <c r="M22" s="93">
        <f t="shared" si="12"/>
        <v>0.1891365588231981</v>
      </c>
      <c r="N22" s="104">
        <f t="shared" si="13"/>
        <v>3.8255776461002853E-5</v>
      </c>
      <c r="O22" s="80">
        <f>'MTTF OREDA'!K22</f>
        <v>26123.981692078734</v>
      </c>
      <c r="P22" s="93">
        <f t="shared" si="14"/>
        <v>0.82767347286157944</v>
      </c>
      <c r="Q22" s="104">
        <f t="shared" si="15"/>
        <v>3.1663291360494492E-5</v>
      </c>
      <c r="R22" s="104">
        <f t="shared" si="1"/>
        <v>0.9998851761739892</v>
      </c>
      <c r="S22" s="93"/>
      <c r="T22" s="143">
        <f t="shared" si="16"/>
        <v>0.2</v>
      </c>
      <c r="U22" s="144">
        <v>125</v>
      </c>
      <c r="V22" s="145">
        <f t="shared" si="17"/>
        <v>25</v>
      </c>
      <c r="W22" s="145">
        <f t="shared" si="18"/>
        <v>3.75</v>
      </c>
      <c r="X22" s="145">
        <f t="shared" si="2"/>
        <v>408.6</v>
      </c>
      <c r="Y22" s="145">
        <f t="shared" si="3"/>
        <v>460.70568181818186</v>
      </c>
      <c r="Z22" s="241">
        <f t="shared" si="19"/>
        <v>437.35</v>
      </c>
      <c r="AA22" s="310">
        <f t="shared" si="20"/>
        <v>30.307045454545456</v>
      </c>
      <c r="AB22" s="143">
        <f t="shared" si="4"/>
        <v>0.1891365588231981</v>
      </c>
      <c r="AC22" s="144">
        <v>125</v>
      </c>
      <c r="AD22" s="145">
        <f t="shared" si="21"/>
        <v>23.642069852899763</v>
      </c>
      <c r="AE22" s="145">
        <f t="shared" si="22"/>
        <v>3.5463104779349641</v>
      </c>
      <c r="AF22" s="145">
        <f t="shared" si="5"/>
        <v>386.40598967579371</v>
      </c>
      <c r="AG22" s="145">
        <f t="shared" si="6"/>
        <v>414.98686058696779</v>
      </c>
      <c r="AH22" s="241">
        <f t="shared" si="23"/>
        <v>413.59437000662842</v>
      </c>
      <c r="AI22" s="310">
        <f t="shared" si="24"/>
        <v>28.580870911174095</v>
      </c>
    </row>
    <row r="23" spans="2:48" ht="15" customHeight="1">
      <c r="B23" s="79">
        <v>21</v>
      </c>
      <c r="C23" s="96" t="s">
        <v>37</v>
      </c>
      <c r="D23" s="80">
        <f t="shared" si="7"/>
        <v>4944</v>
      </c>
      <c r="E23" s="80">
        <f>4</f>
        <v>4</v>
      </c>
      <c r="F23" s="103">
        <f>1/10</f>
        <v>0.1</v>
      </c>
      <c r="G23" s="104">
        <f t="shared" si="0"/>
        <v>2.0226537216828479E-5</v>
      </c>
      <c r="H23" s="80">
        <f t="shared" si="8"/>
        <v>49440</v>
      </c>
      <c r="I23" s="93">
        <f t="shared" si="9"/>
        <v>0.90483741803595952</v>
      </c>
      <c r="J23" s="104">
        <f t="shared" si="10"/>
        <v>1.8301727711083324E-5</v>
      </c>
      <c r="K23" s="104">
        <f t="shared" si="11"/>
        <v>0.99991910039640808</v>
      </c>
      <c r="L23" s="93"/>
      <c r="M23" s="93">
        <f t="shared" si="12"/>
        <v>9.5511459600083864E-2</v>
      </c>
      <c r="N23" s="104">
        <f t="shared" si="13"/>
        <v>1.931866092234706E-5</v>
      </c>
      <c r="O23" s="80">
        <f>'MTTF OREDA'!K23</f>
        <v>51721.542322610076</v>
      </c>
      <c r="P23" s="93">
        <f t="shared" si="14"/>
        <v>0.90890794587241819</v>
      </c>
      <c r="Q23" s="104">
        <f t="shared" si="15"/>
        <v>1.7558884415936222E-5</v>
      </c>
      <c r="R23" s="104">
        <f t="shared" si="1"/>
        <v>0.99992266876633107</v>
      </c>
      <c r="S23" s="93"/>
      <c r="T23" s="143">
        <f t="shared" si="16"/>
        <v>0.1</v>
      </c>
      <c r="U23" s="144">
        <v>781.25</v>
      </c>
      <c r="V23" s="145">
        <f t="shared" si="17"/>
        <v>78.125</v>
      </c>
      <c r="W23" s="145">
        <f t="shared" si="18"/>
        <v>11.71875</v>
      </c>
      <c r="X23" s="145">
        <f t="shared" si="2"/>
        <v>272.40000000000003</v>
      </c>
      <c r="Y23" s="145">
        <f t="shared" si="3"/>
        <v>377.81420454545457</v>
      </c>
      <c r="Z23" s="241">
        <f t="shared" si="19"/>
        <v>362.24375000000003</v>
      </c>
      <c r="AA23" s="310">
        <f t="shared" si="20"/>
        <v>90.233011363636365</v>
      </c>
      <c r="AB23" s="143">
        <f t="shared" si="4"/>
        <v>9.5511459600083864E-2</v>
      </c>
      <c r="AC23" s="144">
        <v>781.25</v>
      </c>
      <c r="AD23" s="145">
        <f t="shared" si="21"/>
        <v>74.618327812565525</v>
      </c>
      <c r="AE23" s="145">
        <f t="shared" si="22"/>
        <v>11.192749171884829</v>
      </c>
      <c r="AF23" s="145">
        <f t="shared" si="5"/>
        <v>260.17321595062845</v>
      </c>
      <c r="AG23" s="145">
        <f t="shared" si="6"/>
        <v>346.3393942362506</v>
      </c>
      <c r="AH23" s="241">
        <f t="shared" si="23"/>
        <v>345.98429293507877</v>
      </c>
      <c r="AI23" s="310">
        <f t="shared" si="24"/>
        <v>86.166178285622195</v>
      </c>
    </row>
    <row r="24" spans="2:48" ht="15" customHeight="1">
      <c r="B24" s="79">
        <v>22</v>
      </c>
      <c r="C24" s="96" t="s">
        <v>106</v>
      </c>
      <c r="D24" s="80">
        <f t="shared" si="7"/>
        <v>4944</v>
      </c>
      <c r="E24" s="80">
        <f>4</f>
        <v>4</v>
      </c>
      <c r="F24" s="103">
        <f>1/2</f>
        <v>0.5</v>
      </c>
      <c r="G24" s="104">
        <f t="shared" si="0"/>
        <v>1.011326860841424E-4</v>
      </c>
      <c r="H24" s="80">
        <f t="shared" si="8"/>
        <v>9888</v>
      </c>
      <c r="I24" s="93">
        <f t="shared" si="9"/>
        <v>0.60653065971263342</v>
      </c>
      <c r="J24" s="104">
        <f t="shared" si="10"/>
        <v>6.1340074809125548E-5</v>
      </c>
      <c r="K24" s="104">
        <f t="shared" si="11"/>
        <v>0.99959563283461383</v>
      </c>
      <c r="L24" s="93"/>
      <c r="M24" s="93">
        <f t="shared" si="12"/>
        <v>0.40593145321676194</v>
      </c>
      <c r="N24" s="104">
        <f t="shared" si="13"/>
        <v>8.2105876459701041E-5</v>
      </c>
      <c r="O24" s="80">
        <f>'MTTF OREDA'!K24</f>
        <v>12169.542322610085</v>
      </c>
      <c r="P24" s="93">
        <f t="shared" si="14"/>
        <v>0.66635584240892087</v>
      </c>
      <c r="Q24" s="104">
        <f t="shared" si="15"/>
        <v>5.4711730475026873E-5</v>
      </c>
      <c r="R24" s="104">
        <f t="shared" si="1"/>
        <v>0.99967141856544328</v>
      </c>
      <c r="S24" s="93"/>
      <c r="T24" s="143">
        <f t="shared" si="16"/>
        <v>0.5</v>
      </c>
      <c r="U24" s="144">
        <v>37.5</v>
      </c>
      <c r="V24" s="145">
        <f t="shared" si="17"/>
        <v>18.75</v>
      </c>
      <c r="W24" s="145">
        <f t="shared" si="18"/>
        <v>2.8125</v>
      </c>
      <c r="X24" s="145">
        <f t="shared" si="2"/>
        <v>1362</v>
      </c>
      <c r="Y24" s="145">
        <f t="shared" si="3"/>
        <v>1461.4147727272727</v>
      </c>
      <c r="Z24" s="241">
        <f t="shared" si="19"/>
        <v>1383.5625</v>
      </c>
      <c r="AA24" s="310">
        <f t="shared" si="20"/>
        <v>31.294034090909093</v>
      </c>
      <c r="AB24" s="143">
        <f t="shared" si="4"/>
        <v>0.40593145321676194</v>
      </c>
      <c r="AC24" s="144">
        <v>37.5</v>
      </c>
      <c r="AD24" s="145">
        <f t="shared" si="21"/>
        <v>15.222429495628573</v>
      </c>
      <c r="AE24" s="145">
        <f t="shared" si="22"/>
        <v>2.2833644243442857</v>
      </c>
      <c r="AF24" s="145">
        <f t="shared" si="5"/>
        <v>1105.7572785624595</v>
      </c>
      <c r="AG24" s="145">
        <f t="shared" si="6"/>
        <v>1129.677334650687</v>
      </c>
      <c r="AH24" s="241">
        <f t="shared" si="23"/>
        <v>1123.2630724824323</v>
      </c>
      <c r="AI24" s="310">
        <f t="shared" si="24"/>
        <v>23.92005608822749</v>
      </c>
    </row>
    <row r="25" spans="2:48" ht="15" customHeight="1">
      <c r="B25" s="79">
        <v>23</v>
      </c>
      <c r="C25" s="96" t="s">
        <v>110</v>
      </c>
      <c r="D25" s="80">
        <f t="shared" si="7"/>
        <v>4944</v>
      </c>
      <c r="E25" s="80">
        <f>4</f>
        <v>4</v>
      </c>
      <c r="F25" s="103">
        <f>1/2</f>
        <v>0.5</v>
      </c>
      <c r="G25" s="104">
        <f t="shared" si="0"/>
        <v>1.011326860841424E-4</v>
      </c>
      <c r="H25" s="80">
        <f t="shared" si="8"/>
        <v>9888</v>
      </c>
      <c r="I25" s="93">
        <f t="shared" si="9"/>
        <v>0.60653065971263342</v>
      </c>
      <c r="J25" s="104">
        <f t="shared" si="10"/>
        <v>6.1340074809125548E-5</v>
      </c>
      <c r="K25" s="104">
        <f t="shared" si="11"/>
        <v>0.99959563283461383</v>
      </c>
      <c r="L25" s="93"/>
      <c r="M25" s="93">
        <f t="shared" si="12"/>
        <v>0.40593145321676194</v>
      </c>
      <c r="N25" s="104">
        <f t="shared" si="13"/>
        <v>8.2105876459701041E-5</v>
      </c>
      <c r="O25" s="80">
        <f>'MTTF OREDA'!K25</f>
        <v>12169.542322610085</v>
      </c>
      <c r="P25" s="93">
        <f t="shared" si="14"/>
        <v>0.66635584240892087</v>
      </c>
      <c r="Q25" s="104">
        <f t="shared" si="15"/>
        <v>5.4711730475026873E-5</v>
      </c>
      <c r="R25" s="104">
        <f t="shared" si="1"/>
        <v>0.99967141856544328</v>
      </c>
      <c r="S25" s="93"/>
      <c r="T25" s="143">
        <f t="shared" si="16"/>
        <v>0.5</v>
      </c>
      <c r="U25" s="144">
        <v>43.75</v>
      </c>
      <c r="V25" s="145">
        <f t="shared" si="17"/>
        <v>21.875</v>
      </c>
      <c r="W25" s="145">
        <f t="shared" si="18"/>
        <v>3.28125</v>
      </c>
      <c r="X25" s="145">
        <f t="shared" si="2"/>
        <v>1362</v>
      </c>
      <c r="Y25" s="145">
        <f t="shared" si="3"/>
        <v>1465.0085227272727</v>
      </c>
      <c r="Z25" s="241">
        <f t="shared" si="19"/>
        <v>1387.15625</v>
      </c>
      <c r="AA25" s="310">
        <f t="shared" si="20"/>
        <v>34.887784090909093</v>
      </c>
      <c r="AB25" s="143">
        <f t="shared" si="4"/>
        <v>0.40593145321676194</v>
      </c>
      <c r="AC25" s="144">
        <v>43.75</v>
      </c>
      <c r="AD25" s="145">
        <f t="shared" si="21"/>
        <v>17.759501078233335</v>
      </c>
      <c r="AE25" s="145">
        <f t="shared" si="22"/>
        <v>2.6639251617349999</v>
      </c>
      <c r="AF25" s="145">
        <f t="shared" si="5"/>
        <v>1105.7572785624595</v>
      </c>
      <c r="AG25" s="145">
        <f t="shared" si="6"/>
        <v>1132.5949669706827</v>
      </c>
      <c r="AH25" s="241">
        <f t="shared" si="23"/>
        <v>1126.180704802428</v>
      </c>
      <c r="AI25" s="310">
        <f t="shared" si="24"/>
        <v>26.837688408222967</v>
      </c>
    </row>
    <row r="26" spans="2:48" ht="15" customHeight="1">
      <c r="B26" s="79">
        <v>24</v>
      </c>
      <c r="C26" s="96" t="s">
        <v>113</v>
      </c>
      <c r="D26" s="80">
        <f t="shared" si="7"/>
        <v>4944</v>
      </c>
      <c r="E26" s="80">
        <f>24*3</f>
        <v>72</v>
      </c>
      <c r="F26" s="103">
        <f>1/5</f>
        <v>0.2</v>
      </c>
      <c r="G26" s="104">
        <f t="shared" si="0"/>
        <v>4.0453074433656958E-5</v>
      </c>
      <c r="H26" s="80">
        <f t="shared" si="8"/>
        <v>24720</v>
      </c>
      <c r="I26" s="93">
        <f t="shared" si="9"/>
        <v>0.81873075307798182</v>
      </c>
      <c r="J26" s="104">
        <f t="shared" si="10"/>
        <v>3.3120176095387615E-5</v>
      </c>
      <c r="K26" s="104">
        <f t="shared" si="11"/>
        <v>0.99709583736689256</v>
      </c>
      <c r="L26" s="93"/>
      <c r="M26" s="93">
        <f t="shared" si="12"/>
        <v>0.18649530754637142</v>
      </c>
      <c r="N26" s="104">
        <f t="shared" si="13"/>
        <v>3.7721542788505548E-5</v>
      </c>
      <c r="O26" s="80">
        <f>'MTTF OREDA'!K26</f>
        <v>26123.981692078734</v>
      </c>
      <c r="P26" s="93">
        <f t="shared" si="14"/>
        <v>0.82986245603330255</v>
      </c>
      <c r="Q26" s="104">
        <f t="shared" si="15"/>
        <v>3.1303692143834524E-5</v>
      </c>
      <c r="R26" s="104">
        <f t="shared" si="1"/>
        <v>0.99725148685602527</v>
      </c>
      <c r="S26" s="93"/>
      <c r="T26" s="143">
        <f t="shared" si="16"/>
        <v>0.2</v>
      </c>
      <c r="U26" s="144">
        <v>375</v>
      </c>
      <c r="V26" s="145">
        <f t="shared" si="17"/>
        <v>75</v>
      </c>
      <c r="W26" s="145">
        <f t="shared" si="18"/>
        <v>11.25</v>
      </c>
      <c r="X26" s="145">
        <f t="shared" si="2"/>
        <v>9806.4</v>
      </c>
      <c r="Y26" s="145">
        <f t="shared" si="3"/>
        <v>10453.186363636363</v>
      </c>
      <c r="Z26" s="241">
        <f t="shared" si="19"/>
        <v>9892.65</v>
      </c>
      <c r="AA26" s="310">
        <f t="shared" si="20"/>
        <v>87.80704545454546</v>
      </c>
      <c r="AB26" s="143">
        <f t="shared" si="4"/>
        <v>0.18649530754637142</v>
      </c>
      <c r="AC26" s="144">
        <v>375</v>
      </c>
      <c r="AD26" s="145">
        <f t="shared" si="21"/>
        <v>69.935740329889285</v>
      </c>
      <c r="AE26" s="145">
        <f t="shared" si="22"/>
        <v>10.490361049483392</v>
      </c>
      <c r="AF26" s="145">
        <f t="shared" si="5"/>
        <v>9144.2379196136826</v>
      </c>
      <c r="AG26" s="145">
        <f t="shared" si="6"/>
        <v>9226.0178914686057</v>
      </c>
      <c r="AH26" s="241">
        <f t="shared" si="23"/>
        <v>9224.6640209930556</v>
      </c>
      <c r="AI26" s="310">
        <f t="shared" si="24"/>
        <v>81.779971854923389</v>
      </c>
    </row>
    <row r="27" spans="2:48" ht="15" customHeight="1">
      <c r="B27" s="79">
        <v>25</v>
      </c>
      <c r="C27" s="96" t="s">
        <v>115</v>
      </c>
      <c r="D27" s="80">
        <f t="shared" si="7"/>
        <v>4944</v>
      </c>
      <c r="E27" s="80">
        <f>2</f>
        <v>2</v>
      </c>
      <c r="F27" s="103">
        <f>1/5</f>
        <v>0.2</v>
      </c>
      <c r="G27" s="104">
        <f t="shared" si="0"/>
        <v>4.0453074433656958E-5</v>
      </c>
      <c r="H27" s="80">
        <f t="shared" si="8"/>
        <v>24720</v>
      </c>
      <c r="I27" s="93">
        <f t="shared" si="9"/>
        <v>0.81873075307798182</v>
      </c>
      <c r="J27" s="104">
        <f t="shared" si="10"/>
        <v>3.3120176095387615E-5</v>
      </c>
      <c r="K27" s="104">
        <f t="shared" si="11"/>
        <v>0.99991910039640808</v>
      </c>
      <c r="L27" s="93"/>
      <c r="M27" s="93">
        <f t="shared" si="12"/>
        <v>0.18917483782721009</v>
      </c>
      <c r="N27" s="104">
        <f t="shared" si="13"/>
        <v>3.8263518977995571E-5</v>
      </c>
      <c r="O27" s="80">
        <f>'MTTF OREDA'!K27</f>
        <v>26123.981692078734</v>
      </c>
      <c r="P27" s="93">
        <f t="shared" si="14"/>
        <v>0.82764179095177093</v>
      </c>
      <c r="Q27" s="104">
        <f t="shared" si="15"/>
        <v>3.166848737506533E-5</v>
      </c>
      <c r="R27" s="104">
        <f t="shared" si="1"/>
        <v>0.99992344785265597</v>
      </c>
      <c r="S27" s="93"/>
      <c r="T27" s="143">
        <f t="shared" si="16"/>
        <v>0.2</v>
      </c>
      <c r="U27" s="144">
        <v>187.5</v>
      </c>
      <c r="V27" s="145">
        <f t="shared" si="17"/>
        <v>37.5</v>
      </c>
      <c r="W27" s="145">
        <f t="shared" si="18"/>
        <v>5.625</v>
      </c>
      <c r="X27" s="145">
        <f t="shared" si="2"/>
        <v>272.40000000000003</v>
      </c>
      <c r="Y27" s="145">
        <f t="shared" si="3"/>
        <v>331.09545454545457</v>
      </c>
      <c r="Z27" s="241">
        <f t="shared" si="19"/>
        <v>315.52500000000003</v>
      </c>
      <c r="AA27" s="310">
        <f t="shared" si="20"/>
        <v>44.682045454545452</v>
      </c>
      <c r="AB27" s="143">
        <f t="shared" si="4"/>
        <v>0.18917483782721009</v>
      </c>
      <c r="AC27" s="144">
        <v>187.5</v>
      </c>
      <c r="AD27" s="145">
        <f t="shared" si="21"/>
        <v>35.470282092601892</v>
      </c>
      <c r="AE27" s="145">
        <f t="shared" si="22"/>
        <v>5.3205423138902832</v>
      </c>
      <c r="AF27" s="145">
        <f t="shared" si="5"/>
        <v>257.65612912066013</v>
      </c>
      <c r="AG27" s="145">
        <f t="shared" si="6"/>
        <v>299.84000781179935</v>
      </c>
      <c r="AH27" s="241">
        <f t="shared" si="23"/>
        <v>298.44695352715229</v>
      </c>
      <c r="AI27" s="310">
        <f t="shared" si="24"/>
        <v>42.183878691139242</v>
      </c>
    </row>
    <row r="28" spans="2:48" ht="15" customHeight="1">
      <c r="B28" s="79">
        <v>26</v>
      </c>
      <c r="C28" s="97" t="s">
        <v>42</v>
      </c>
      <c r="D28" s="80">
        <f t="shared" si="7"/>
        <v>4944</v>
      </c>
      <c r="E28" s="80">
        <f>36</f>
        <v>36</v>
      </c>
      <c r="F28" s="103">
        <f>1/30</f>
        <v>3.3333333333333333E-2</v>
      </c>
      <c r="G28" s="104">
        <f t="shared" si="0"/>
        <v>6.7421790722761597E-6</v>
      </c>
      <c r="H28" s="80">
        <f t="shared" si="8"/>
        <v>148320</v>
      </c>
      <c r="I28" s="93">
        <f t="shared" si="9"/>
        <v>0.9672161004820059</v>
      </c>
      <c r="J28" s="104">
        <f t="shared" si="10"/>
        <v>6.5211441510383357E-6</v>
      </c>
      <c r="K28" s="104">
        <f t="shared" si="11"/>
        <v>0.99975734045134679</v>
      </c>
      <c r="L28" s="93"/>
      <c r="M28" s="93">
        <f t="shared" si="12"/>
        <v>3.2589307681101701E-2</v>
      </c>
      <c r="N28" s="104">
        <f t="shared" si="13"/>
        <v>6.5916884468247777E-6</v>
      </c>
      <c r="O28" s="80">
        <f>'MTTF OREDA'!K28</f>
        <v>150601.5423226101</v>
      </c>
      <c r="P28" s="93">
        <f t="shared" si="14"/>
        <v>0.96793600185134898</v>
      </c>
      <c r="Q28" s="104">
        <f t="shared" si="15"/>
        <v>6.3803325606693035E-6</v>
      </c>
      <c r="R28" s="104">
        <f t="shared" si="1"/>
        <v>0.99976101575049003</v>
      </c>
      <c r="S28" s="93"/>
      <c r="T28" s="143">
        <f t="shared" si="16"/>
        <v>3.3333333333333333E-2</v>
      </c>
      <c r="U28" s="144">
        <v>3125</v>
      </c>
      <c r="V28" s="145">
        <f t="shared" si="17"/>
        <v>104.16666666666667</v>
      </c>
      <c r="W28" s="145">
        <f t="shared" si="18"/>
        <v>15.625</v>
      </c>
      <c r="X28" s="145">
        <f t="shared" si="2"/>
        <v>817.2</v>
      </c>
      <c r="Y28" s="145">
        <f t="shared" si="3"/>
        <v>983.70303030303035</v>
      </c>
      <c r="Z28" s="241">
        <f t="shared" si="19"/>
        <v>936.99166666666667</v>
      </c>
      <c r="AA28" s="310">
        <f t="shared" si="20"/>
        <v>119.83491792929293</v>
      </c>
      <c r="AB28" s="143">
        <f t="shared" si="4"/>
        <v>3.2589307681101701E-2</v>
      </c>
      <c r="AC28" s="144">
        <v>3125</v>
      </c>
      <c r="AD28" s="145">
        <f t="shared" si="21"/>
        <v>101.84158650344281</v>
      </c>
      <c r="AE28" s="145">
        <f t="shared" si="22"/>
        <v>15.276237975516421</v>
      </c>
      <c r="AF28" s="145">
        <f t="shared" si="5"/>
        <v>798.95946710988926</v>
      </c>
      <c r="AG28" s="145">
        <f t="shared" si="6"/>
        <v>916.11863359704535</v>
      </c>
      <c r="AH28" s="241">
        <f t="shared" si="23"/>
        <v>916.07729158884854</v>
      </c>
      <c r="AI28" s="310">
        <f t="shared" si="24"/>
        <v>117.15916648715606</v>
      </c>
    </row>
    <row r="29" spans="2:48" ht="15" customHeight="1">
      <c r="B29" s="79">
        <v>27</v>
      </c>
      <c r="C29" s="96" t="s">
        <v>43</v>
      </c>
      <c r="D29" s="80">
        <f t="shared" si="7"/>
        <v>4944</v>
      </c>
      <c r="E29" s="80">
        <v>8</v>
      </c>
      <c r="F29" s="103">
        <f t="shared" ref="F29" si="29">1/5</f>
        <v>0.2</v>
      </c>
      <c r="G29" s="104">
        <f t="shared" si="0"/>
        <v>4.0453074433656958E-5</v>
      </c>
      <c r="H29" s="80">
        <f t="shared" si="8"/>
        <v>24720</v>
      </c>
      <c r="I29" s="93">
        <f t="shared" si="9"/>
        <v>0.81873075307798182</v>
      </c>
      <c r="J29" s="104">
        <f t="shared" si="10"/>
        <v>3.3120176095387615E-5</v>
      </c>
      <c r="K29" s="104">
        <f t="shared" si="11"/>
        <v>0.99967648010352639</v>
      </c>
      <c r="L29" s="93"/>
      <c r="M29" s="93">
        <f t="shared" si="12"/>
        <v>0.18894516380313819</v>
      </c>
      <c r="N29" s="104">
        <f t="shared" si="13"/>
        <v>3.8217063876039281E-5</v>
      </c>
      <c r="O29" s="80">
        <f>'MTTF OREDA'!K29</f>
        <v>26123.981692078734</v>
      </c>
      <c r="P29" s="93">
        <f t="shared" si="14"/>
        <v>0.82783190060317757</v>
      </c>
      <c r="Q29" s="104">
        <f t="shared" si="15"/>
        <v>3.1637304623974641E-5</v>
      </c>
      <c r="R29" s="104">
        <f t="shared" si="1"/>
        <v>0.99969386171725261</v>
      </c>
      <c r="S29" s="93"/>
      <c r="T29" s="143">
        <f t="shared" si="16"/>
        <v>0.2</v>
      </c>
      <c r="U29" s="144">
        <v>250</v>
      </c>
      <c r="V29" s="145">
        <f t="shared" si="17"/>
        <v>50</v>
      </c>
      <c r="W29" s="145">
        <f t="shared" si="18"/>
        <v>7.5</v>
      </c>
      <c r="X29" s="145">
        <f t="shared" si="2"/>
        <v>1089.6000000000001</v>
      </c>
      <c r="Y29" s="145">
        <f t="shared" si="3"/>
        <v>1209.3818181818183</v>
      </c>
      <c r="Z29" s="241">
        <f t="shared" si="19"/>
        <v>1147.1000000000001</v>
      </c>
      <c r="AA29" s="310">
        <f t="shared" si="20"/>
        <v>59.057045454545452</v>
      </c>
      <c r="AB29" s="143">
        <f t="shared" si="4"/>
        <v>0.18894516380313819</v>
      </c>
      <c r="AC29" s="144">
        <v>250</v>
      </c>
      <c r="AD29" s="145">
        <f t="shared" si="21"/>
        <v>47.23629095078455</v>
      </c>
      <c r="AE29" s="145">
        <f t="shared" si="22"/>
        <v>7.0854436426176823</v>
      </c>
      <c r="AF29" s="145">
        <f t="shared" si="5"/>
        <v>1029.3732523994968</v>
      </c>
      <c r="AG29" s="145">
        <f t="shared" si="6"/>
        <v>1085.084660762833</v>
      </c>
      <c r="AH29" s="241">
        <f t="shared" si="23"/>
        <v>1083.694986992899</v>
      </c>
      <c r="AI29" s="310">
        <f t="shared" si="24"/>
        <v>55.711408363336318</v>
      </c>
    </row>
    <row r="30" spans="2:48" ht="15" customHeight="1">
      <c r="B30" s="79">
        <v>28</v>
      </c>
      <c r="C30" s="96" t="s">
        <v>49</v>
      </c>
      <c r="D30" s="80">
        <f t="shared" si="7"/>
        <v>4944</v>
      </c>
      <c r="E30" s="80">
        <v>10</v>
      </c>
      <c r="F30" s="103">
        <v>1</v>
      </c>
      <c r="G30" s="104">
        <f t="shared" si="0"/>
        <v>2.022653721682848E-4</v>
      </c>
      <c r="H30" s="80">
        <f t="shared" si="8"/>
        <v>4944</v>
      </c>
      <c r="I30" s="93">
        <f t="shared" si="9"/>
        <v>0.36787944117144233</v>
      </c>
      <c r="J30" s="104">
        <f t="shared" si="10"/>
        <v>7.4409272081602418E-5</v>
      </c>
      <c r="K30" s="104">
        <f t="shared" si="11"/>
        <v>0.99798142914816312</v>
      </c>
      <c r="L30" s="93"/>
      <c r="M30" s="93">
        <f t="shared" si="12"/>
        <v>0.35068135481633395</v>
      </c>
      <c r="N30" s="104">
        <f t="shared" si="13"/>
        <v>7.093069474440411E-5</v>
      </c>
      <c r="O30" s="80">
        <f>'MTTF OREDA'!K30</f>
        <v>14069.752874612155</v>
      </c>
      <c r="P30" s="93">
        <f t="shared" si="14"/>
        <v>0.70420811063137079</v>
      </c>
      <c r="Q30" s="104">
        <f t="shared" si="15"/>
        <v>4.9949970531727317E-5</v>
      </c>
      <c r="R30" s="104">
        <f t="shared" si="1"/>
        <v>0.99928976026148641</v>
      </c>
      <c r="S30" s="93"/>
      <c r="T30" s="143">
        <f t="shared" si="16"/>
        <v>1</v>
      </c>
      <c r="U30" s="144">
        <v>450</v>
      </c>
      <c r="V30" s="145">
        <f t="shared" si="17"/>
        <v>450</v>
      </c>
      <c r="W30" s="145">
        <f t="shared" si="18"/>
        <v>67.5</v>
      </c>
      <c r="X30" s="145">
        <f t="shared" si="2"/>
        <v>6810</v>
      </c>
      <c r="Y30" s="145">
        <f t="shared" si="3"/>
        <v>7716.761363636364</v>
      </c>
      <c r="Z30" s="241">
        <f t="shared" si="19"/>
        <v>7327.5</v>
      </c>
      <c r="AA30" s="310">
        <f t="shared" si="20"/>
        <v>556.42613636363637</v>
      </c>
      <c r="AB30" s="143">
        <f t="shared" si="4"/>
        <v>0.35068135481633395</v>
      </c>
      <c r="AC30" s="144">
        <v>450</v>
      </c>
      <c r="AD30" s="145">
        <f t="shared" si="21"/>
        <v>157.80660966735027</v>
      </c>
      <c r="AE30" s="145">
        <f t="shared" si="22"/>
        <v>23.670991450102541</v>
      </c>
      <c r="AF30" s="145">
        <f t="shared" si="5"/>
        <v>2388.1400262992343</v>
      </c>
      <c r="AG30" s="145">
        <f t="shared" si="6"/>
        <v>2574.4046629498175</v>
      </c>
      <c r="AH30" s="241">
        <f t="shared" si="23"/>
        <v>2569.6176274166869</v>
      </c>
      <c r="AI30" s="310">
        <f t="shared" si="24"/>
        <v>186.26463665058338</v>
      </c>
    </row>
    <row r="31" spans="2:48" ht="15" customHeight="1">
      <c r="B31" s="79">
        <v>29</v>
      </c>
      <c r="C31" s="96" t="s">
        <v>44</v>
      </c>
      <c r="D31" s="80">
        <f t="shared" si="7"/>
        <v>4944</v>
      </c>
      <c r="E31" s="80">
        <v>5</v>
      </c>
      <c r="F31" s="103">
        <f>1/2</f>
        <v>0.5</v>
      </c>
      <c r="G31" s="104">
        <f t="shared" si="0"/>
        <v>1.011326860841424E-4</v>
      </c>
      <c r="H31" s="80">
        <f t="shared" si="8"/>
        <v>9888</v>
      </c>
      <c r="I31" s="93">
        <f t="shared" si="9"/>
        <v>0.60653065971263342</v>
      </c>
      <c r="J31" s="104">
        <f t="shared" si="10"/>
        <v>6.1340074809125548E-5</v>
      </c>
      <c r="K31" s="104">
        <f t="shared" si="11"/>
        <v>0.99949459213585368</v>
      </c>
      <c r="L31" s="93"/>
      <c r="M31" s="93">
        <f t="shared" si="12"/>
        <v>0.40584928085781119</v>
      </c>
      <c r="N31" s="104">
        <f t="shared" si="13"/>
        <v>8.2089255836935925E-5</v>
      </c>
      <c r="O31" s="80">
        <f>'MTTF OREDA'!K31</f>
        <v>12169.542322610085</v>
      </c>
      <c r="P31" s="93">
        <f t="shared" si="14"/>
        <v>0.66641060069017</v>
      </c>
      <c r="Q31" s="104">
        <f t="shared" si="15"/>
        <v>5.4705150292501513E-5</v>
      </c>
      <c r="R31" s="104">
        <f t="shared" si="1"/>
        <v>0.99958930694333259</v>
      </c>
      <c r="S31" s="93"/>
      <c r="T31" s="143">
        <f t="shared" si="16"/>
        <v>0.5</v>
      </c>
      <c r="U31" s="144">
        <v>37.5</v>
      </c>
      <c r="V31" s="145">
        <f t="shared" si="17"/>
        <v>18.75</v>
      </c>
      <c r="W31" s="145">
        <f t="shared" si="18"/>
        <v>2.8125</v>
      </c>
      <c r="X31" s="145">
        <f t="shared" si="2"/>
        <v>1702.5</v>
      </c>
      <c r="Y31" s="145">
        <f t="shared" si="3"/>
        <v>1821.377840909091</v>
      </c>
      <c r="Z31" s="241">
        <f t="shared" si="19"/>
        <v>1724.0625</v>
      </c>
      <c r="AA31" s="310">
        <f t="shared" si="20"/>
        <v>31.294034090909093</v>
      </c>
      <c r="AB31" s="143">
        <f t="shared" si="4"/>
        <v>0.40584928085781119</v>
      </c>
      <c r="AC31" s="144">
        <v>37.5</v>
      </c>
      <c r="AD31" s="145">
        <f t="shared" si="21"/>
        <v>15.21934803216792</v>
      </c>
      <c r="AE31" s="145">
        <f t="shared" si="22"/>
        <v>2.2829022048251879</v>
      </c>
      <c r="AF31" s="145">
        <f t="shared" si="5"/>
        <v>1381.9168013208471</v>
      </c>
      <c r="AG31" s="145">
        <f t="shared" si="6"/>
        <v>1405.8307171216611</v>
      </c>
      <c r="AH31" s="241">
        <f t="shared" si="23"/>
        <v>1399.4190515578402</v>
      </c>
      <c r="AI31" s="310">
        <f t="shared" si="24"/>
        <v>23.91391580081396</v>
      </c>
    </row>
    <row r="32" spans="2:48" ht="15" customHeight="1">
      <c r="B32" s="79">
        <v>30</v>
      </c>
      <c r="C32" s="96" t="s">
        <v>45</v>
      </c>
      <c r="D32" s="80">
        <f t="shared" si="7"/>
        <v>4944</v>
      </c>
      <c r="E32" s="80">
        <v>48</v>
      </c>
      <c r="F32" s="103">
        <f>1/5</f>
        <v>0.2</v>
      </c>
      <c r="G32" s="104">
        <f t="shared" si="0"/>
        <v>4.0453074433656958E-5</v>
      </c>
      <c r="H32" s="80">
        <f t="shared" si="8"/>
        <v>24720</v>
      </c>
      <c r="I32" s="93">
        <f t="shared" si="9"/>
        <v>0.81873075307798182</v>
      </c>
      <c r="J32" s="104">
        <f t="shared" si="10"/>
        <v>3.3120176095387615E-5</v>
      </c>
      <c r="K32" s="104">
        <f t="shared" si="11"/>
        <v>0.99806201550387597</v>
      </c>
      <c r="L32" s="93"/>
      <c r="M32" s="93">
        <f t="shared" si="12"/>
        <v>0.14465625918082356</v>
      </c>
      <c r="N32" s="104">
        <f t="shared" si="13"/>
        <v>2.9258952099681142E-5</v>
      </c>
      <c r="O32" s="80">
        <f>'MTTF OREDA'!K32</f>
        <v>33845.752874612153</v>
      </c>
      <c r="P32" s="93">
        <f t="shared" si="14"/>
        <v>0.86531968769278145</v>
      </c>
      <c r="Q32" s="104">
        <f t="shared" si="15"/>
        <v>2.5318347293114138E-5</v>
      </c>
      <c r="R32" s="104">
        <f t="shared" si="1"/>
        <v>0.99858380981953898</v>
      </c>
      <c r="S32" s="93"/>
      <c r="T32" s="143">
        <f t="shared" si="16"/>
        <v>0.2</v>
      </c>
      <c r="U32" s="144">
        <v>75</v>
      </c>
      <c r="V32" s="145">
        <f t="shared" si="17"/>
        <v>15</v>
      </c>
      <c r="W32" s="145">
        <f t="shared" si="18"/>
        <v>2.25</v>
      </c>
      <c r="X32" s="145">
        <f t="shared" si="2"/>
        <v>6537.6</v>
      </c>
      <c r="Y32" s="145">
        <f t="shared" si="3"/>
        <v>6928.5409090909097</v>
      </c>
      <c r="Z32" s="241">
        <f t="shared" si="19"/>
        <v>6554.85</v>
      </c>
      <c r="AA32" s="310">
        <f t="shared" si="20"/>
        <v>18.807045454545456</v>
      </c>
      <c r="AB32" s="143">
        <f t="shared" si="4"/>
        <v>0.14465625918082356</v>
      </c>
      <c r="AC32" s="144">
        <v>75</v>
      </c>
      <c r="AD32" s="145">
        <f t="shared" si="21"/>
        <v>10.849219438561766</v>
      </c>
      <c r="AE32" s="145">
        <f t="shared" si="22"/>
        <v>1.627382915784265</v>
      </c>
      <c r="AF32" s="145">
        <f t="shared" si="5"/>
        <v>4728.5238001027601</v>
      </c>
      <c r="AG32" s="145">
        <f t="shared" si="6"/>
        <v>4741.8149487279961</v>
      </c>
      <c r="AH32" s="241">
        <f t="shared" si="23"/>
        <v>4741.0004024571062</v>
      </c>
      <c r="AI32" s="310">
        <f t="shared" si="24"/>
        <v>13.291148625235913</v>
      </c>
    </row>
    <row r="33" spans="2:50" ht="15" customHeight="1">
      <c r="B33" s="79">
        <v>31</v>
      </c>
      <c r="C33" s="96" t="s">
        <v>48</v>
      </c>
      <c r="D33" s="80">
        <f t="shared" si="7"/>
        <v>4944</v>
      </c>
      <c r="E33" s="80">
        <v>2</v>
      </c>
      <c r="F33" s="103">
        <v>1</v>
      </c>
      <c r="G33" s="104">
        <f t="shared" si="0"/>
        <v>2.022653721682848E-4</v>
      </c>
      <c r="H33" s="80">
        <f t="shared" si="8"/>
        <v>4944</v>
      </c>
      <c r="I33" s="93">
        <f t="shared" si="9"/>
        <v>0.36787944117144233</v>
      </c>
      <c r="J33" s="104">
        <f t="shared" si="10"/>
        <v>7.4409272081602418E-5</v>
      </c>
      <c r="K33" s="104">
        <f t="shared" si="11"/>
        <v>0.99959563283461383</v>
      </c>
      <c r="L33" s="93"/>
      <c r="M33" s="93">
        <f t="shared" si="12"/>
        <v>0.68396250126935787</v>
      </c>
      <c r="N33" s="104">
        <f t="shared" si="13"/>
        <v>1.3834192986839764E-4</v>
      </c>
      <c r="O33" s="80">
        <f>'MTTF OREDA'!K33</f>
        <v>7225.5423226100856</v>
      </c>
      <c r="P33" s="93">
        <f t="shared" si="14"/>
        <v>0.50461349394426103</v>
      </c>
      <c r="Q33" s="104">
        <f t="shared" si="15"/>
        <v>6.9809204589884051E-5</v>
      </c>
      <c r="R33" s="104">
        <f t="shared" si="1"/>
        <v>0.99972328076257078</v>
      </c>
      <c r="S33" s="93"/>
      <c r="T33" s="143">
        <f t="shared" si="16"/>
        <v>1</v>
      </c>
      <c r="U33" s="144">
        <v>25</v>
      </c>
      <c r="V33" s="145">
        <f t="shared" si="17"/>
        <v>25</v>
      </c>
      <c r="W33" s="145">
        <f t="shared" si="18"/>
        <v>3.75</v>
      </c>
      <c r="X33" s="145">
        <f t="shared" si="2"/>
        <v>1362</v>
      </c>
      <c r="Y33" s="145">
        <f t="shared" si="3"/>
        <v>1468.6022727272727</v>
      </c>
      <c r="Z33" s="241">
        <f t="shared" si="19"/>
        <v>1390.75</v>
      </c>
      <c r="AA33" s="310">
        <f t="shared" si="20"/>
        <v>67.676136363636374</v>
      </c>
      <c r="AB33" s="143">
        <f t="shared" si="4"/>
        <v>0.68396250126935787</v>
      </c>
      <c r="AC33" s="144">
        <v>25</v>
      </c>
      <c r="AD33" s="145">
        <f t="shared" si="21"/>
        <v>17.099062531733946</v>
      </c>
      <c r="AE33" s="145">
        <f t="shared" si="22"/>
        <v>2.5648593797600916</v>
      </c>
      <c r="AF33" s="145">
        <f t="shared" si="5"/>
        <v>931.55692672886539</v>
      </c>
      <c r="AG33" s="145">
        <f t="shared" si="6"/>
        <v>969.4306783064402</v>
      </c>
      <c r="AH33" s="241">
        <f t="shared" si="23"/>
        <v>951.22084864035946</v>
      </c>
      <c r="AI33" s="310">
        <f t="shared" si="24"/>
        <v>37.87375157757473</v>
      </c>
    </row>
    <row r="34" spans="2:50" ht="15" customHeight="1">
      <c r="B34" s="99"/>
      <c r="C34" s="99"/>
      <c r="D34" s="99"/>
      <c r="E34" s="100">
        <f>SUM(E3:E33)</f>
        <v>1062</v>
      </c>
      <c r="F34" s="100"/>
      <c r="G34" s="100"/>
      <c r="H34" s="100"/>
      <c r="I34" s="99"/>
      <c r="J34" s="99"/>
      <c r="K34" s="253"/>
      <c r="L34" s="99"/>
      <c r="M34" s="99"/>
      <c r="N34" s="99"/>
      <c r="O34" s="100"/>
      <c r="P34" s="99"/>
      <c r="Q34" s="99"/>
      <c r="R34" s="253"/>
      <c r="S34" s="99"/>
      <c r="T34" s="146"/>
      <c r="U34" s="147" t="s">
        <v>351</v>
      </c>
      <c r="V34" s="147"/>
      <c r="W34" s="147"/>
      <c r="X34" s="147">
        <f>SUM(X3:X33)</f>
        <v>83182.5285714286</v>
      </c>
      <c r="Y34" s="147">
        <f>SUM(Y3:Y33)</f>
        <v>94503.592316017326</v>
      </c>
      <c r="Z34" s="242">
        <f>SUM(Z3:Z33)</f>
        <v>89748.857440476218</v>
      </c>
      <c r="AA34" s="147">
        <f>SUM(AA3:AA33)</f>
        <v>7007.8320205241134</v>
      </c>
      <c r="AB34" s="146"/>
      <c r="AC34" s="147" t="s">
        <v>351</v>
      </c>
      <c r="AD34" s="147"/>
      <c r="AE34" s="147"/>
      <c r="AF34" s="147">
        <f>SUM(AF3:AF33)</f>
        <v>62185.025500890588</v>
      </c>
      <c r="AG34" s="147">
        <f>SUM(AG3:AG33)</f>
        <v>67630.150630824239</v>
      </c>
      <c r="AH34" s="242">
        <f>SUM(AH3:AH33)</f>
        <v>67431.713027718564</v>
      </c>
      <c r="AI34" s="147">
        <f>SUM(AI3:AI33)</f>
        <v>5445.1251299336518</v>
      </c>
    </row>
    <row r="35" spans="2:50">
      <c r="H35" s="66"/>
      <c r="X35" s="244"/>
      <c r="AF35" s="244"/>
    </row>
    <row r="36" spans="2:50">
      <c r="O36">
        <v>1.337</v>
      </c>
      <c r="X36" s="244"/>
      <c r="AF36" s="244"/>
    </row>
    <row r="37" spans="2:50">
      <c r="K37" s="212"/>
      <c r="X37" s="244"/>
      <c r="AF37" s="244"/>
      <c r="AH37" t="s">
        <v>602</v>
      </c>
      <c r="AI37" s="66">
        <f>Y34-AG34</f>
        <v>26873.441685193087</v>
      </c>
    </row>
    <row r="38" spans="2:50">
      <c r="X38" s="244"/>
      <c r="AF38" s="244"/>
      <c r="AS38" s="311"/>
      <c r="AT38" s="311"/>
    </row>
    <row r="39" spans="2:50">
      <c r="X39" s="244"/>
      <c r="AF39" s="244"/>
    </row>
    <row r="40" spans="2:50">
      <c r="X40" s="244"/>
      <c r="AF40" s="244"/>
    </row>
    <row r="41" spans="2:50">
      <c r="X41" s="244"/>
      <c r="AF41" s="244"/>
    </row>
    <row r="42" spans="2:50">
      <c r="X42" s="244"/>
      <c r="AF42" s="244"/>
    </row>
    <row r="43" spans="2:50">
      <c r="X43" s="244"/>
      <c r="AF43" s="244"/>
    </row>
    <row r="44" spans="2:50">
      <c r="X44" s="244"/>
      <c r="AF44" s="244"/>
    </row>
    <row r="45" spans="2:50">
      <c r="X45" s="244"/>
      <c r="AF45" s="244"/>
    </row>
    <row r="46" spans="2:50">
      <c r="X46" s="244"/>
      <c r="AF46" s="244"/>
      <c r="AS46" s="300"/>
      <c r="AT46" s="300"/>
      <c r="AU46" s="300"/>
      <c r="AV46" s="300"/>
      <c r="AW46" s="300"/>
      <c r="AX46" s="300"/>
    </row>
    <row r="47" spans="2:50">
      <c r="X47" s="244"/>
      <c r="AF47" s="244"/>
    </row>
    <row r="48" spans="2:50">
      <c r="X48" s="244"/>
      <c r="AF48" s="244"/>
    </row>
    <row r="49" spans="4:53">
      <c r="X49" s="244"/>
      <c r="AF49" s="244"/>
    </row>
    <row r="50" spans="4:53">
      <c r="X50" s="244"/>
      <c r="AF50" s="244"/>
    </row>
    <row r="51" spans="4:53">
      <c r="X51" s="66"/>
      <c r="AF51" s="66"/>
      <c r="AS51" s="300"/>
      <c r="AT51" s="300"/>
      <c r="AU51" s="300"/>
      <c r="AV51" s="300"/>
      <c r="AW51" s="300"/>
      <c r="AX51" s="300"/>
      <c r="AY51" s="300"/>
      <c r="AZ51" s="300"/>
      <c r="BA51" s="300"/>
    </row>
    <row r="53" spans="4:53">
      <c r="T53" s="232"/>
      <c r="U53" s="233"/>
      <c r="V53" s="234"/>
      <c r="W53" s="234"/>
      <c r="X53" s="234"/>
      <c r="Y53" s="234"/>
      <c r="Z53" s="234"/>
      <c r="AB53" s="232"/>
      <c r="AC53" s="233"/>
      <c r="AD53" s="234"/>
      <c r="AE53" s="234"/>
      <c r="AF53" s="234"/>
      <c r="AG53" s="234"/>
    </row>
    <row r="54" spans="4:53">
      <c r="D54" s="80">
        <v>7200</v>
      </c>
      <c r="E54" s="249">
        <v>34.005000000000003</v>
      </c>
      <c r="F54" s="104">
        <f>(D54-E54)/H54</f>
        <v>7.4868827966650647E-2</v>
      </c>
      <c r="G54" s="104">
        <f t="shared" ref="G54" si="30">F54/(206*24)</f>
        <v>1.5143371352477882E-5</v>
      </c>
      <c r="H54" s="80">
        <v>95714</v>
      </c>
      <c r="I54" s="93">
        <f>EXP(-(D54*3*G54))</f>
        <v>0.72101393020329174</v>
      </c>
      <c r="J54" s="93"/>
      <c r="K54" s="104">
        <f t="shared" ref="K54" si="31">H54/(H54+E54)</f>
        <v>0.99964484899711481</v>
      </c>
      <c r="L54" s="93"/>
      <c r="M54" s="93"/>
      <c r="N54" s="104"/>
      <c r="O54" s="80"/>
      <c r="P54" s="93"/>
      <c r="Q54" s="93"/>
      <c r="R54" s="104"/>
      <c r="S54" s="93"/>
      <c r="T54" s="248">
        <f t="shared" ref="T54" si="32">F54</f>
        <v>7.4868827966650647E-2</v>
      </c>
      <c r="U54" s="144">
        <v>200000</v>
      </c>
      <c r="V54" s="145">
        <f t="shared" ref="V54" si="33">T54*U54</f>
        <v>14973.76559333013</v>
      </c>
      <c r="W54" s="145">
        <f t="shared" ref="W54" si="34">V54*0.15</f>
        <v>2246.0648389995195</v>
      </c>
      <c r="X54" s="145">
        <f>25000*E54*T54</f>
        <v>63647.862375148892</v>
      </c>
      <c r="Y54" s="145">
        <f>(T54*E54*500*4)+(V54+W54+X54)</f>
        <v>85959.521797490452</v>
      </c>
      <c r="Z54" s="241">
        <f t="shared" ref="Z54:Z55" si="35">V54+W54+X54</f>
        <v>80867.692807478539</v>
      </c>
    </row>
    <row r="55" spans="4:53">
      <c r="D55" s="80">
        <v>7200</v>
      </c>
      <c r="E55" s="249">
        <v>34.01</v>
      </c>
      <c r="F55" s="104">
        <f>(D55-E55)/H55</f>
        <v>5.5984296874999999E-2</v>
      </c>
      <c r="G55" s="104">
        <f t="shared" ref="G55" si="36">F55/(206*24)</f>
        <v>1.1323684643001619E-5</v>
      </c>
      <c r="H55" s="80">
        <v>128000</v>
      </c>
      <c r="I55" s="93">
        <f>EXP(-(D55*3*G55))</f>
        <v>0.78302426922816348</v>
      </c>
      <c r="J55" s="93"/>
      <c r="K55" s="104">
        <f t="shared" ref="K55" si="37">H55/(H55+E55)</f>
        <v>0.99973436745439748</v>
      </c>
      <c r="L55" s="93"/>
      <c r="M55" s="93"/>
      <c r="N55" s="104"/>
      <c r="O55" s="80"/>
      <c r="P55" s="93"/>
      <c r="Q55" s="93"/>
      <c r="R55" s="104"/>
      <c r="S55" s="93"/>
      <c r="T55" s="143">
        <f t="shared" ref="T55" si="38">F55</f>
        <v>5.5984296874999999E-2</v>
      </c>
      <c r="U55" s="144">
        <v>200000</v>
      </c>
      <c r="V55" s="145">
        <f t="shared" ref="V55" si="39">T55*U55</f>
        <v>11196.859375</v>
      </c>
      <c r="W55" s="145">
        <f t="shared" ref="W55" si="40">V55*0.15</f>
        <v>1679.5289062499999</v>
      </c>
      <c r="X55" s="145">
        <f>25000*E55*T55</f>
        <v>47600.648417968747</v>
      </c>
      <c r="Y55" s="145">
        <f>(T55*E55*500*4)+(V55+W55+X55)</f>
        <v>64285.088572656248</v>
      </c>
      <c r="Z55" s="241">
        <f t="shared" si="35"/>
        <v>60477.036699218748</v>
      </c>
    </row>
    <row r="57" spans="4:53">
      <c r="H57" s="250"/>
      <c r="K57" s="251"/>
    </row>
    <row r="58" spans="4:53">
      <c r="H58" s="66"/>
    </row>
    <row r="59" spans="4:53">
      <c r="AS59" s="300"/>
      <c r="AT59" s="300"/>
      <c r="AU59" s="300"/>
    </row>
    <row r="90" spans="45:47" ht="15" thickBot="1">
      <c r="AS90" s="293"/>
      <c r="AT90" s="293"/>
      <c r="AU90" s="293"/>
    </row>
  </sheetData>
  <autoFilter ref="B2:H33" xr:uid="{63B4CEDD-6386-475C-B5C2-131E2349FA09}"/>
  <sortState xmlns:xlrd2="http://schemas.microsoft.com/office/spreadsheetml/2017/richdata2" ref="AY61:AY90">
    <sortCondition ref="AY60"/>
  </sortState>
  <phoneticPr fontId="28" type="noConversion"/>
  <pageMargins left="0.7" right="0.7" top="0.75" bottom="0.75" header="0.3" footer="0.3"/>
  <pageSetup paperSize="9" orientation="portrait" r:id="rId1"/>
  <ignoredErrors>
    <ignoredError sqref="F10 F28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q I 2 V t P 9 5 Z K j A A A A 9 g A A A B I A H A B D b 2 5 m a W c v U G F j a 2 F n Z S 5 4 b W w g o h g A K K A U A A A A A A A A A A A A A A A A A A A A A A A A A A A A h Y 9 N D o I w G E S v Q r q n f 8 T E k I + y c C u J C Q l x 2 5 S K j V A M L Z a 7 u f B I X k G M o u 5 c z p u 3 m L l f b 5 B P X R t d 9 O B M b z P E M E W R t q q v j W 0 y N P p D v E a 5 g J 1 U J 9 n o a J a t S y d X Z + j o / T k l J I S A Q 4 L 7 o S G c U k b 2 x b Z U R 9 1 J 9 J H N f z k 2 1 n l p l U Y C q t c Y w T F j H K 9 4 g i m Q B U J h 7 F f g 8 9 5 n + w N h M 7 Z + H L T Q L i 4 r I E s E 8 v 4 g H l B L A w Q U A A I A C A D y o j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q I 2 V i i K R 7 g O A A A A E Q A A A B M A H A B G b 3 J t d W x h c y 9 T Z W N 0 a W 9 u M S 5 t I K I Y A C i g F A A A A A A A A A A A A A A A A A A A A A A A A A A A A C t O T S 7 J z M 9 T C I b Q h t Y A U E s B A i 0 A F A A C A A g A 8 q I 2 V t P 9 5 Z K j A A A A 9 g A A A B I A A A A A A A A A A A A A A A A A A A A A A E N v b m Z p Z y 9 Q Y W N r Y W d l L n h t b F B L A Q I t A B Q A A g A I A P K i N l Y P y u m r p A A A A O k A A A A T A A A A A A A A A A A A A A A A A O 8 A A A B b Q 2 9 u d G V u d F 9 U e X B l c 1 0 u e G 1 s U E s B A i 0 A F A A C A A g A 8 q I 2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+ n f + b W I y J M p C 3 J 6 5 P n m B A A A A A A A g A A A A A A A 2 Y A A M A A A A A Q A A A A z C o W o F q D a A X N C H c 8 F p n 8 T A A A A A A E g A A A o A A A A B A A A A D J 9 6 H N X i 5 i B F r 6 c U s 2 C o Y 6 U A A A A D g v a Z w J l L l A u Z 7 q 3 E / a g 8 B k V z g d n J J t 3 Z D F j d 4 0 o W e 2 7 B F U l f K I p z T A 3 I m 7 O s C g Y O 5 H v W v p 2 2 a L C E A M b N t h y J 7 h F s a Z j G l t e J 0 5 U 6 v K B / 6 F F A A A A H x E 2 i O j d K z q A s 0 3 a 3 K t W F p n W t e R < / D a t a M a s h u p > 
</file>

<file path=customXml/itemProps1.xml><?xml version="1.0" encoding="utf-8"?>
<ds:datastoreItem xmlns:ds="http://schemas.openxmlformats.org/officeDocument/2006/customXml" ds:itemID="{7F270294-9FDC-4CD6-826C-78E4224D9E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5</vt:i4>
      </vt:variant>
    </vt:vector>
  </HeadingPairs>
  <TitlesOfParts>
    <vt:vector size="21" baseType="lpstr">
      <vt:lpstr>Matriz AMFEC</vt:lpstr>
      <vt:lpstr>Criticidad de componentes</vt:lpstr>
      <vt:lpstr>Tareas de Mantenimiento</vt:lpstr>
      <vt:lpstr>Plan de Mantenimiento</vt:lpstr>
      <vt:lpstr>Intervalos de mantenimiento</vt:lpstr>
      <vt:lpstr>Weibull</vt:lpstr>
      <vt:lpstr>Costos Plan de Mantenimiento</vt:lpstr>
      <vt:lpstr>MO</vt:lpstr>
      <vt:lpstr>CM</vt:lpstr>
      <vt:lpstr>CMI</vt:lpstr>
      <vt:lpstr>MTTF OREDA</vt:lpstr>
      <vt:lpstr>R(t) actual</vt:lpstr>
      <vt:lpstr>R(t) propuesto</vt:lpstr>
      <vt:lpstr>RDB</vt:lpstr>
      <vt:lpstr>Variable Indisponibilidad</vt:lpstr>
      <vt:lpstr>Confiabilidad</vt:lpstr>
      <vt:lpstr>Gráfico costos mensuales</vt:lpstr>
      <vt:lpstr>Grafica CM</vt:lpstr>
      <vt:lpstr>Grafica CMI</vt:lpstr>
      <vt:lpstr>Grafica R(t)</vt:lpstr>
      <vt:lpstr>Grafica R(t) ingles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MEJIA Erick</cp:lastModifiedBy>
  <cp:lastPrinted>2024-01-18T14:46:01Z</cp:lastPrinted>
  <dcterms:created xsi:type="dcterms:W3CDTF">2023-01-10T01:34:08Z</dcterms:created>
  <dcterms:modified xsi:type="dcterms:W3CDTF">2024-12-15T20:26:57Z</dcterms:modified>
</cp:coreProperties>
</file>