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1"/>
      <b val="true"/>
    </font>
    <font>
      <name val="Calibri"/>
      <charset val="1"/>
      <family val="2"/>
      <sz val="1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false" applyBorder="true" applyFont="true" applyProtection="false" borderId="1" fillId="0" fontId="4" numFmtId="164" xfId="0">
      <alignment horizontal="general" vertical="bottom" textRotation="0" wrapText="false" indent="0" shrinkToFit="false"/>
      <protection locked="true" hidden="false"/>
    </xf>
    <xf applyAlignment="true" applyBorder="true" applyFont="true" applyProtection="false" borderId="1" fillId="0" fontId="5" numFmtId="165" xfId="0">
      <alignment horizontal="general" vertical="distributed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1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24.5"/>
  </cols>
  <sheetData>
    <row collapsed="false" customFormat="false" customHeight="false" hidden="false" ht="12.1" outlineLevel="0" r="1">
      <c r="A1" s="2" t="inlineStr">
        <is>
          <t>№</t>
        </is>
      </c>
      <c r="B1" s="2" t="inlineStr">
        <is>
          <t>MP order number</t>
        </is>
      </c>
      <c r="C1" s="2" t="inlineStr">
        <is>
          <t>Sr name</t>
        </is>
      </c>
    </row>
    <row collapsed="false" customFormat="false" customHeight="false" hidden="false" ht="12.1" outlineLevel="0" r="2">
      <c r="A2" s="3" t="s">
        <f>=HYPERLINK("https://mp39851918.megaplan.ua/deals/78579/card/","12951")</f>
      </c>
      <c r="B2" s="3" t="inlineStr">
        <is>
          <t>113-3138223-2182627</t>
        </is>
      </c>
      <c r="C2" s="3" t="inlineStr">
        <is>
          <t>Autodist</t>
        </is>
      </c>
    </row>
    <row collapsed="false" customFormat="false" customHeight="false" hidden="false" ht="12.1" outlineLevel="0" r="3">
      <c r="A3" s="3" t="s">
        <f>=HYPERLINK("https://mp39851918.megaplan.ua/deals/78598/card/","12953")</f>
      </c>
      <c r="B3" s="3" t="inlineStr">
        <is>
          <t>114-0300497-0977854</t>
        </is>
      </c>
      <c r="C3" s="3" t="inlineStr">
        <is>
          <t>RockyMountain</t>
        </is>
      </c>
    </row>
    <row collapsed="false" customFormat="false" customHeight="false" hidden="false" ht="12.1" outlineLevel="0" r="4">
      <c r="A4" s="3" t="s">
        <f>=HYPERLINK("https://mp39851918.megaplan.ua/deals/78608/card/","12955")</f>
      </c>
      <c r="B4" s="3" t="inlineStr">
        <is>
          <t>112-2277994-2473808</t>
        </is>
      </c>
      <c r="C4" s="3" t="inlineStr">
        <is>
          <t>RockyMountain</t>
        </is>
      </c>
    </row>
    <row collapsed="false" customFormat="false" customHeight="false" hidden="false" ht="12.1" outlineLevel="0" r="5">
      <c r="A5" s="3" t="s">
        <f>=HYPERLINK("https://mp39851918.megaplan.ua/deals/78620/card/","12958")</f>
      </c>
      <c r="B5" s="3" t="inlineStr">
        <is>
          <t>113-2410021-1889051</t>
        </is>
      </c>
      <c r="C5" s="3" t="inlineStr">
        <is>
          <t>RockyMountain</t>
        </is>
      </c>
    </row>
    <row collapsed="false" customFormat="false" customHeight="false" hidden="false" ht="12.1" outlineLevel="0" r="6">
      <c r="A6" s="3" t="s">
        <f>=HYPERLINK("https://mp39851918.megaplan.ua/deals/78642/card/","12961")</f>
      </c>
      <c r="B6" s="3" t="inlineStr">
        <is>
          <t>111-0310609-0100209</t>
        </is>
      </c>
      <c r="C6" s="3" t="inlineStr">
        <is>
          <t>RockyMountain</t>
        </is>
      </c>
    </row>
    <row collapsed="false" customFormat="false" customHeight="false" hidden="false" ht="12.1" outlineLevel="0" r="7">
      <c r="A7" s="3" t="s">
        <f>=HYPERLINK("https://mp39851918.megaplan.ua/deals/78646/card/","12962")</f>
      </c>
      <c r="B7" s="3" t="inlineStr">
        <is>
          <t>112-3431463-6752250</t>
        </is>
      </c>
      <c r="C7" s="3" t="inlineStr">
        <is>
          <t>RockyMountain</t>
        </is>
      </c>
    </row>
    <row collapsed="false" customFormat="false" customHeight="false" hidden="false" ht="12.1" outlineLevel="0" r="8">
      <c r="A8" s="3" t="s">
        <f>=HYPERLINK("https://mp39851918.megaplan.ua/deals/78648/card/","12963")</f>
      </c>
      <c r="B8" s="3" t="inlineStr">
        <is>
          <t>114-3826583-2229834</t>
        </is>
      </c>
      <c r="C8" s="3" t="inlineStr">
        <is>
          <t>RockyMountain</t>
        </is>
      </c>
    </row>
    <row collapsed="false" customFormat="false" customHeight="false" hidden="false" ht="12.1" outlineLevel="0" r="9">
      <c r="A9" s="3" t="s">
        <f>=HYPERLINK("https://mp39851918.megaplan.ua/deals/78649/card/","12964")</f>
      </c>
      <c r="B9" s="3" t="inlineStr">
        <is>
          <t>112-0771909-4433809</t>
        </is>
      </c>
      <c r="C9" s="3" t="inlineStr">
        <is>
          <t>RockyMountain</t>
        </is>
      </c>
    </row>
    <row collapsed="false" customFormat="false" customHeight="false" hidden="false" ht="12.1" outlineLevel="0" r="10">
      <c r="A10" s="3" t="s">
        <f>=HYPERLINK("https://mp39851918.megaplan.ua/deals/78656/card/","12965")</f>
      </c>
      <c r="B10" s="3" t="inlineStr">
        <is>
          <t>113-3971527-5949056</t>
        </is>
      </c>
      <c r="C10" s="3" t="inlineStr">
        <is>
          <t>RockyMountain</t>
        </is>
      </c>
    </row>
    <row collapsed="false" customFormat="false" customHeight="false" hidden="false" ht="12.1" outlineLevel="0" r="11">
      <c r="A11" s="3" t="s">
        <f>=HYPERLINK("https://mp39851918.megaplan.ua/deals/78692/card/","12969")</f>
      </c>
      <c r="B11" s="3" t="inlineStr">
        <is>
          <t>113-6525335-4490639</t>
        </is>
      </c>
      <c r="C11" s="3" t="inlineStr">
        <is>
          <t>Autodist</t>
        </is>
      </c>
    </row>
    <row collapsed="false" customFormat="false" customHeight="false" hidden="false" ht="12.1" outlineLevel="0" r="12">
      <c r="A12" s="3" t="s">
        <f>=HYPERLINK("https://mp39851918.megaplan.ua/deals/78693/card/","12970")</f>
      </c>
      <c r="B12" s="3" t="inlineStr">
        <is>
          <t>114-9362935-6953842</t>
        </is>
      </c>
      <c r="C12" s="3" t="inlineStr">
        <is>
          <t>RockyMountain</t>
        </is>
      </c>
    </row>
    <row collapsed="false" customFormat="false" customHeight="false" hidden="false" ht="12.1" outlineLevel="0" r="13">
      <c r="A13" s="3" t="s">
        <f>=HYPERLINK("https://mp39851918.megaplan.ua/deals/78708/card/","12973")</f>
      </c>
      <c r="B13" s="3" t="inlineStr">
        <is>
          <t>111-5585395-7792228</t>
        </is>
      </c>
      <c r="C13" s="3" t="inlineStr">
        <is>
          <t>Autodist</t>
        </is>
      </c>
    </row>
    <row collapsed="false" customFormat="false" customHeight="false" hidden="false" ht="12.1" outlineLevel="0" r="14">
      <c r="A14" s="3" t="s">
        <f>=HYPERLINK("https://mp39851918.megaplan.ua/deals/78717/card/","12975")</f>
      </c>
      <c r="B14" s="3" t="inlineStr">
        <is>
          <t>111-2013720-0524220</t>
        </is>
      </c>
      <c r="C14" s="3" t="inlineStr">
        <is>
          <t>RockyMountain</t>
        </is>
      </c>
    </row>
    <row collapsed="false" customFormat="false" customHeight="false" hidden="false" ht="12.1" outlineLevel="0" r="15">
      <c r="A15" s="3" t="s">
        <f>=HYPERLINK("https://mp39851918.megaplan.ua/deals/78721/card/","12976")</f>
      </c>
      <c r="B15" s="3" t="inlineStr">
        <is>
          <t>112-7340843-6212223</t>
        </is>
      </c>
      <c r="C15" s="3" t="inlineStr">
        <is>
          <t>RockyMountain</t>
        </is>
      </c>
    </row>
    <row collapsed="false" customFormat="false" customHeight="false" hidden="false" ht="12.1" outlineLevel="0" r="16">
      <c r="A16" s="3" t="s">
        <f>=HYPERLINK("https://mp39851918.megaplan.ua/deals/78730/card/","12978")</f>
      </c>
      <c r="B16" s="3" t="inlineStr">
        <is>
          <t>111-0085399-5405012</t>
        </is>
      </c>
      <c r="C16" s="3" t="inlineStr">
        <is>
          <t>RockyMountain</t>
        </is>
      </c>
    </row>
    <row collapsed="false" customFormat="false" customHeight="false" hidden="false" ht="12.1" outlineLevel="0" r="17">
      <c r="A17" s="3" t="s">
        <f>=HYPERLINK("https://mp39851918.megaplan.ua/deals/78736/card/","12979")</f>
      </c>
      <c r="B17" s="3" t="inlineStr">
        <is>
          <t>114-0205428-2325031</t>
        </is>
      </c>
      <c r="C17" s="3" t="inlineStr">
        <is>
          <t>RockyMountain</t>
        </is>
      </c>
    </row>
    <row collapsed="false" customFormat="false" customHeight="false" hidden="false" ht="12.1" outlineLevel="0" r="18">
      <c r="A18" s="3" t="s">
        <f>=HYPERLINK("https://mp39851918.megaplan.ua/deals/78766/card/","12984")</f>
      </c>
      <c r="B18" s="3" t="inlineStr">
        <is>
          <t>113-7283038-6613869</t>
        </is>
      </c>
      <c r="C18" s="3" t="inlineStr">
        <is>
          <t>PartsUnlimited</t>
        </is>
      </c>
    </row>
    <row collapsed="false" customFormat="false" customHeight="false" hidden="false" ht="12.1" outlineLevel="0" r="19">
      <c r="A19" s="3" t="s">
        <f>=HYPERLINK("https://mp39851918.megaplan.ua/deals/78776/card/","12985")</f>
      </c>
      <c r="B19" s="3" t="inlineStr">
        <is>
          <t>113-6731048-5554643</t>
        </is>
      </c>
      <c r="C19" s="3" t="inlineStr">
        <is>
          <t>Autodist</t>
        </is>
      </c>
    </row>
    <row collapsed="false" customFormat="false" customHeight="false" hidden="false" ht="12.1" outlineLevel="0" r="20">
      <c r="A20" s="3" t="s">
        <f>=HYPERLINK("https://mp39851918.megaplan.ua/deals/78780/card/","12986")</f>
      </c>
      <c r="B20" s="3" t="inlineStr">
        <is>
          <t>113-8711429-1505026</t>
        </is>
      </c>
      <c r="C20" s="3" t="inlineStr">
        <is>
          <t>RockyMountain</t>
        </is>
      </c>
    </row>
    <row collapsed="false" customFormat="false" customHeight="false" hidden="false" ht="12.1" outlineLevel="0" r="21">
      <c r="A21" s="3" t="s">
        <f>=HYPERLINK("https://mp39851918.megaplan.ua/deals/78789/card/","12987")</f>
      </c>
      <c r="B21" s="3" t="inlineStr">
        <is>
          <t>111-0348162-3337003</t>
        </is>
      </c>
      <c r="C21" s="3" t="inlineStr">
        <is>
          <t>RockyMountain</t>
        </is>
      </c>
    </row>
    <row collapsed="false" customFormat="false" customHeight="false" hidden="false" ht="12.1" outlineLevel="0" r="22">
      <c r="A22" s="3" t="s">
        <f>=HYPERLINK("https://mp39851918.megaplan.ua/deals/78794/card/","12988")</f>
      </c>
      <c r="B22" s="3" t="inlineStr">
        <is>
          <t>113-9234258-7262610</t>
        </is>
      </c>
      <c r="C22" s="3" t="inlineStr">
        <is>
          <t>Autodist</t>
        </is>
      </c>
    </row>
    <row collapsed="false" customFormat="false" customHeight="false" hidden="false" ht="12.1" outlineLevel="0" r="23">
      <c r="A23" s="3" t="s">
        <f>=HYPERLINK("https://mp39851918.megaplan.ua/deals/78805/card/","12990")</f>
      </c>
      <c r="B23" s="3" t="inlineStr">
        <is>
          <t>111-7256739-4077861</t>
        </is>
      </c>
      <c r="C23" s="3" t="inlineStr">
        <is>
          <t>RockyMountain</t>
        </is>
      </c>
    </row>
    <row collapsed="false" customFormat="false" customHeight="false" hidden="false" ht="12.1" outlineLevel="0" r="24">
      <c r="A24" s="3" t="s">
        <f>=HYPERLINK("https://mp39851918.megaplan.ua/deals/78806/card/","12991")</f>
      </c>
      <c r="B24" s="3" t="inlineStr">
        <is>
          <t>112-5276802-7439401</t>
        </is>
      </c>
      <c r="C24" s="3" t="inlineStr">
        <is>
          <t>RockyMountain</t>
        </is>
      </c>
    </row>
    <row collapsed="false" customFormat="false" customHeight="false" hidden="false" ht="12.1" outlineLevel="0" r="25">
      <c r="A25" s="3" t="s">
        <f>=HYPERLINK("https://mp39851918.megaplan.ua/deals/78814/card/","12992")</f>
      </c>
      <c r="B25" s="3" t="inlineStr">
        <is>
          <t>112-3634983-5921832</t>
        </is>
      </c>
      <c r="C25" s="3" t="inlineStr">
        <is>
          <t>RockyMountain</t>
        </is>
      </c>
    </row>
    <row collapsed="false" customFormat="false" customHeight="false" hidden="false" ht="12.1" outlineLevel="0" r="26">
      <c r="A26" s="3" t="s">
        <f>=HYPERLINK("https://mp39851918.megaplan.ua/deals/78822/card/","12993")</f>
      </c>
      <c r="B26" s="3" t="inlineStr">
        <is>
          <t>113-2764581-1780261</t>
        </is>
      </c>
      <c r="C26" s="3" t="inlineStr">
        <is>
          <t>Autodist</t>
        </is>
      </c>
    </row>
    <row collapsed="false" customFormat="false" customHeight="false" hidden="false" ht="12.1" outlineLevel="0" r="27">
      <c r="A27" s="3" t="s">
        <f>=HYPERLINK("https://mp39851918.megaplan.ua/deals/78832/card/","12995")</f>
      </c>
      <c r="B27" s="3" t="inlineStr">
        <is>
          <t>114-6604017-8447408</t>
        </is>
      </c>
      <c r="C27" s="3" t="inlineStr">
        <is>
          <t>Autodist</t>
        </is>
      </c>
    </row>
    <row collapsed="false" customFormat="false" customHeight="false" hidden="false" ht="12.1" outlineLevel="0" r="28">
      <c r="A28" s="3" t="s">
        <f>=HYPERLINK("https://mp39851918.megaplan.ua/deals/78844/card/","12996")</f>
      </c>
      <c r="B28" s="3" t="inlineStr">
        <is>
          <t>112-4297893-1873028</t>
        </is>
      </c>
      <c r="C28" s="3" t="inlineStr">
        <is>
          <t>RockyMountain</t>
        </is>
      </c>
    </row>
    <row collapsed="false" customFormat="false" customHeight="false" hidden="false" ht="12.1" outlineLevel="0" r="29">
      <c r="A29" s="3" t="s">
        <f>=HYPERLINK("https://mp39851918.megaplan.ua/deals/78862/card/","12997")</f>
      </c>
      <c r="B29" s="3" t="inlineStr">
        <is>
          <t>113-8761692-0817021</t>
        </is>
      </c>
      <c r="C29" s="3" t="inlineStr">
        <is>
          <t>RockyMountain</t>
        </is>
      </c>
    </row>
    <row collapsed="false" customFormat="false" customHeight="false" hidden="false" ht="12.1" outlineLevel="0" r="30">
      <c r="A30" s="3" t="s">
        <f>=HYPERLINK("https://mp39851918.megaplan.ua/deals/78897/card/","13001")</f>
      </c>
      <c r="B30" s="3" t="inlineStr">
        <is>
          <t>114-4066311-8730641</t>
        </is>
      </c>
      <c r="C30" s="3" t="inlineStr">
        <is>
          <t>Autodist</t>
        </is>
      </c>
    </row>
    <row collapsed="false" customFormat="false" customHeight="false" hidden="false" ht="12.1" outlineLevel="0" r="31">
      <c r="A31" s="3" t="s">
        <f>=HYPERLINK("https://mp39851918.megaplan.ua/deals/78901/card/","13002")</f>
      </c>
      <c r="B31" s="3" t="inlineStr">
        <is>
          <t>113-9306150-9810667</t>
        </is>
      </c>
      <c r="C31" s="3" t="inlineStr">
        <is>
          <t>Autodist</t>
        </is>
      </c>
    </row>
    <row collapsed="false" customFormat="false" customHeight="false" hidden="false" ht="12.1" outlineLevel="0" r="32">
      <c r="A32" s="3" t="s">
        <f>=HYPERLINK("https://mp39851918.megaplan.ua/deals/78920/card/","13004")</f>
      </c>
      <c r="B32" s="3" t="inlineStr">
        <is>
          <t>114-9842066-5556227</t>
        </is>
      </c>
      <c r="C32" s="3" t="inlineStr">
        <is>
          <t>Autodist</t>
        </is>
      </c>
    </row>
    <row collapsed="false" customFormat="false" customHeight="false" hidden="false" ht="12.1" outlineLevel="0" r="33">
      <c r="A33" s="3" t="s">
        <f>=HYPERLINK("https://mp39851918.megaplan.ua/deals/78922/card/","13005")</f>
      </c>
      <c r="B33" s="3" t="inlineStr">
        <is>
          <t>112-8263382-7705020</t>
        </is>
      </c>
      <c r="C33" s="3" t="inlineStr">
        <is>
          <t>RockyMountain</t>
        </is>
      </c>
    </row>
    <row collapsed="false" customFormat="false" customHeight="false" hidden="false" ht="12.1" outlineLevel="0" r="34">
      <c r="A34" s="3" t="s">
        <f>=HYPERLINK("https://mp39851918.megaplan.ua/deals/78935/card/","13007")</f>
      </c>
      <c r="B34" s="3" t="inlineStr">
        <is>
          <t>112-8236811-2422664</t>
        </is>
      </c>
      <c r="C34" s="3" t="inlineStr">
        <is>
          <t>Autodist</t>
        </is>
      </c>
    </row>
    <row collapsed="false" customFormat="false" customHeight="false" hidden="false" ht="12.1" outlineLevel="0" r="35">
      <c r="A35" s="3" t="s">
        <f>=HYPERLINK("https://mp39851918.megaplan.ua/deals/78944/card/","13008")</f>
      </c>
      <c r="B35" s="3" t="inlineStr">
        <is>
          <t>111-6378807-3141836</t>
        </is>
      </c>
      <c r="C35" s="3" t="inlineStr">
        <is>
          <t>Autodist</t>
        </is>
      </c>
    </row>
    <row collapsed="false" customFormat="false" customHeight="false" hidden="false" ht="12.1" outlineLevel="0" r="36">
      <c r="A36" s="3" t="s">
        <f>=HYPERLINK("https://mp39851918.megaplan.ua/deals/78951/card/","13009")</f>
      </c>
      <c r="B36" s="3" t="inlineStr">
        <is>
          <t>112-8509335-2986625</t>
        </is>
      </c>
      <c r="C36" s="3" t="inlineStr">
        <is>
          <t>Autodist</t>
        </is>
      </c>
    </row>
    <row collapsed="false" customFormat="false" customHeight="false" hidden="false" ht="12.1" outlineLevel="0" r="37">
      <c r="A37" s="3" t="s">
        <f>=HYPERLINK("https://mp39851918.megaplan.ua/deals/78961/card/","13010")</f>
      </c>
      <c r="B37" s="3" t="inlineStr">
        <is>
          <t>112-7054076-2647450</t>
        </is>
      </c>
      <c r="C37" s="3" t="inlineStr">
        <is>
          <t>RockyMountain</t>
        </is>
      </c>
    </row>
    <row collapsed="false" customFormat="false" customHeight="false" hidden="false" ht="12.1" outlineLevel="0" r="38">
      <c r="A38" s="3" t="s">
        <f>=HYPERLINK("https://mp39851918.megaplan.ua/deals/78966/card/","13012")</f>
      </c>
      <c r="B38" s="3" t="inlineStr">
        <is>
          <t>113-7940412-7793861</t>
        </is>
      </c>
      <c r="C38" s="3" t="inlineStr">
        <is>
          <t>RockyMountain</t>
        </is>
      </c>
    </row>
    <row collapsed="false" customFormat="false" customHeight="false" hidden="false" ht="12.1" outlineLevel="0" r="39">
      <c r="A39" s="3" t="s">
        <f>=HYPERLINK("https://mp39851918.megaplan.ua/deals/78969/card/","13013")</f>
      </c>
      <c r="B39" s="3" t="inlineStr">
        <is>
          <t>111-0815878-2609826</t>
        </is>
      </c>
      <c r="C39" s="3" t="inlineStr">
        <is>
          <t>RockyMountain</t>
        </is>
      </c>
    </row>
    <row collapsed="false" customFormat="false" customHeight="false" hidden="false" ht="12.1" outlineLevel="0" r="40">
      <c r="A40" s="3" t="s">
        <f>=HYPERLINK("https://mp39851918.megaplan.ua/deals/78982/card/","13014")</f>
      </c>
      <c r="B40" s="3" t="inlineStr">
        <is>
          <t>111-1414493-4889057</t>
        </is>
      </c>
      <c r="C40" s="3" t="inlineStr">
        <is>
          <t>RockyMountain</t>
        </is>
      </c>
    </row>
    <row collapsed="false" customFormat="false" customHeight="false" hidden="false" ht="12.1" outlineLevel="0" r="41">
      <c r="A41" s="3" t="s">
        <f>=HYPERLINK("https://mp39851918.megaplan.ua/deals/78984/card/","13015")</f>
      </c>
      <c r="B41" s="3" t="inlineStr">
        <is>
          <t>113-4747249-9624203</t>
        </is>
      </c>
      <c r="C41" s="3" t="inlineStr">
        <is>
          <t>RockyMountain</t>
        </is>
      </c>
    </row>
    <row collapsed="false" customFormat="false" customHeight="false" hidden="false" ht="12.1" outlineLevel="0" r="42">
      <c r="A42" s="3" t="s">
        <f>=HYPERLINK("https://mp39851918.megaplan.ua/deals/79020/card/","13020")</f>
      </c>
      <c r="B42" s="3" t="inlineStr">
        <is>
          <t>114-3703502-4289847</t>
        </is>
      </c>
      <c r="C42" s="3" t="inlineStr">
        <is>
          <t>Autodist</t>
        </is>
      </c>
    </row>
    <row collapsed="false" customFormat="false" customHeight="false" hidden="false" ht="12.1" outlineLevel="0" r="43">
      <c r="A43" s="3" t="s">
        <f>=HYPERLINK("https://mp39851918.megaplan.ua/deals/79030/card/","13021")</f>
      </c>
      <c r="B43" s="3" t="inlineStr">
        <is>
          <t>113-6223008-2418643</t>
        </is>
      </c>
      <c r="C43" s="3" t="inlineStr">
        <is>
          <t>Autodist</t>
        </is>
      </c>
    </row>
    <row collapsed="false" customFormat="false" customHeight="false" hidden="false" ht="12.1" outlineLevel="0" r="44">
      <c r="A44" s="3" t="s">
        <f>=HYPERLINK("https://mp39851918.megaplan.ua/deals/79051/card/","13024")</f>
      </c>
      <c r="B44" s="3" t="inlineStr">
        <is>
          <t>112-5994844-0029868</t>
        </is>
      </c>
      <c r="C44" s="3" t="inlineStr">
        <is>
          <t>Autodist</t>
        </is>
      </c>
    </row>
    <row collapsed="false" customFormat="false" customHeight="false" hidden="false" ht="12.1" outlineLevel="0" r="45">
      <c r="A45" s="3" t="s">
        <f>=HYPERLINK("https://mp39851918.megaplan.ua/deals/79063/card/","13026")</f>
      </c>
      <c r="B45" s="3" t="inlineStr">
        <is>
          <t>112-8748501-8963439</t>
        </is>
      </c>
      <c r="C45" s="3" t="inlineStr">
        <is>
          <t>RockyMountain</t>
        </is>
      </c>
    </row>
    <row collapsed="false" customFormat="false" customHeight="false" hidden="false" ht="12.1" outlineLevel="0" r="46">
      <c r="A46" s="3" t="s">
        <f>=HYPERLINK("https://mp39851918.megaplan.ua/deals/79064/card/","13027")</f>
      </c>
      <c r="B46" s="3" t="inlineStr">
        <is>
          <t>114-2983140-2257047</t>
        </is>
      </c>
      <c r="C46" s="3" t="inlineStr">
        <is>
          <t>RockyMountain</t>
        </is>
      </c>
    </row>
    <row collapsed="false" customFormat="false" customHeight="false" hidden="false" ht="12.1" outlineLevel="0" r="47">
      <c r="A47" s="3" t="s">
        <f>=HYPERLINK("https://mp39851918.megaplan.ua/deals/79093/card/","13029")</f>
      </c>
      <c r="B47" s="3" t="inlineStr">
        <is>
          <t>114-9570883-9881850</t>
        </is>
      </c>
      <c r="C47" s="3" t="inlineStr">
        <is>
          <t>RockyMountain</t>
        </is>
      </c>
    </row>
    <row collapsed="false" customFormat="false" customHeight="false" hidden="false" ht="12.1" outlineLevel="0" r="48">
      <c r="A48" s="3" t="s">
        <f>=HYPERLINK("https://mp39851918.megaplan.ua/deals/79106/card/","13031")</f>
      </c>
      <c r="B48" s="3" t="inlineStr">
        <is>
          <t>111-2057030-0785808</t>
        </is>
      </c>
      <c r="C48" s="3" t="inlineStr">
        <is>
          <t>RockyMountain</t>
        </is>
      </c>
    </row>
    <row collapsed="false" customFormat="false" customHeight="false" hidden="false" ht="12.1" outlineLevel="0" r="49">
      <c r="A49" s="3" t="s">
        <f>=HYPERLINK("https://mp39851918.megaplan.ua/deals/79123/card/","13032")</f>
      </c>
      <c r="B49" s="3" t="inlineStr">
        <is>
          <t>114-4783053-2872226</t>
        </is>
      </c>
      <c r="C49" s="3" t="inlineStr">
        <is>
          <t>RockyMountain</t>
        </is>
      </c>
    </row>
    <row collapsed="false" customFormat="false" customHeight="false" hidden="false" ht="12.1" outlineLevel="0" r="50">
      <c r="A50" s="3" t="s">
        <f>=HYPERLINK("https://mp39851918.megaplan.ua/deals/79138/card/","13034")</f>
      </c>
      <c r="B50" s="3" t="inlineStr">
        <is>
          <t>112-8530656-3277053</t>
        </is>
      </c>
      <c r="C50" s="3" t="inlineStr">
        <is>
          <t>Autodist</t>
        </is>
      </c>
    </row>
    <row collapsed="false" customFormat="false" customHeight="false" hidden="false" ht="12.1" outlineLevel="0" r="51">
      <c r="A51" s="3" t="s">
        <f>=HYPERLINK("https://mp39851918.megaplan.ua/deals/79147/card/","13036")</f>
      </c>
      <c r="B51" s="3" t="inlineStr">
        <is>
          <t>114-4627725-8452255</t>
        </is>
      </c>
      <c r="C51" s="3" t="inlineStr">
        <is>
          <t>Autodist</t>
        </is>
      </c>
    </row>
    <row collapsed="false" customFormat="false" customHeight="false" hidden="false" ht="12.1" outlineLevel="0" r="52">
      <c r="A52" s="3" t="s">
        <f>=HYPERLINK("https://mp39851918.megaplan.ua/deals/79150/card/","13037")</f>
      </c>
      <c r="B52" s="3" t="inlineStr">
        <is>
          <t>111-8974985-7910610</t>
        </is>
      </c>
      <c r="C52" s="3" t="inlineStr">
        <is>
          <t>Autodist</t>
        </is>
      </c>
    </row>
    <row collapsed="false" customFormat="false" customHeight="false" hidden="false" ht="12.1" outlineLevel="0" r="53">
      <c r="A53" s="3" t="s">
        <f>=HYPERLINK("https://mp39851918.megaplan.ua/deals/79151/card/","13038")</f>
      </c>
      <c r="B53" s="3" t="inlineStr">
        <is>
          <t>111-8021265-6409032</t>
        </is>
      </c>
      <c r="C53" s="3" t="inlineStr">
        <is>
          <t>RockyMountain</t>
        </is>
      </c>
    </row>
    <row collapsed="false" customFormat="false" customHeight="false" hidden="false" ht="12.1" outlineLevel="0" r="54">
      <c r="A54" s="3" t="s">
        <f>=HYPERLINK("https://mp39851918.megaplan.ua/deals/79155/card/","13039")</f>
      </c>
      <c r="B54" s="3" t="inlineStr">
        <is>
          <t>113-2796770-6197860</t>
        </is>
      </c>
      <c r="C54" s="3" t="inlineStr">
        <is>
          <t>Autodist</t>
        </is>
      </c>
    </row>
    <row collapsed="false" customFormat="false" customHeight="false" hidden="false" ht="12.1" outlineLevel="0" r="55">
      <c r="A55" s="3" t="s">
        <f>=HYPERLINK("https://mp39851918.megaplan.ua/deals/79176/card/","13043")</f>
      </c>
      <c r="B55" s="3" t="inlineStr">
        <is>
          <t>111-5042028-7324249</t>
        </is>
      </c>
      <c r="C55" s="3" t="inlineStr">
        <is>
          <t>Autodist</t>
        </is>
      </c>
    </row>
    <row collapsed="false" customFormat="false" customHeight="false" hidden="false" ht="12.1" outlineLevel="0" r="56">
      <c r="A56" s="3" t="s">
        <f>=HYPERLINK("https://mp39851918.megaplan.ua/deals/79178/card/","13044")</f>
      </c>
      <c r="B56" s="3" t="inlineStr">
        <is>
          <t>113-6329151-1781824</t>
        </is>
      </c>
      <c r="C56" s="3" t="inlineStr">
        <is>
          <t>RockyMountain</t>
        </is>
      </c>
    </row>
    <row collapsed="false" customFormat="false" customHeight="false" hidden="false" ht="12.1" outlineLevel="0" r="57">
      <c r="A57" s="3" t="s">
        <f>=HYPERLINK("https://mp39851918.megaplan.ua/deals/79189/card/","13045")</f>
      </c>
      <c r="B57" s="3" t="inlineStr">
        <is>
          <t>114-8417708-8734661</t>
        </is>
      </c>
      <c r="C57" s="3" t="inlineStr">
        <is>
          <t>Autodist</t>
        </is>
      </c>
    </row>
    <row collapsed="false" customFormat="false" customHeight="false" hidden="false" ht="12.1" outlineLevel="0" r="58">
      <c r="A58" s="3" t="s">
        <f>=HYPERLINK("https://mp39851918.megaplan.ua/deals/79192/card/","13046")</f>
      </c>
      <c r="B58" s="3" t="inlineStr">
        <is>
          <t>112-6788981-1878658</t>
        </is>
      </c>
      <c r="C58" s="3" t="inlineStr">
        <is>
          <t>RockyMountain</t>
        </is>
      </c>
    </row>
    <row collapsed="false" customFormat="false" customHeight="false" hidden="false" ht="12.1" outlineLevel="0" r="59">
      <c r="A59" s="3" t="s">
        <f>=HYPERLINK("https://mp39851918.megaplan.ua/deals/79209/card/","13048")</f>
      </c>
      <c r="B59" s="3" t="inlineStr">
        <is>
          <t>114-3055655-1194654</t>
        </is>
      </c>
      <c r="C59" s="3" t="inlineStr">
        <is>
          <t>RockyMountain</t>
        </is>
      </c>
    </row>
    <row collapsed="false" customFormat="false" customHeight="false" hidden="false" ht="12.1" outlineLevel="0" r="60">
      <c r="A60" s="3" t="s">
        <f>=HYPERLINK("https://mp39851918.megaplan.ua/deals/79229/card/","13055")</f>
      </c>
      <c r="B60" s="3" t="inlineStr">
        <is>
          <t>114-3623979-5557808</t>
        </is>
      </c>
      <c r="C60" s="3" t="inlineStr">
        <is>
          <t>RockyMountain</t>
        </is>
      </c>
    </row>
    <row collapsed="false" customFormat="false" customHeight="false" hidden="false" ht="12.1" outlineLevel="0" r="61">
      <c r="A61" s="3" t="s">
        <f>=HYPERLINK("https://mp39851918.megaplan.ua/deals/79234/card/","13057")</f>
      </c>
      <c r="B61" s="3" t="inlineStr">
        <is>
          <t>112-2143133-6917838</t>
        </is>
      </c>
      <c r="C61" s="3" t="inlineStr">
        <is>
          <t>RockyMountain</t>
        </is>
      </c>
    </row>
    <row collapsed="false" customFormat="false" customHeight="false" hidden="false" ht="12.1" outlineLevel="0" r="62">
      <c r="A62" s="3" t="s">
        <f>=HYPERLINK("https://mp39851918.megaplan.ua/deals/79240/card/","13059")</f>
      </c>
      <c r="B62" s="3" t="inlineStr">
        <is>
          <t>111-7691627-2530607</t>
        </is>
      </c>
      <c r="C62" s="3" t="inlineStr">
        <is>
          <t>RockyMountain</t>
        </is>
      </c>
    </row>
    <row collapsed="false" customFormat="false" customHeight="false" hidden="false" ht="12.1" outlineLevel="0" r="63">
      <c r="A63" s="3" t="s">
        <f>=HYPERLINK("https://mp39851918.megaplan.ua/deals/79242/card/","13060")</f>
      </c>
      <c r="B63" s="3" t="inlineStr">
        <is>
          <t>113-5398392-5645866</t>
        </is>
      </c>
      <c r="C63" s="3" t="inlineStr">
        <is>
          <t>RockyMountain</t>
        </is>
      </c>
    </row>
    <row collapsed="false" customFormat="false" customHeight="false" hidden="false" ht="12.1" outlineLevel="0" r="64">
      <c r="A64" s="3" t="s">
        <f>=HYPERLINK("https://mp39851918.megaplan.ua/deals/79245/card/","13061")</f>
      </c>
      <c r="B64" s="3" t="inlineStr">
        <is>
          <t>111-5199972-9166610</t>
        </is>
      </c>
      <c r="C64" s="3" t="inlineStr">
        <is>
          <t>RockyMountain</t>
        </is>
      </c>
    </row>
    <row collapsed="false" customFormat="false" customHeight="false" hidden="false" ht="12.1" outlineLevel="0" r="65">
      <c r="A65" s="3" t="s">
        <f>=HYPERLINK("https://mp39851918.megaplan.ua/deals/79247/card/","13062")</f>
      </c>
      <c r="B65" s="3" t="inlineStr">
        <is>
          <t>113-8799414-1143453</t>
        </is>
      </c>
      <c r="C65" s="3" t="inlineStr">
        <is>
          <t>RockyMountain</t>
        </is>
      </c>
    </row>
    <row collapsed="false" customFormat="false" customHeight="false" hidden="false" ht="12.1" outlineLevel="0" r="66">
      <c r="A66" s="3" t="s">
        <f>=HYPERLINK("https://mp39851918.megaplan.ua/deals/79249/card/","13063")</f>
      </c>
      <c r="B66" s="3" t="inlineStr">
        <is>
          <t>113-1905521-9030609</t>
        </is>
      </c>
      <c r="C66" s="3" t="inlineStr">
        <is>
          <t>RockyMountain</t>
        </is>
      </c>
    </row>
    <row collapsed="false" customFormat="false" customHeight="false" hidden="false" ht="12.1" outlineLevel="0" r="67">
      <c r="A67" s="3" t="s">
        <f>=HYPERLINK("https://mp39851918.megaplan.ua/deals/79252/card/","13064")</f>
      </c>
      <c r="B67" s="3" t="inlineStr">
        <is>
          <t>111-0772780-0732249</t>
        </is>
      </c>
      <c r="C67" s="3" t="inlineStr">
        <is>
          <t>RockyMountain</t>
        </is>
      </c>
    </row>
    <row collapsed="false" customFormat="false" customHeight="false" hidden="false" ht="12.1" outlineLevel="0" r="68">
      <c r="A68" s="3" t="s">
        <f>=HYPERLINK("https://mp39851918.megaplan.ua/deals/79253/card/","13065")</f>
      </c>
      <c r="B68" s="3" t="inlineStr">
        <is>
          <t>113-5006148-6705824</t>
        </is>
      </c>
      <c r="C68" s="3" t="inlineStr">
        <is>
          <t>RockyMountain</t>
        </is>
      </c>
    </row>
    <row collapsed="false" customFormat="false" customHeight="false" hidden="false" ht="12.1" outlineLevel="0" r="69">
      <c r="A69" s="3" t="s">
        <f>=HYPERLINK("https://mp39851918.megaplan.ua/deals/79256/card/","13066")</f>
      </c>
      <c r="B69" s="3" t="inlineStr">
        <is>
          <t>111-5889247-9804214</t>
        </is>
      </c>
      <c r="C69" s="3" t="inlineStr">
        <is>
          <t>RockyMountain</t>
        </is>
      </c>
    </row>
    <row collapsed="false" customFormat="false" customHeight="false" hidden="false" ht="12.1" outlineLevel="0" r="70">
      <c r="A70" s="3" t="s">
        <f>=HYPERLINK("https://mp39851918.megaplan.ua/deals/79257/card/","13067")</f>
      </c>
      <c r="B70" s="3" t="inlineStr">
        <is>
          <t>112-7456224-5706646</t>
        </is>
      </c>
      <c r="C70" s="3" t="inlineStr">
        <is>
          <t>RockyMountain</t>
        </is>
      </c>
    </row>
    <row collapsed="false" customFormat="false" customHeight="false" hidden="false" ht="12.1" outlineLevel="0" r="71">
      <c r="A71" s="3" t="s">
        <f>=HYPERLINK("https://mp39851918.megaplan.ua/deals/79266/card/","13068")</f>
      </c>
      <c r="B71" s="3" t="inlineStr">
        <is>
          <t>111-6856469-7026625</t>
        </is>
      </c>
      <c r="C71" s="3" t="inlineStr">
        <is>
          <t>Autodist</t>
        </is>
      </c>
    </row>
    <row collapsed="false" customFormat="false" customHeight="false" hidden="false" ht="12.1" outlineLevel="0" r="72">
      <c r="A72" s="3" t="s">
        <f>=HYPERLINK("https://mp39851918.megaplan.ua/deals/79271/card/","13069")</f>
      </c>
      <c r="B72" s="3" t="inlineStr">
        <is>
          <t>114-8920081-5332225</t>
        </is>
      </c>
      <c r="C72" s="3" t="inlineStr">
        <is>
          <t>RockyMountain</t>
        </is>
      </c>
    </row>
    <row collapsed="false" customFormat="false" customHeight="false" hidden="false" ht="12.1" outlineLevel="0" r="73">
      <c r="A73" s="3" t="s">
        <f>=HYPERLINK("https://mp39851918.megaplan.ua/deals/79277/card/","13070")</f>
      </c>
      <c r="B73" s="3" t="inlineStr">
        <is>
          <t>113-4564604-1118645</t>
        </is>
      </c>
      <c r="C73" s="3" t="inlineStr">
        <is>
          <t>RockyMountain</t>
        </is>
      </c>
    </row>
    <row collapsed="false" customFormat="false" customHeight="false" hidden="false" ht="12.1" outlineLevel="0" r="74">
      <c r="A74" s="3" t="s">
        <f>=HYPERLINK("https://mp39851918.megaplan.ua/deals/79286/card/","13071")</f>
      </c>
      <c r="B74" s="3" t="inlineStr">
        <is>
          <t>112-2627333-5340201</t>
        </is>
      </c>
      <c r="C74" s="3" t="inlineStr">
        <is>
          <t>RockyMountain</t>
        </is>
      </c>
    </row>
    <row collapsed="false" customFormat="false" customHeight="false" hidden="false" ht="12.1" outlineLevel="0" r="75">
      <c r="A75" s="3" t="s">
        <f>=HYPERLINK("https://mp39851918.megaplan.ua/deals/79290/card/","13072")</f>
      </c>
      <c r="B75" s="3" t="inlineStr">
        <is>
          <t>112-5386190-8788220</t>
        </is>
      </c>
      <c r="C75" s="3" t="inlineStr">
        <is>
          <t>Autodist</t>
        </is>
      </c>
    </row>
    <row collapsed="false" customFormat="false" customHeight="false" hidden="false" ht="12.1" outlineLevel="0" r="76">
      <c r="A76" s="3" t="s">
        <f>=HYPERLINK("https://mp39851918.megaplan.ua/deals/79298/card/","13073")</f>
      </c>
      <c r="B76" s="3" t="inlineStr">
        <is>
          <t>114-1859421-6197862</t>
        </is>
      </c>
      <c r="C76" s="3" t="inlineStr">
        <is>
          <t>Autodist</t>
        </is>
      </c>
    </row>
    <row collapsed="false" customFormat="false" customHeight="false" hidden="false" ht="12.1" outlineLevel="0" r="77">
      <c r="A77" s="3" t="s">
        <f>=HYPERLINK("https://mp39851918.megaplan.ua/deals/79301/card/","13074")</f>
      </c>
      <c r="B77" s="3" t="inlineStr">
        <is>
          <t>111-5092277-0945845</t>
        </is>
      </c>
      <c r="C77" s="3" t="inlineStr">
        <is>
          <t>Autodist</t>
        </is>
      </c>
    </row>
    <row collapsed="false" customFormat="false" customHeight="false" hidden="false" ht="12.1" outlineLevel="0" r="78">
      <c r="A78" s="3" t="s">
        <f>=HYPERLINK("https://mp39851918.megaplan.ua/deals/79304/card/","13076")</f>
      </c>
      <c r="B78" s="3" t="inlineStr">
        <is>
          <t>111-0778356-1369851</t>
        </is>
      </c>
      <c r="C78" s="3" t="inlineStr">
        <is>
          <t>Autodist</t>
        </is>
      </c>
    </row>
    <row collapsed="false" customFormat="false" customHeight="false" hidden="false" ht="12.1" outlineLevel="0" r="79">
      <c r="A79" s="3" t="s">
        <f>=HYPERLINK("https://mp39851918.megaplan.ua/deals/79319/card/","13078")</f>
      </c>
      <c r="B79" s="3" t="inlineStr">
        <is>
          <t>111-0773811-7847404</t>
        </is>
      </c>
      <c r="C79" s="3" t="inlineStr">
        <is>
          <t>RockyMountain</t>
        </is>
      </c>
    </row>
    <row collapsed="false" customFormat="false" customHeight="false" hidden="false" ht="12.1" outlineLevel="0" r="80">
      <c r="A80" s="3" t="s">
        <f>=HYPERLINK("https://mp39851918.megaplan.ua/deals/79333/card/","13080")</f>
      </c>
      <c r="B80" s="3" t="inlineStr">
        <is>
          <t>112-0924634-5810627</t>
        </is>
      </c>
      <c r="C80" s="3" t="inlineStr">
        <is>
          <t>RockyMountain</t>
        </is>
      </c>
    </row>
    <row collapsed="false" customFormat="false" customHeight="false" hidden="false" ht="12.1" outlineLevel="0" r="81">
      <c r="A81" s="3" t="s">
        <f>=HYPERLINK("https://mp39851918.megaplan.ua/deals/79338/card/","13081")</f>
      </c>
      <c r="B81" s="3" t="inlineStr">
        <is>
          <t>111-6471810-3679429</t>
        </is>
      </c>
      <c r="C81" s="3" t="inlineStr">
        <is>
          <t>RockyMountain</t>
        </is>
      </c>
    </row>
    <row collapsed="false" customFormat="false" customHeight="false" hidden="false" ht="12.1" outlineLevel="0" r="82">
      <c r="A82" s="3" t="s">
        <f>=HYPERLINK("https://mp39851918.megaplan.ua/deals/79344/card/","13082")</f>
      </c>
      <c r="B82" s="3" t="inlineStr">
        <is>
          <t>111-4167669-2055459</t>
        </is>
      </c>
      <c r="C82" s="3" t="inlineStr">
        <is>
          <t>RockyMountain</t>
        </is>
      </c>
    </row>
    <row collapsed="false" customFormat="false" customHeight="false" hidden="false" ht="12.1" outlineLevel="0" r="83">
      <c r="A83" s="3" t="s">
        <f>=HYPERLINK("https://mp39851918.megaplan.ua/deals/79360/card/","13083")</f>
      </c>
      <c r="B83" s="3" t="inlineStr">
        <is>
          <t>112-4282186-3164225</t>
        </is>
      </c>
      <c r="C83" s="3" t="inlineStr">
        <is>
          <t>Autodist</t>
        </is>
      </c>
    </row>
    <row collapsed="false" customFormat="false" customHeight="false" hidden="false" ht="12.1" outlineLevel="0" r="84">
      <c r="A84" s="3" t="s">
        <f>=HYPERLINK("https://mp39851918.megaplan.ua/deals/79363/card/","13084")</f>
      </c>
      <c r="B84" s="3" t="inlineStr">
        <is>
          <t>111-9299365-3547451</t>
        </is>
      </c>
      <c r="C84" s="3" t="inlineStr">
        <is>
          <t>Autodist</t>
        </is>
      </c>
    </row>
    <row collapsed="false" customFormat="false" customHeight="false" hidden="false" ht="12.1" outlineLevel="0" r="85">
      <c r="A85" s="3" t="s">
        <f>=HYPERLINK("https://mp39851918.megaplan.ua/deals/79369/card/","13085")</f>
      </c>
      <c r="B85" s="3" t="inlineStr">
        <is>
          <t>114-5326732-0404205</t>
        </is>
      </c>
      <c r="C85" s="3" t="inlineStr">
        <is>
          <t>Autodist</t>
        </is>
      </c>
    </row>
    <row collapsed="false" customFormat="false" customHeight="false" hidden="false" ht="12.1" outlineLevel="0" r="86">
      <c r="A86" s="3" t="s">
        <f>=HYPERLINK("https://mp39851918.megaplan.ua/deals/79389/card/","13086")</f>
      </c>
      <c r="B86" s="3" t="inlineStr">
        <is>
          <t>114-7061139-2293036</t>
        </is>
      </c>
      <c r="C86" s="3" t="inlineStr">
        <is>
          <t>RockyMountain</t>
        </is>
      </c>
    </row>
    <row collapsed="false" customFormat="false" customHeight="false" hidden="false" ht="12.1" outlineLevel="0" r="87">
      <c r="A87" s="3" t="s">
        <f>=HYPERLINK("https://mp39851918.megaplan.ua/deals/79396/card/","13088")</f>
      </c>
      <c r="B87" s="3" t="inlineStr">
        <is>
          <t>113-4474634-8867432</t>
        </is>
      </c>
      <c r="C87" s="3" t="inlineStr">
        <is>
          <t>RockyMountain</t>
        </is>
      </c>
    </row>
    <row collapsed="false" customFormat="false" customHeight="false" hidden="false" ht="12.1" outlineLevel="0" r="88">
      <c r="A88" s="3" t="s">
        <f>=HYPERLINK("https://mp39851918.megaplan.ua/deals/79410/card/","13090")</f>
      </c>
      <c r="B88" s="3" t="inlineStr">
        <is>
          <t>114-8785755-6174617</t>
        </is>
      </c>
      <c r="C88" s="3" t="inlineStr">
        <is>
          <t>RockyMountain</t>
        </is>
      </c>
    </row>
    <row collapsed="false" customFormat="false" customHeight="false" hidden="false" ht="12.1" outlineLevel="0" r="89">
      <c r="A89" s="3" t="s">
        <f>=HYPERLINK("https://mp39851918.megaplan.ua/deals/79415/card/","13091")</f>
      </c>
      <c r="B89" s="3" t="inlineStr">
        <is>
          <t>111-0028367-6007405</t>
        </is>
      </c>
      <c r="C89" s="3" t="inlineStr">
        <is>
          <t>Autodist</t>
        </is>
      </c>
    </row>
    <row collapsed="false" customFormat="false" customHeight="false" hidden="false" ht="12.1" outlineLevel="0" r="90">
      <c r="A90" s="3" t="s">
        <f>=HYPERLINK("https://mp39851918.megaplan.ua/deals/79423/card/","13092")</f>
      </c>
      <c r="B90" s="3" t="inlineStr">
        <is>
          <t>112-6101118-5253021</t>
        </is>
      </c>
      <c r="C90" s="3" t="inlineStr">
        <is>
          <t>Autodist</t>
        </is>
      </c>
    </row>
    <row collapsed="false" customFormat="false" customHeight="false" hidden="false" ht="12.1" outlineLevel="0" r="91">
      <c r="A91" s="3" t="s">
        <f>=HYPERLINK("https://mp39851918.megaplan.ua/deals/79446/card/","13095")</f>
      </c>
      <c r="B91" s="3" t="inlineStr">
        <is>
          <t>112-0480172-1932237</t>
        </is>
      </c>
      <c r="C91" s="3" t="inlineStr">
        <is>
          <t>RockyMountain</t>
        </is>
      </c>
    </row>
    <row collapsed="false" customFormat="false" customHeight="false" hidden="false" ht="12.1" outlineLevel="0" r="92">
      <c r="A92" s="3" t="s">
        <f>=HYPERLINK("https://mp39851918.megaplan.ua/deals/79447/card/","13096")</f>
      </c>
      <c r="B92" s="3" t="inlineStr">
        <is>
          <t>114-5424537-6367447</t>
        </is>
      </c>
      <c r="C92" s="3" t="inlineStr">
        <is>
          <t>Autodist</t>
        </is>
      </c>
    </row>
    <row collapsed="false" customFormat="false" customHeight="false" hidden="false" ht="12.1" outlineLevel="0" r="93">
      <c r="A93" s="3" t="s">
        <f>=HYPERLINK("https://mp39851918.megaplan.ua/deals/79448/card/","13097")</f>
      </c>
      <c r="B93" s="3" t="inlineStr">
        <is>
          <t>114-7818823-2489032</t>
        </is>
      </c>
      <c r="C93" s="3" t="inlineStr">
        <is>
          <t>RockyMountain</t>
        </is>
      </c>
    </row>
    <row collapsed="false" customFormat="false" customHeight="false" hidden="false" ht="12.1" outlineLevel="0" r="94">
      <c r="A94" s="3" t="s">
        <f>=HYPERLINK("https://mp39851918.megaplan.ua/deals/79449/card/","13098")</f>
      </c>
      <c r="B94" s="3" t="inlineStr">
        <is>
          <t>114-8747846-2313811</t>
        </is>
      </c>
      <c r="C94" s="3" t="inlineStr">
        <is>
          <t>Autodist</t>
        </is>
      </c>
    </row>
    <row collapsed="false" customFormat="false" customHeight="false" hidden="false" ht="12.1" outlineLevel="0" r="95">
      <c r="A95" s="3" t="s">
        <f>=HYPERLINK("https://mp39851918.megaplan.ua/deals/79458/card/","13099")</f>
      </c>
      <c r="B95" s="3" t="inlineStr">
        <is>
          <t>111-5061659-9133856</t>
        </is>
      </c>
      <c r="C95" s="3" t="inlineStr">
        <is>
          <t>RockyMountain</t>
        </is>
      </c>
    </row>
    <row collapsed="false" customFormat="false" customHeight="false" hidden="false" ht="12.1" outlineLevel="0" r="96">
      <c r="A96" s="3" t="s">
        <f>=HYPERLINK("https://mp39851918.megaplan.ua/deals/79462/card/","13100")</f>
      </c>
      <c r="B96" s="3" t="inlineStr">
        <is>
          <t>111-5612465-3833023</t>
        </is>
      </c>
      <c r="C96" s="3" t="inlineStr">
        <is>
          <t>RockyMountain</t>
        </is>
      </c>
    </row>
    <row collapsed="false" customFormat="false" customHeight="false" hidden="false" ht="12.1" outlineLevel="0" r="97">
      <c r="A97" s="3" t="s">
        <f>=HYPERLINK("https://mp39851918.megaplan.ua/deals/79465/card/","13101")</f>
      </c>
      <c r="B97" s="3" t="inlineStr">
        <is>
          <t>114-0165368-7690618</t>
        </is>
      </c>
      <c r="C97" s="3" t="inlineStr">
        <is>
          <t>RockyMountain</t>
        </is>
      </c>
    </row>
    <row collapsed="false" customFormat="false" customHeight="false" hidden="false" ht="12.1" outlineLevel="0" r="98">
      <c r="A98" s="3" t="s">
        <f>=HYPERLINK("https://mp39851918.megaplan.ua/deals/79466/card/","13102")</f>
      </c>
      <c r="B98" s="3" t="inlineStr">
        <is>
          <t>111-4506838-2871463</t>
        </is>
      </c>
      <c r="C98" s="3" t="inlineStr">
        <is>
          <t>RockyMountain</t>
        </is>
      </c>
    </row>
    <row collapsed="false" customFormat="false" customHeight="false" hidden="false" ht="12.1" outlineLevel="0" r="99">
      <c r="A99" s="3" t="s">
        <f>=HYPERLINK("https://mp39851918.megaplan.ua/deals/79467/card/","13103")</f>
      </c>
      <c r="B99" s="3" t="inlineStr">
        <is>
          <t>114-1529262-2689019</t>
        </is>
      </c>
      <c r="C99" s="3" t="inlineStr">
        <is>
          <t>PartsUnlimited</t>
        </is>
      </c>
    </row>
    <row collapsed="false" customFormat="false" customHeight="false" hidden="false" ht="12.1" outlineLevel="0" r="100">
      <c r="A100" s="3" t="s">
        <f>=HYPERLINK("https://mp39851918.megaplan.ua/deals/79476/card/","13105")</f>
      </c>
      <c r="B100" s="3" t="inlineStr">
        <is>
          <t>112-9946295-8123415</t>
        </is>
      </c>
      <c r="C100" s="3" t="inlineStr">
        <is>
          <t>RockyMountain</t>
        </is>
      </c>
    </row>
    <row collapsed="false" customFormat="false" customHeight="false" hidden="false" ht="12.1" outlineLevel="0" r="101">
      <c r="A101" s="3" t="s">
        <f>=HYPERLINK("https://mp39851918.megaplan.ua/deals/79483/card/","13106")</f>
      </c>
      <c r="B101" s="3" t="inlineStr">
        <is>
          <t>111-8611361-9605004</t>
        </is>
      </c>
      <c r="C101" s="3" t="inlineStr">
        <is>
          <t>RockyMountain</t>
        </is>
      </c>
    </row>
    <row collapsed="false" customFormat="false" customHeight="false" hidden="false" ht="12.1" outlineLevel="0" r="102">
      <c r="A102" s="3" t="s">
        <f>=HYPERLINK("https://mp39851918.megaplan.ua/deals/79487/card/","13107")</f>
      </c>
      <c r="B102" s="3" t="inlineStr">
        <is>
          <t>113-8380520-3720236</t>
        </is>
      </c>
      <c r="C102" s="3" t="inlineStr">
        <is>
          <t>RockyMountain</t>
        </is>
      </c>
    </row>
    <row collapsed="false" customFormat="false" customHeight="false" hidden="false" ht="12.1" outlineLevel="0" r="103">
      <c r="A103" s="3" t="s">
        <f>=HYPERLINK("https://mp39851918.megaplan.ua/deals/79498/card/","13108")</f>
      </c>
      <c r="B103" s="3" t="inlineStr">
        <is>
          <t>113-9942851-1728235</t>
        </is>
      </c>
      <c r="C103" s="3" t="inlineStr">
        <is>
          <t>RockyMountain</t>
        </is>
      </c>
    </row>
    <row collapsed="false" customFormat="false" customHeight="false" hidden="false" ht="12.1" outlineLevel="0" r="104">
      <c r="A104" s="3" t="s">
        <f>=HYPERLINK("https://mp39851918.megaplan.ua/deals/79499/card/","13109")</f>
      </c>
      <c r="B104" s="3" t="inlineStr">
        <is>
          <t>113-7217232-8181865</t>
        </is>
      </c>
      <c r="C104" s="3" t="inlineStr">
        <is>
          <t>RockyMountain</t>
        </is>
      </c>
    </row>
    <row collapsed="false" customFormat="false" customHeight="false" hidden="false" ht="12.1" outlineLevel="0" r="105">
      <c r="A105" s="3" t="s">
        <f>=HYPERLINK("https://mp39851918.megaplan.ua/deals/79506/card/","13111")</f>
      </c>
      <c r="B105" s="3" t="inlineStr">
        <is>
          <t>112-0820990-0375443</t>
        </is>
      </c>
      <c r="C105" s="3" t="inlineStr">
        <is>
          <t>RockyMountain</t>
        </is>
      </c>
    </row>
    <row collapsed="false" customFormat="false" customHeight="false" hidden="false" ht="12.1" outlineLevel="0" r="106">
      <c r="A106" s="3" t="s">
        <f>=HYPERLINK("https://mp39851918.megaplan.ua/deals/79507/card/","13112")</f>
      </c>
      <c r="B106" s="3" t="inlineStr">
        <is>
          <t>111-6539100-3356269</t>
        </is>
      </c>
      <c r="C106" s="3" t="inlineStr">
        <is>
          <t>RockyMountain</t>
        </is>
      </c>
    </row>
    <row collapsed="false" customFormat="false" customHeight="false" hidden="false" ht="12.1" outlineLevel="0" r="107">
      <c r="A107" s="3" t="s">
        <f>=HYPERLINK("https://mp39851918.megaplan.ua/deals/79508/card/","13113")</f>
      </c>
      <c r="B107" s="3" t="inlineStr">
        <is>
          <t>114-9041917-1117824</t>
        </is>
      </c>
      <c r="C107" s="3" t="inlineStr">
        <is>
          <t>RockyMountain</t>
        </is>
      </c>
    </row>
    <row collapsed="false" customFormat="false" customHeight="false" hidden="false" ht="12.1" outlineLevel="0" r="108">
      <c r="A108" s="3" t="s">
        <f>=HYPERLINK("https://mp39851918.megaplan.ua/deals/79526/card/","13115")</f>
      </c>
      <c r="B108" s="3" t="inlineStr">
        <is>
          <t>114-8502938-6093833</t>
        </is>
      </c>
      <c r="C108" s="3" t="inlineStr">
        <is>
          <t>RockyMountain</t>
        </is>
      </c>
    </row>
    <row collapsed="false" customFormat="false" customHeight="false" hidden="false" ht="12.1" outlineLevel="0" r="109">
      <c r="A109" s="3" t="s">
        <f>=HYPERLINK("https://mp39851918.megaplan.ua/deals/79557/card/","13116")</f>
      </c>
      <c r="B109" s="3" t="inlineStr">
        <is>
          <t>111-1724296-0512203</t>
        </is>
      </c>
      <c r="C109" s="3" t="inlineStr">
        <is>
          <t>RockyMountain</t>
        </is>
      </c>
    </row>
    <row collapsed="false" customFormat="false" customHeight="false" hidden="false" ht="12.1" outlineLevel="0" r="110">
      <c r="A110" s="3" t="s">
        <f>=HYPERLINK("https://mp39851918.megaplan.ua/deals/79558/card/","13117")</f>
      </c>
      <c r="B110" s="3" t="inlineStr">
        <is>
          <t>112-4838566-9715460</t>
        </is>
      </c>
      <c r="C110" s="3" t="inlineStr">
        <is>
          <t>RockyMountain</t>
        </is>
      </c>
    </row>
    <row collapsed="false" customFormat="false" customHeight="false" hidden="false" ht="12.1" outlineLevel="0" r="111">
      <c r="A111" s="3" t="s">
        <f>=HYPERLINK("https://mp39851918.megaplan.ua/deals/79562/card/","13118")</f>
      </c>
      <c r="B111" s="3" t="inlineStr">
        <is>
          <t>111-8193634-1868202</t>
        </is>
      </c>
      <c r="C111" s="3" t="inlineStr">
        <is>
          <t>Autodist</t>
        </is>
      </c>
    </row>
    <row collapsed="false" customFormat="false" customHeight="false" hidden="false" ht="12.1" outlineLevel="0" r="112">
      <c r="A112" s="3" t="s">
        <f>=HYPERLINK("https://mp39851918.megaplan.ua/deals/79570/card/","13119")</f>
      </c>
      <c r="B112" s="3" t="inlineStr">
        <is>
          <t>112-5644950-8625854</t>
        </is>
      </c>
      <c r="C112" s="3" t="inlineStr">
        <is>
          <t>RockyMountain</t>
        </is>
      </c>
    </row>
    <row collapsed="false" customFormat="false" customHeight="false" hidden="false" ht="12.1" outlineLevel="0" r="113">
      <c r="A113" s="3" t="s">
        <f>=HYPERLINK("https://mp39851918.megaplan.ua/deals/79587/card/","13120")</f>
      </c>
      <c r="B113" s="3" t="inlineStr">
        <is>
          <t>112-3429978-4225808</t>
        </is>
      </c>
      <c r="C113" s="3" t="inlineStr">
        <is>
          <t>RockyMountain</t>
        </is>
      </c>
    </row>
    <row collapsed="false" customFormat="false" customHeight="false" hidden="false" ht="12.1" outlineLevel="0" r="114">
      <c r="A114" s="3" t="s">
        <f>=HYPERLINK("https://mp39851918.megaplan.ua/deals/79589/card/","13121")</f>
      </c>
      <c r="B114" s="3" t="inlineStr">
        <is>
          <t>113-8186202-2698610</t>
        </is>
      </c>
      <c r="C114" s="3" t="inlineStr">
        <is>
          <t>RockyMountain</t>
        </is>
      </c>
    </row>
    <row collapsed="false" customFormat="false" customHeight="false" hidden="false" ht="12.1" outlineLevel="0" r="115">
      <c r="A115" s="3" t="s">
        <f>=HYPERLINK("https://mp39851918.megaplan.ua/deals/79604/card/","13125")</f>
      </c>
      <c r="B115" s="3" t="inlineStr">
        <is>
          <t>111-0682435-4939410</t>
        </is>
      </c>
      <c r="C115" s="3" t="inlineStr">
        <is>
          <t>RockyMountain</t>
        </is>
      </c>
    </row>
    <row collapsed="false" customFormat="false" customHeight="false" hidden="false" ht="12.1" outlineLevel="0" r="116">
      <c r="A116" s="3" t="s">
        <f>=HYPERLINK("https://mp39851918.megaplan.ua/deals/79617/card/","13126")</f>
      </c>
      <c r="B116" s="3" t="inlineStr">
        <is>
          <t>111-2529953-6785832</t>
        </is>
      </c>
      <c r="C116" s="3" t="inlineStr">
        <is>
          <t>RockyMountain</t>
        </is>
      </c>
    </row>
    <row collapsed="false" customFormat="false" customHeight="false" hidden="false" ht="12.1" outlineLevel="0" r="117">
      <c r="A117" s="3" t="s">
        <f>=HYPERLINK("https://mp39851918.megaplan.ua/deals/79619/card/","13127")</f>
      </c>
      <c r="B117" s="3" t="inlineStr">
        <is>
          <t>113-1272120-0944222</t>
        </is>
      </c>
      <c r="C117" s="3" t="inlineStr">
        <is>
          <t>RockyMountain</t>
        </is>
      </c>
    </row>
    <row collapsed="false" customFormat="false" customHeight="false" hidden="false" ht="12.1" outlineLevel="0" r="118">
      <c r="A118" s="3" t="s">
        <f>=HYPERLINK("https://mp39851918.megaplan.ua/deals/79620/card/","13128")</f>
      </c>
      <c r="B118" s="3" t="inlineStr">
        <is>
          <t>114-2901093-5937066</t>
        </is>
      </c>
      <c r="C118" s="3" t="inlineStr">
        <is>
          <t>RockyMountain</t>
        </is>
      </c>
    </row>
    <row collapsed="false" customFormat="false" customHeight="false" hidden="false" ht="12.1" outlineLevel="0" r="119">
      <c r="A119" s="3" t="s">
        <f>=HYPERLINK("https://mp39851918.megaplan.ua/deals/79626/card/","13129")</f>
      </c>
      <c r="B119" s="3" t="inlineStr">
        <is>
          <t>111-7503983-1405803</t>
        </is>
      </c>
      <c r="C119" s="3" t="inlineStr">
        <is>
          <t>RockyMountain</t>
        </is>
      </c>
    </row>
    <row collapsed="false" customFormat="false" customHeight="false" hidden="false" ht="12.1" outlineLevel="0" r="120">
      <c r="A120" s="3" t="s">
        <f>=HYPERLINK("https://mp39851918.megaplan.ua/deals/79641/card/","13131")</f>
      </c>
      <c r="B120" s="3" t="inlineStr">
        <is>
          <t>113-5953421-2663448</t>
        </is>
      </c>
      <c r="C120" s="3" t="inlineStr">
        <is>
          <t>RockyMountain</t>
        </is>
      </c>
    </row>
    <row collapsed="false" customFormat="false" customHeight="false" hidden="false" ht="12.1" outlineLevel="0" r="121">
      <c r="A121" s="3" t="s">
        <f>=HYPERLINK("https://mp39851918.megaplan.ua/deals/79650/card/","13132")</f>
      </c>
      <c r="B121" s="3" t="inlineStr">
        <is>
          <t>114-5578940-9069810</t>
        </is>
      </c>
      <c r="C121" s="3" t="inlineStr">
        <is>
          <t>PartsUnlimited</t>
        </is>
      </c>
    </row>
    <row collapsed="false" customFormat="false" customHeight="false" hidden="false" ht="12.1" outlineLevel="0" r="122">
      <c r="A122" s="3" t="s">
        <f>=HYPERLINK("https://mp39851918.megaplan.ua/deals/79653/card/","13133")</f>
      </c>
      <c r="B122" s="3" t="inlineStr">
        <is>
          <t>112-3246831-1640248</t>
        </is>
      </c>
      <c r="C122" s="3" t="inlineStr">
        <is>
          <t>RockyMountain</t>
        </is>
      </c>
    </row>
    <row collapsed="false" customFormat="false" customHeight="false" hidden="false" ht="12.1" outlineLevel="0" r="123">
      <c r="A123" s="3" t="s">
        <f>=HYPERLINK("https://mp39851918.megaplan.ua/deals/79669/card/","13134")</f>
      </c>
      <c r="B123" s="3" t="inlineStr">
        <is>
          <t>112-2578277-5917036</t>
        </is>
      </c>
      <c r="C123" s="3" t="inlineStr">
        <is>
          <t>PartsUnlimited</t>
        </is>
      </c>
    </row>
    <row collapsed="false" customFormat="false" customHeight="false" hidden="false" ht="12.1" outlineLevel="0" r="124">
      <c r="A124" s="3" t="s">
        <f>=HYPERLINK("https://mp39851918.megaplan.ua/deals/79670/card/","13135")</f>
      </c>
      <c r="B124" s="3" t="inlineStr">
        <is>
          <t>111-5127139-2751438</t>
        </is>
      </c>
      <c r="C124" s="3" t="inlineStr">
        <is>
          <t>Autodist</t>
        </is>
      </c>
    </row>
    <row collapsed="false" customFormat="false" customHeight="false" hidden="false" ht="12.1" outlineLevel="0" r="125">
      <c r="A125" s="3" t="s">
        <f>=HYPERLINK("https://mp39851918.megaplan.ua/deals/79675/card/","13136")</f>
      </c>
      <c r="B125" s="3" t="inlineStr">
        <is>
          <t>113-8430628-8258617</t>
        </is>
      </c>
      <c r="C125" s="3" t="inlineStr">
        <is>
          <t>RockyMountain</t>
        </is>
      </c>
    </row>
    <row collapsed="false" customFormat="false" customHeight="false" hidden="false" ht="12.1" outlineLevel="0" r="126">
      <c r="A126" s="3" t="s">
        <f>=HYPERLINK("https://mp39851918.megaplan.ua/deals/79682/card/","13137")</f>
      </c>
      <c r="B126" s="3" t="inlineStr">
        <is>
          <t>114-3318633-6291400</t>
        </is>
      </c>
      <c r="C126" s="3" t="inlineStr">
        <is>
          <t>PartsUnlimited</t>
        </is>
      </c>
    </row>
    <row collapsed="false" customFormat="false" customHeight="false" hidden="false" ht="12.1" outlineLevel="0" r="127">
      <c r="A127" s="3" t="s">
        <f>=HYPERLINK("https://mp39851918.megaplan.ua/deals/79687/card/","13138")</f>
      </c>
      <c r="B127" s="3" t="inlineStr">
        <is>
          <t>113-5341905-0822620</t>
        </is>
      </c>
      <c r="C127" s="3" t="inlineStr">
        <is>
          <t>Autodist</t>
        </is>
      </c>
    </row>
    <row collapsed="false" customFormat="false" customHeight="false" hidden="false" ht="12.1" outlineLevel="0" r="128">
      <c r="A128" s="3" t="s">
        <f>=HYPERLINK("https://mp39851918.megaplan.ua/deals/79691/card/","13139")</f>
      </c>
      <c r="B128" s="3" t="inlineStr">
        <is>
          <t>112-8560976-9857027</t>
        </is>
      </c>
      <c r="C128" s="3" t="inlineStr">
        <is>
          <t>RockyMountain</t>
        </is>
      </c>
    </row>
    <row collapsed="false" customFormat="false" customHeight="false" hidden="false" ht="12.1" outlineLevel="0" r="129">
      <c r="A129" s="3" t="s">
        <f>=HYPERLINK("https://mp39851918.megaplan.ua/deals/79715/card/","13142")</f>
      </c>
      <c r="B129" s="3" t="inlineStr">
        <is>
          <t>112-2436338-2598603</t>
        </is>
      </c>
      <c r="C129" s="3" t="inlineStr">
        <is>
          <t>RockyMountain</t>
        </is>
      </c>
    </row>
    <row collapsed="false" customFormat="false" customHeight="false" hidden="false" ht="12.1" outlineLevel="0" r="130">
      <c r="A130" s="3" t="s">
        <f>=HYPERLINK("https://mp39851918.megaplan.ua/deals/79716/card/","13143")</f>
      </c>
      <c r="B130" s="3" t="inlineStr">
        <is>
          <t>114-7636967-8437069</t>
        </is>
      </c>
      <c r="C130" s="3" t="inlineStr">
        <is>
          <t>RockyMountain</t>
        </is>
      </c>
    </row>
    <row collapsed="false" customFormat="false" customHeight="false" hidden="false" ht="12.1" outlineLevel="0" r="131">
      <c r="A131" s="3" t="s">
        <f>=HYPERLINK("https://mp39851918.megaplan.ua/deals/79717/card/","13144")</f>
      </c>
      <c r="B131" s="3" t="inlineStr">
        <is>
          <t>113-0238028-8932205</t>
        </is>
      </c>
      <c r="C131" s="3" t="inlineStr">
        <is>
          <t>RockyMountain</t>
        </is>
      </c>
    </row>
    <row collapsed="false" customFormat="false" customHeight="false" hidden="false" ht="12.1" outlineLevel="0" r="132">
      <c r="A132" s="3" t="s">
        <f>=HYPERLINK("https://mp39851918.megaplan.ua/deals/79733/card/","13145")</f>
      </c>
      <c r="B132" s="3" t="inlineStr">
        <is>
          <t>111-5577189-8273057</t>
        </is>
      </c>
      <c r="C132" s="3" t="inlineStr">
        <is>
          <t>Autodist</t>
        </is>
      </c>
    </row>
    <row collapsed="false" customFormat="false" customHeight="false" hidden="false" ht="12.1" outlineLevel="0" r="133">
      <c r="A133" s="3" t="s">
        <f>=HYPERLINK("https://mp39851918.megaplan.ua/deals/79752/card/","13147")</f>
      </c>
      <c r="B133" s="3" t="inlineStr">
        <is>
          <t>113-8637066-5174665</t>
        </is>
      </c>
      <c r="C133" s="3" t="inlineStr">
        <is>
          <t>Autodist</t>
        </is>
      </c>
    </row>
    <row collapsed="false" customFormat="false" customHeight="false" hidden="false" ht="12.1" outlineLevel="0" r="134">
      <c r="A134" s="3" t="s">
        <f>=HYPERLINK("https://mp39851918.megaplan.ua/deals/79763/card/","13149")</f>
      </c>
      <c r="B134" s="3" t="inlineStr">
        <is>
          <t>113-8091292-2514651</t>
        </is>
      </c>
      <c r="C134" s="3" t="inlineStr">
        <is>
          <t>RockyMountain</t>
        </is>
      </c>
    </row>
    <row collapsed="false" customFormat="false" customHeight="false" hidden="false" ht="12.1" outlineLevel="0" r="135">
      <c r="A135" s="3" t="s">
        <f>=HYPERLINK("https://mp39851918.megaplan.ua/deals/79779/card/","13150")</f>
      </c>
      <c r="B135" s="3" t="inlineStr">
        <is>
          <t>111-5498305-7575405</t>
        </is>
      </c>
      <c r="C135" s="3" t="inlineStr">
        <is>
          <t>RockyMountain</t>
        </is>
      </c>
    </row>
    <row collapsed="false" customFormat="false" customHeight="false" hidden="false" ht="12.1" outlineLevel="0" r="136">
      <c r="A136" s="3" t="s">
        <f>=HYPERLINK("https://mp39851918.megaplan.ua/deals/79784/card/","13152")</f>
      </c>
      <c r="B136" s="3" t="inlineStr">
        <is>
          <t>111-7675814-6252210</t>
        </is>
      </c>
      <c r="C136" s="3" t="inlineStr">
        <is>
          <t>RockyMountain</t>
        </is>
      </c>
    </row>
    <row collapsed="false" customFormat="false" customHeight="false" hidden="false" ht="12.1" outlineLevel="0" r="137">
      <c r="A137" s="3" t="s">
        <f>=HYPERLINK("https://mp39851918.megaplan.ua/deals/79787/card/","13153")</f>
      </c>
      <c r="B137" s="3" t="inlineStr">
        <is>
          <t>113-8728455-7045051</t>
        </is>
      </c>
      <c r="C137" s="3" t="inlineStr">
        <is>
          <t>RockyMountain</t>
        </is>
      </c>
    </row>
    <row collapsed="false" customFormat="false" customHeight="false" hidden="false" ht="12.1" outlineLevel="0" r="138">
      <c r="A138" s="3" t="s">
        <f>=HYPERLINK("https://mp39851918.megaplan.ua/deals/79793/card/","13154")</f>
      </c>
      <c r="B138" s="3" t="inlineStr">
        <is>
          <t>114-2725347-4915425</t>
        </is>
      </c>
      <c r="C138" s="3" t="inlineStr">
        <is>
          <t>RockyMountain</t>
        </is>
      </c>
    </row>
    <row collapsed="false" customFormat="false" customHeight="false" hidden="false" ht="12.1" outlineLevel="0" r="139">
      <c r="A139" s="3" t="s">
        <f>=HYPERLINK("https://mp39851918.megaplan.ua/deals/79795/card/","13155")</f>
      </c>
      <c r="B139" s="3" t="inlineStr">
        <is>
          <t>114-4676873-6549829</t>
        </is>
      </c>
      <c r="C139" s="3" t="inlineStr">
        <is>
          <t>RockyMountain</t>
        </is>
      </c>
    </row>
    <row collapsed="false" customFormat="false" customHeight="false" hidden="false" ht="12.1" outlineLevel="0" r="140">
      <c r="A140" s="3" t="s">
        <f>=HYPERLINK("https://mp39851918.megaplan.ua/deals/79796/card/","13156")</f>
      </c>
      <c r="B140" s="3" t="inlineStr">
        <is>
          <t>114-0681966-9356243</t>
        </is>
      </c>
      <c r="C140" s="3" t="inlineStr">
        <is>
          <t>RockyMountain</t>
        </is>
      </c>
    </row>
    <row collapsed="false" customFormat="false" customHeight="false" hidden="false" ht="12.1" outlineLevel="0" r="141">
      <c r="A141" s="3" t="s">
        <f>=HYPERLINK("https://mp39851918.megaplan.ua/deals/79805/card/","13160")</f>
      </c>
      <c r="B141" s="3" t="inlineStr">
        <is>
          <t>113-7346283-5501844</t>
        </is>
      </c>
      <c r="C141" s="3" t="inlineStr">
        <is>
          <t>RockyMountain</t>
        </is>
      </c>
    </row>
    <row collapsed="false" customFormat="false" customHeight="false" hidden="false" ht="12.1" outlineLevel="0" r="142">
      <c r="A142" s="3" t="s">
        <f>=HYPERLINK("https://mp39851918.megaplan.ua/deals/79810/card/","13161")</f>
      </c>
      <c r="B142" s="3" t="inlineStr">
        <is>
          <t>112-2884638-8124205</t>
        </is>
      </c>
      <c r="C142" s="3" t="inlineStr">
        <is>
          <t>RockyMountain</t>
        </is>
      </c>
    </row>
    <row collapsed="false" customFormat="false" customHeight="false" hidden="false" ht="12.1" outlineLevel="0" r="143">
      <c r="A143" s="3" t="s">
        <f>=HYPERLINK("https://mp39851918.megaplan.ua/deals/79811/card/","13162")</f>
      </c>
      <c r="B143" s="3" t="inlineStr">
        <is>
          <t>111-7064068-3982663</t>
        </is>
      </c>
      <c r="C143" s="3" t="inlineStr">
        <is>
          <t>RockyMountain</t>
        </is>
      </c>
    </row>
    <row collapsed="false" customFormat="false" customHeight="false" hidden="false" ht="12.1" outlineLevel="0" r="144">
      <c r="A144" s="3" t="s">
        <f>=HYPERLINK("https://mp39851918.megaplan.ua/deals/79812/card/","13163")</f>
      </c>
      <c r="B144" s="3" t="inlineStr">
        <is>
          <t>114-7853232-9987452</t>
        </is>
      </c>
      <c r="C144" s="3" t="inlineStr">
        <is>
          <t>PartsUnlimited</t>
        </is>
      </c>
    </row>
    <row collapsed="false" customFormat="false" customHeight="false" hidden="false" ht="12.1" outlineLevel="0" r="145">
      <c r="A145" s="3" t="s">
        <f>=HYPERLINK("https://mp39851918.megaplan.ua/deals/79813/card/","13164")</f>
      </c>
      <c r="B145" s="3" t="inlineStr">
        <is>
          <t>111-7384914-6449826</t>
        </is>
      </c>
      <c r="C145" s="3" t="inlineStr">
        <is>
          <t>PartsUnlimited</t>
        </is>
      </c>
    </row>
    <row collapsed="false" customFormat="false" customHeight="false" hidden="false" ht="12.1" outlineLevel="0" r="146">
      <c r="A146" s="3" t="s">
        <f>=HYPERLINK("https://mp39851918.megaplan.ua/deals/79817/card/","13165")</f>
      </c>
      <c r="B146" s="3" t="inlineStr">
        <is>
          <t>114-8479469-6666619</t>
        </is>
      </c>
      <c r="C146" s="3" t="inlineStr">
        <is>
          <t>RockyMountain</t>
        </is>
      </c>
    </row>
    <row collapsed="false" customFormat="false" customHeight="false" hidden="false" ht="12.1" outlineLevel="0" r="147">
      <c r="A147" s="3" t="s">
        <f>=HYPERLINK("https://mp39851918.megaplan.ua/deals/79833/card/","13167")</f>
      </c>
      <c r="B147" s="3" t="inlineStr">
        <is>
          <t>111-2673822-6697845</t>
        </is>
      </c>
      <c r="C147" s="3" t="inlineStr">
        <is>
          <t>RockyMountain</t>
        </is>
      </c>
    </row>
    <row collapsed="false" customFormat="false" customHeight="false" hidden="false" ht="12.1" outlineLevel="0" r="148">
      <c r="A148" s="3" t="s">
        <f>=HYPERLINK("https://mp39851918.megaplan.ua/deals/79851/card/","13168")</f>
      </c>
      <c r="B148" s="3" t="inlineStr">
        <is>
          <t>112-4520523-8912218</t>
        </is>
      </c>
      <c r="C148" s="3" t="inlineStr">
        <is>
          <t>PartsUnlimited</t>
        </is>
      </c>
    </row>
    <row collapsed="false" customFormat="false" customHeight="false" hidden="false" ht="12.1" outlineLevel="0" r="149">
      <c r="A149" s="3" t="s">
        <f>=HYPERLINK("https://mp39851918.megaplan.ua/deals/79852/card/","13169")</f>
      </c>
      <c r="B149" s="3" t="inlineStr">
        <is>
          <t>113-7544498-7044246</t>
        </is>
      </c>
      <c r="C149" s="3" t="inlineStr">
        <is>
          <t>RockyMountain</t>
        </is>
      </c>
    </row>
    <row collapsed="false" customFormat="false" customHeight="false" hidden="false" ht="12.1" outlineLevel="0" r="150">
      <c r="A150" s="3" t="s">
        <f>=HYPERLINK("https://mp39851918.megaplan.ua/deals/79865/card/","13170")</f>
      </c>
      <c r="B150" s="3" t="inlineStr">
        <is>
          <t>113-7077453-9534629</t>
        </is>
      </c>
      <c r="C150" s="3" t="inlineStr">
        <is>
          <t>RockyMountain</t>
        </is>
      </c>
    </row>
    <row collapsed="false" customFormat="false" customHeight="false" hidden="false" ht="12.1" outlineLevel="0" r="151">
      <c r="A151" s="3" t="s">
        <f>=HYPERLINK("https://mp39851918.megaplan.ua/deals/79867/card/","13171")</f>
      </c>
      <c r="B151" s="3" t="inlineStr">
        <is>
          <t>112-5042289-5939452</t>
        </is>
      </c>
      <c r="C151" s="3" t="inlineStr">
        <is>
          <t>RockyMountain</t>
        </is>
      </c>
    </row>
    <row collapsed="false" customFormat="false" customHeight="false" hidden="false" ht="12.1" outlineLevel="0" r="152">
      <c r="A152" s="3" t="s">
        <f>=HYPERLINK("https://mp39851918.megaplan.ua/deals/79886/card/","13172")</f>
      </c>
      <c r="B152" s="3" t="inlineStr">
        <is>
          <t>112-4091401-3873025</t>
        </is>
      </c>
      <c r="C152" s="3" t="inlineStr">
        <is>
          <t>Autodist</t>
        </is>
      </c>
    </row>
    <row collapsed="false" customFormat="false" customHeight="false" hidden="false" ht="12.1" outlineLevel="0" r="153">
      <c r="A153" s="3" t="s">
        <f>=HYPERLINK("https://mp39851918.megaplan.ua/deals/79890/card/","13173")</f>
      </c>
      <c r="B153" s="3" t="inlineStr">
        <is>
          <t>113-4717795-0897022</t>
        </is>
      </c>
      <c r="C153" s="3" t="inlineStr">
        <is>
          <t>RockyMountain</t>
        </is>
      </c>
    </row>
    <row collapsed="false" customFormat="false" customHeight="false" hidden="false" ht="12.1" outlineLevel="0" r="154">
      <c r="A154" s="3" t="s">
        <f>=HYPERLINK("https://mp39851918.megaplan.ua/deals/79896/card/","13174")</f>
      </c>
      <c r="B154" s="3" t="inlineStr">
        <is>
          <t>114-0629205-0793859</t>
        </is>
      </c>
      <c r="C154" s="3" t="inlineStr">
        <is>
          <t>RockyMountain</t>
        </is>
      </c>
    </row>
    <row collapsed="false" customFormat="false" customHeight="false" hidden="false" ht="12.1" outlineLevel="0" r="155">
      <c r="A155" s="3" t="s">
        <f>=HYPERLINK("https://mp39851918.megaplan.ua/deals/79912/card/","13176")</f>
      </c>
      <c r="B155" s="3" t="inlineStr">
        <is>
          <t>112-0921848-8330659</t>
        </is>
      </c>
      <c r="C155" s="3" t="inlineStr">
        <is>
          <t>Autodist</t>
        </is>
      </c>
    </row>
    <row collapsed="false" customFormat="false" customHeight="false" hidden="false" ht="12.1" outlineLevel="0" r="156">
      <c r="A156" s="3" t="s">
        <f>=HYPERLINK("https://mp39851918.megaplan.ua/deals/79927/card/","13177")</f>
      </c>
      <c r="B156" s="3" t="inlineStr">
        <is>
          <t>114-5432611-6119408</t>
        </is>
      </c>
      <c r="C156" s="3" t="inlineStr">
        <is>
          <t>PartsUnlimited</t>
        </is>
      </c>
    </row>
    <row collapsed="false" customFormat="false" customHeight="false" hidden="false" ht="12.1" outlineLevel="0" r="157">
      <c r="A157" s="3" t="s">
        <f>=HYPERLINK("https://mp39851918.megaplan.ua/deals/79930/card/","13178")</f>
      </c>
      <c r="B157" s="3" t="inlineStr">
        <is>
          <t>112-2453571-5182658</t>
        </is>
      </c>
      <c r="C157" s="3" t="inlineStr">
        <is>
          <t>RockyMountain</t>
        </is>
      </c>
    </row>
    <row collapsed="false" customFormat="false" customHeight="false" hidden="false" ht="12.1" outlineLevel="0" r="158">
      <c r="A158" s="3" t="s">
        <f>=HYPERLINK("https://mp39851918.megaplan.ua/deals/79933/card/","13179")</f>
      </c>
      <c r="B158" s="3" t="inlineStr">
        <is>
          <t>111-2048404-8621857</t>
        </is>
      </c>
      <c r="C158" s="3" t="inlineStr">
        <is>
          <t>Autodist</t>
        </is>
      </c>
    </row>
    <row collapsed="false" customFormat="false" customHeight="false" hidden="false" ht="12.1" outlineLevel="0" r="159">
      <c r="A159" s="3" t="s">
        <f>=HYPERLINK("https://mp39851918.megaplan.ua/deals/79934/card/","13180")</f>
      </c>
      <c r="B159" s="3" t="inlineStr">
        <is>
          <t>113-7065538-9646633</t>
        </is>
      </c>
      <c r="C159" s="3" t="inlineStr">
        <is>
          <t>RockyMountain</t>
        </is>
      </c>
    </row>
    <row collapsed="false" customFormat="false" customHeight="false" hidden="false" ht="12.1" outlineLevel="0" r="160">
      <c r="A160" s="3" t="s">
        <f>=HYPERLINK("https://mp39851918.megaplan.ua/deals/79964/card/","13185")</f>
      </c>
      <c r="B160" s="3" t="inlineStr">
        <is>
          <t>111-7514364-7473803</t>
        </is>
      </c>
      <c r="C160" s="3" t="inlineStr">
        <is>
          <t>Autodist</t>
        </is>
      </c>
    </row>
    <row collapsed="false" customFormat="false" customHeight="false" hidden="false" ht="12.1" outlineLevel="0" r="161">
      <c r="A161" s="3" t="s">
        <f>=HYPERLINK("https://mp39851918.megaplan.ua/deals/79969/card/","13186")</f>
      </c>
      <c r="B161" s="3" t="inlineStr">
        <is>
          <t>111-3169840-6369010</t>
        </is>
      </c>
      <c r="C161" s="3" t="inlineStr">
        <is>
          <t>RockyMountain</t>
        </is>
      </c>
    </row>
    <row collapsed="false" customFormat="false" customHeight="false" hidden="false" ht="12.1" outlineLevel="0" r="162">
      <c r="A162" s="3" t="s">
        <f>=HYPERLINK("https://mp39851918.megaplan.ua/deals/79970/card/","13187")</f>
      </c>
      <c r="B162" s="3" t="inlineStr">
        <is>
          <t>112-3103180-6514631</t>
        </is>
      </c>
      <c r="C162" s="3" t="inlineStr">
        <is>
          <t>RockyMountain</t>
        </is>
      </c>
    </row>
    <row collapsed="false" customFormat="false" customHeight="false" hidden="false" ht="12.1" outlineLevel="0" r="163">
      <c r="A163" s="3" t="s">
        <f>=HYPERLINK("https://mp39851918.megaplan.ua/deals/79971/card/","13188")</f>
      </c>
      <c r="B163" s="3" t="inlineStr">
        <is>
          <t>112-1577048-1853029</t>
        </is>
      </c>
      <c r="C163" s="3" t="inlineStr">
        <is>
          <t>RockyMountain</t>
        </is>
      </c>
    </row>
    <row collapsed="false" customFormat="false" customHeight="false" hidden="false" ht="12.1" outlineLevel="0" r="164">
      <c r="A164" s="3" t="s">
        <f>=HYPERLINK("https://mp39851918.megaplan.ua/deals/79974/card/","13189")</f>
      </c>
      <c r="B164" s="3" t="inlineStr">
        <is>
          <t>112-3292095-7581864</t>
        </is>
      </c>
      <c r="C164" s="3" t="inlineStr">
        <is>
          <t>PartsUnlimited</t>
        </is>
      </c>
    </row>
    <row collapsed="false" customFormat="false" customHeight="false" hidden="false" ht="12.1" outlineLevel="0" r="165">
      <c r="A165" s="3" t="s">
        <f>=HYPERLINK("https://mp39851918.megaplan.ua/deals/79977/card/","13190")</f>
      </c>
      <c r="B165" s="3" t="inlineStr">
        <is>
          <t>111-8009613-1201807</t>
        </is>
      </c>
      <c r="C165" s="3" t="inlineStr">
        <is>
          <t>RockyMountain</t>
        </is>
      </c>
    </row>
    <row collapsed="false" customFormat="false" customHeight="false" hidden="false" ht="12.1" outlineLevel="0" r="166">
      <c r="A166" s="3" t="s">
        <f>=HYPERLINK("https://mp39851918.megaplan.ua/deals/79978/card/","13191")</f>
      </c>
      <c r="B166" s="3" t="inlineStr">
        <is>
          <t>113-8252571-3271421</t>
        </is>
      </c>
      <c r="C166" s="3" t="inlineStr">
        <is>
          <t>PartsUnlimited</t>
        </is>
      </c>
    </row>
    <row collapsed="false" customFormat="false" customHeight="false" hidden="false" ht="12.1" outlineLevel="0" r="167">
      <c r="A167" s="3" t="s">
        <f>=HYPERLINK("https://mp39851918.megaplan.ua/deals/79979/card/","13192")</f>
      </c>
      <c r="B167" s="3" t="inlineStr">
        <is>
          <t>114-7090760-6498630</t>
        </is>
      </c>
      <c r="C167" s="3" t="inlineStr">
        <is>
          <t>Autodist</t>
        </is>
      </c>
    </row>
    <row collapsed="false" customFormat="false" customHeight="false" hidden="false" ht="12.1" outlineLevel="0" r="168">
      <c r="A168" s="3" t="s">
        <f>=HYPERLINK("https://mp39851918.megaplan.ua/deals/79993/card/","13195")</f>
      </c>
      <c r="B168" s="3" t="inlineStr">
        <is>
          <t>113-0007639-0453837</t>
        </is>
      </c>
      <c r="C168" s="3" t="inlineStr">
        <is>
          <t>RockyMountain</t>
        </is>
      </c>
    </row>
    <row collapsed="false" customFormat="false" customHeight="false" hidden="false" ht="12.1" outlineLevel="0" r="169">
      <c r="A169" s="3" t="s">
        <f>=HYPERLINK("https://mp39851918.megaplan.ua/deals/79996/card/","13196")</f>
      </c>
      <c r="B169" s="3" t="inlineStr">
        <is>
          <t>112-5021433-0938627</t>
        </is>
      </c>
      <c r="C169" s="3" t="inlineStr">
        <is>
          <t>RockyMountain</t>
        </is>
      </c>
    </row>
    <row collapsed="false" customFormat="false" customHeight="false" hidden="false" ht="12.1" outlineLevel="0" r="170">
      <c r="A170" s="3" t="s">
        <f>=HYPERLINK("https://mp39851918.megaplan.ua/deals/79999/card/","13197")</f>
      </c>
      <c r="B170" s="3" t="inlineStr">
        <is>
          <t>113-7530965-1441067</t>
        </is>
      </c>
      <c r="C170" s="3" t="inlineStr">
        <is>
          <t>RockyMountain</t>
        </is>
      </c>
    </row>
    <row collapsed="false" customFormat="false" customHeight="false" hidden="false" ht="12.1" outlineLevel="0" r="171">
      <c r="A171" s="3" t="s">
        <f>=HYPERLINK("https://mp39851918.megaplan.ua/deals/80003/card/","13198")</f>
      </c>
      <c r="B171" s="3" t="inlineStr">
        <is>
          <t>112-3866266-5437024</t>
        </is>
      </c>
      <c r="C171" s="3" t="inlineStr">
        <is>
          <t>Autodist</t>
        </is>
      </c>
    </row>
    <row collapsed="false" customFormat="false" customHeight="false" hidden="false" ht="12.1" outlineLevel="0" r="172">
      <c r="A172" s="3" t="s">
        <f>=HYPERLINK("https://mp39851918.megaplan.ua/deals/80004/card/","13199")</f>
      </c>
      <c r="B172" s="3" t="inlineStr">
        <is>
          <t>114-1962657-1071448</t>
        </is>
      </c>
      <c r="C172" s="3" t="inlineStr">
        <is>
          <t>Autodist</t>
        </is>
      </c>
    </row>
    <row collapsed="false" customFormat="false" customHeight="false" hidden="false" ht="12.1" outlineLevel="0" r="173">
      <c r="A173" s="3" t="s">
        <f>=HYPERLINK("https://mp39851918.megaplan.ua/deals/80014/card/","13201")</f>
      </c>
      <c r="B173" s="3" t="inlineStr">
        <is>
          <t>113-5767517-5304247</t>
        </is>
      </c>
      <c r="C173" s="3" t="inlineStr">
        <is>
          <t>RockyMountain</t>
        </is>
      </c>
    </row>
    <row collapsed="false" customFormat="false" customHeight="false" hidden="false" ht="12.1" outlineLevel="0" r="174">
      <c r="A174" s="3" t="s">
        <f>=HYPERLINK("https://mp39851918.megaplan.ua/deals/80026/card/","13202")</f>
      </c>
      <c r="B174" s="3" t="inlineStr">
        <is>
          <t>112-1210377-2947456</t>
        </is>
      </c>
      <c r="C174" s="3" t="inlineStr">
        <is>
          <t>RockyMountain</t>
        </is>
      </c>
    </row>
    <row collapsed="false" customFormat="false" customHeight="false" hidden="false" ht="12.1" outlineLevel="0" r="175">
      <c r="A175" s="3" t="s">
        <f>=HYPERLINK("https://mp39851918.megaplan.ua/deals/80056/card/","13205")</f>
      </c>
      <c r="B175" s="3" t="inlineStr">
        <is>
          <t>111-5972065-4039466</t>
        </is>
      </c>
      <c r="C175" s="3" t="inlineStr">
        <is>
          <t>RockyMountain</t>
        </is>
      </c>
    </row>
    <row collapsed="false" customFormat="false" customHeight="false" hidden="false" ht="12.1" outlineLevel="0" r="176">
      <c r="A176" s="3" t="s">
        <f>=HYPERLINK("https://mp39851918.megaplan.ua/deals/80075/card/","13209")</f>
      </c>
      <c r="B176" s="3" t="inlineStr">
        <is>
          <t>111-5297691-7579416</t>
        </is>
      </c>
      <c r="C176" s="3" t="inlineStr">
        <is>
          <t>PartsUnlimited</t>
        </is>
      </c>
    </row>
    <row collapsed="false" customFormat="false" customHeight="false" hidden="false" ht="12.1" outlineLevel="0" r="177">
      <c r="A177" s="3" t="s">
        <f>=HYPERLINK("https://mp39851918.megaplan.ua/deals/80078/card/","13210")</f>
      </c>
      <c r="B177" s="3" t="inlineStr">
        <is>
          <t>113-4969771-7119431</t>
        </is>
      </c>
      <c r="C177" s="3" t="inlineStr">
        <is>
          <t>Autodist</t>
        </is>
      </c>
    </row>
    <row collapsed="false" customFormat="false" customHeight="false" hidden="false" ht="12.1" outlineLevel="0" r="178">
      <c r="A178" s="3" t="s">
        <f>=HYPERLINK("https://mp39851918.megaplan.ua/deals/80092/card/","13213")</f>
      </c>
      <c r="B178" s="3" t="inlineStr">
        <is>
          <t>114-8399124-0092243</t>
        </is>
      </c>
      <c r="C178" s="3" t="inlineStr">
        <is>
          <t>Autodist</t>
        </is>
      </c>
    </row>
    <row collapsed="false" customFormat="false" customHeight="false" hidden="false" ht="12.1" outlineLevel="0" r="179">
      <c r="A179" s="3" t="s">
        <f>=HYPERLINK("https://mp39851918.megaplan.ua/deals/80101/card/","13215")</f>
      </c>
      <c r="B179" s="3" t="inlineStr">
        <is>
          <t>113-5069725-8205828</t>
        </is>
      </c>
      <c r="C179" s="3" t="inlineStr">
        <is>
          <t>RockyMountain</t>
        </is>
      </c>
    </row>
    <row collapsed="false" customFormat="false" customHeight="false" hidden="false" ht="12.1" outlineLevel="0" r="180">
      <c r="A180" s="3" t="s">
        <f>=HYPERLINK("https://mp39851918.megaplan.ua/deals/80147/card/","13219")</f>
      </c>
      <c r="B180" s="3" t="inlineStr">
        <is>
          <t>114-8231976-0731416</t>
        </is>
      </c>
      <c r="C180" s="3" t="inlineStr">
        <is>
          <t>RockyMountain</t>
        </is>
      </c>
    </row>
    <row collapsed="false" customFormat="false" customHeight="false" hidden="false" ht="12.1" outlineLevel="0" r="181">
      <c r="A181" s="3" t="s">
        <f>=HYPERLINK("https://mp39851918.megaplan.ua/deals/80151/card/","13220")</f>
      </c>
      <c r="B181" s="3" t="inlineStr">
        <is>
          <t>112-5410714-5707416</t>
        </is>
      </c>
      <c r="C181" s="3" t="inlineStr">
        <is>
          <t>PartsUnlimited</t>
        </is>
      </c>
    </row>
    <row collapsed="false" customFormat="false" customHeight="false" hidden="false" ht="12.1" outlineLevel="0" r="182">
      <c r="A182" s="3" t="s">
        <f>=HYPERLINK("https://mp39851918.megaplan.ua/deals/80168/card/","13222")</f>
      </c>
      <c r="B182" s="3" t="inlineStr">
        <is>
          <t>113-7842029-1609833</t>
        </is>
      </c>
      <c r="C182" s="3" t="inlineStr">
        <is>
          <t>RockyMountain</t>
        </is>
      </c>
    </row>
    <row collapsed="false" customFormat="false" customHeight="false" hidden="false" ht="12.1" outlineLevel="0" r="183">
      <c r="A183" s="3" t="s">
        <f>=HYPERLINK("https://mp39851918.megaplan.ua/deals/80174/card/","13224")</f>
      </c>
      <c r="B183" s="3" t="inlineStr">
        <is>
          <t>111-8277401-7089802</t>
        </is>
      </c>
      <c r="C183" s="3" t="inlineStr">
        <is>
          <t>RockyMountain</t>
        </is>
      </c>
    </row>
    <row collapsed="false" customFormat="false" customHeight="false" hidden="false" ht="12.1" outlineLevel="0" r="184">
      <c r="A184" s="3" t="s">
        <f>=HYPERLINK("https://mp39851918.megaplan.ua/deals/80190/card/","13226")</f>
      </c>
      <c r="B184" s="3" t="inlineStr">
        <is>
          <t>113-7004878-0097830</t>
        </is>
      </c>
      <c r="C184" s="3" t="inlineStr">
        <is>
          <t>RockyMountain</t>
        </is>
      </c>
    </row>
    <row collapsed="false" customFormat="false" customHeight="false" hidden="false" ht="12.1" outlineLevel="0" r="185">
      <c r="A185" s="3" t="s">
        <f>=HYPERLINK("https://mp39851918.megaplan.ua/deals/80197/card/","13227")</f>
      </c>
      <c r="B185" s="3" t="inlineStr">
        <is>
          <t>112-9011277-3377836</t>
        </is>
      </c>
      <c r="C185" s="3" t="inlineStr">
        <is>
          <t>RockyMountain</t>
        </is>
      </c>
    </row>
    <row collapsed="false" customFormat="false" customHeight="false" hidden="false" ht="12.1" outlineLevel="0" r="186">
      <c r="A186" s="3" t="s">
        <f>=HYPERLINK("https://mp39851918.megaplan.ua/deals/80214/card/","13228")</f>
      </c>
      <c r="B186" s="3" t="inlineStr">
        <is>
          <t>113-5217209-4747447</t>
        </is>
      </c>
      <c r="C186" s="3" t="inlineStr">
        <is>
          <t>RockyMountain</t>
        </is>
      </c>
    </row>
    <row collapsed="false" customFormat="false" customHeight="false" hidden="false" ht="12.1" outlineLevel="0" r="187">
      <c r="A187" s="3" t="s">
        <f>=HYPERLINK("https://mp39851918.megaplan.ua/deals/80226/card/","13230")</f>
      </c>
      <c r="B187" s="3" t="inlineStr">
        <is>
          <t>111-4905732-7709836</t>
        </is>
      </c>
      <c r="C187" s="3" t="inlineStr">
        <is>
          <t>RockyMountain</t>
        </is>
      </c>
    </row>
    <row collapsed="false" customFormat="false" customHeight="false" hidden="false" ht="12.1" outlineLevel="0" r="188">
      <c r="A188" s="3" t="s">
        <f>=HYPERLINK("https://mp39851918.megaplan.ua/deals/80231/card/","13231")</f>
      </c>
      <c r="B188" s="3" t="inlineStr">
        <is>
          <t>111-3473887-9083437</t>
        </is>
      </c>
      <c r="C188" s="3" t="inlineStr">
        <is>
          <t>PartsUnlimited</t>
        </is>
      </c>
    </row>
    <row collapsed="false" customFormat="false" customHeight="false" hidden="false" ht="12.1" outlineLevel="0" r="189">
      <c r="A189" s="3" t="s">
        <f>=HYPERLINK("https://mp39851918.megaplan.ua/deals/80240/card/","13232")</f>
      </c>
      <c r="B189" s="3" t="inlineStr">
        <is>
          <t>114-7955467-8747429</t>
        </is>
      </c>
      <c r="C189" s="3" t="inlineStr">
        <is>
          <t>RockyMountain</t>
        </is>
      </c>
    </row>
    <row collapsed="false" customFormat="false" customHeight="false" hidden="false" ht="12.1" outlineLevel="0" r="190">
      <c r="A190" s="3" t="s">
        <f>=HYPERLINK("https://mp39851918.megaplan.ua/deals/80247/card/","13233")</f>
      </c>
      <c r="B190" s="3" t="inlineStr">
        <is>
          <t>112-4102297-4402606</t>
        </is>
      </c>
      <c r="C190" s="3" t="inlineStr">
        <is>
          <t>PartsUnlimited</t>
        </is>
      </c>
    </row>
    <row collapsed="false" customFormat="false" customHeight="false" hidden="false" ht="12.1" outlineLevel="0" r="191">
      <c r="A191" s="3" t="s">
        <f>=HYPERLINK("https://mp39851918.megaplan.ua/deals/80252/card/","13234")</f>
      </c>
      <c r="B191" s="3" t="inlineStr">
        <is>
          <t>114-6483636-2477008</t>
        </is>
      </c>
      <c r="C191" s="3" t="inlineStr">
        <is>
          <t>RockyMountain</t>
        </is>
      </c>
    </row>
    <row collapsed="false" customFormat="false" customHeight="false" hidden="false" ht="12.1" outlineLevel="0" r="192">
      <c r="A192" s="3" t="s">
        <f>=HYPERLINK("https://mp39851918.megaplan.ua/deals/80254/card/","13235")</f>
      </c>
      <c r="B192" s="3" t="inlineStr">
        <is>
          <t>114-9749478-0829855</t>
        </is>
      </c>
      <c r="C192" s="3" t="inlineStr">
        <is>
          <t>RockyMountain</t>
        </is>
      </c>
    </row>
    <row collapsed="false" customFormat="false" customHeight="false" hidden="false" ht="12.1" outlineLevel="0" r="193">
      <c r="A193" s="3" t="s">
        <f>=HYPERLINK("https://mp39851918.megaplan.ua/deals/80257/card/","13236")</f>
      </c>
      <c r="B193" s="3" t="inlineStr">
        <is>
          <t>111-1291927-5601043</t>
        </is>
      </c>
      <c r="C193" s="3" t="inlineStr">
        <is>
          <t>RockyMountain</t>
        </is>
      </c>
    </row>
    <row collapsed="false" customFormat="false" customHeight="false" hidden="false" ht="12.1" outlineLevel="0" r="194">
      <c r="A194" s="3" t="s">
        <f>=HYPERLINK("https://mp39851918.megaplan.ua/deals/80263/card/","13237")</f>
      </c>
      <c r="B194" s="3" t="inlineStr">
        <is>
          <t>111-2475046-7505032</t>
        </is>
      </c>
      <c r="C194" s="3" t="inlineStr">
        <is>
          <t>RockyMountain</t>
        </is>
      </c>
    </row>
    <row collapsed="false" customFormat="false" customHeight="false" hidden="false" ht="12.1" outlineLevel="0" r="195">
      <c r="A195" s="3" t="s">
        <f>=HYPERLINK("https://mp39851918.megaplan.ua/deals/80270/card/","13239")</f>
      </c>
      <c r="B195" s="3" t="inlineStr">
        <is>
          <t>111-9600238-6332230</t>
        </is>
      </c>
      <c r="C195" s="3" t="inlineStr">
        <is>
          <t>RockyMountain</t>
        </is>
      </c>
    </row>
    <row collapsed="false" customFormat="false" customHeight="false" hidden="false" ht="12.1" outlineLevel="0" r="196">
      <c r="A196" s="3" t="s">
        <f>=HYPERLINK("https://mp39851918.megaplan.ua/deals/80276/card/","13240")</f>
      </c>
      <c r="B196" s="3" t="inlineStr">
        <is>
          <t>111-6143651-0303413</t>
        </is>
      </c>
      <c r="C196" s="3" t="inlineStr">
        <is>
          <t>RockyMountain</t>
        </is>
      </c>
    </row>
    <row collapsed="false" customFormat="false" customHeight="false" hidden="false" ht="12.1" outlineLevel="0" r="197">
      <c r="A197" s="3" t="s">
        <f>=HYPERLINK("https://mp39851918.megaplan.ua/deals/80324/card/","13245")</f>
      </c>
      <c r="B197" s="3" t="inlineStr">
        <is>
          <t>113-0044116-3379473</t>
        </is>
      </c>
      <c r="C197" s="3" t="inlineStr">
        <is>
          <t>RockyMountain</t>
        </is>
      </c>
    </row>
    <row collapsed="false" customFormat="false" customHeight="false" hidden="false" ht="12.1" outlineLevel="0" r="198">
      <c r="A198" s="3" t="s">
        <f>=HYPERLINK("https://mp39851918.megaplan.ua/deals/80326/card/","13246")</f>
      </c>
      <c r="B198" s="3" t="inlineStr">
        <is>
          <t>112-5531552-2607457</t>
        </is>
      </c>
      <c r="C198" s="3" t="inlineStr">
        <is>
          <t>RockyMountain</t>
        </is>
      </c>
    </row>
    <row collapsed="false" customFormat="false" customHeight="false" hidden="false" ht="12.1" outlineLevel="0" r="199">
      <c r="A199" s="3" t="s">
        <f>=HYPERLINK("https://mp39851918.megaplan.ua/deals/80353/card/","13251")</f>
      </c>
      <c r="B199" s="3" t="inlineStr">
        <is>
          <t>113-1620723-2267431</t>
        </is>
      </c>
      <c r="C199" s="3" t="inlineStr">
        <is>
          <t>Autodist</t>
        </is>
      </c>
    </row>
    <row collapsed="false" customFormat="false" customHeight="false" hidden="false" ht="12.1" outlineLevel="0" r="200">
      <c r="A200" s="3" t="s">
        <f>=HYPERLINK("https://mp39851918.megaplan.ua/deals/80369/card/","13258")</f>
      </c>
      <c r="B200" s="3" t="inlineStr">
        <is>
          <t>112-8560976-9857027</t>
        </is>
      </c>
      <c r="C200" s="3" t="inlineStr">
        <is>
          <t>Autodist</t>
        </is>
      </c>
    </row>
    <row collapsed="false" customFormat="false" customHeight="false" hidden="false" ht="12.1" outlineLevel="0" r="201">
      <c r="A201" s="3" t="s">
        <f>=HYPERLINK("https://mp39851918.megaplan.ua/deals/80378/card/","13263")</f>
      </c>
      <c r="B201" s="3" t="inlineStr">
        <is>
          <t>114-8642501-7549031</t>
        </is>
      </c>
      <c r="C201" s="3" t="inlineStr">
        <is>
          <t>RockyMountain</t>
        </is>
      </c>
    </row>
    <row collapsed="false" customFormat="false" customHeight="false" hidden="false" ht="12.1" outlineLevel="0" r="202">
      <c r="A202" s="3" t="s">
        <f>=HYPERLINK("https://mp39851918.megaplan.ua/deals/80384/card/","13264")</f>
      </c>
      <c r="B202" s="3" t="inlineStr">
        <is>
          <t>112-1676757-9465828</t>
        </is>
      </c>
      <c r="C202" s="3" t="inlineStr">
        <is>
          <t>RockyMountain</t>
        </is>
      </c>
    </row>
    <row collapsed="false" customFormat="false" customHeight="false" hidden="false" ht="12.1" outlineLevel="0" r="203">
      <c r="A203" s="3" t="s">
        <f>=HYPERLINK("https://mp39851918.megaplan.ua/deals/80385/card/","13265")</f>
      </c>
      <c r="B203" s="3" t="inlineStr">
        <is>
          <t>114-1508771-9559401</t>
        </is>
      </c>
      <c r="C203" s="3" t="inlineStr">
        <is>
          <t>RockyMountain</t>
        </is>
      </c>
    </row>
    <row collapsed="false" customFormat="false" customHeight="false" hidden="false" ht="12.1" outlineLevel="0" r="204">
      <c r="A204" s="3" t="s">
        <f>=HYPERLINK("https://mp39851918.megaplan.ua/deals/80386/card/","13266")</f>
      </c>
      <c r="B204" s="3" t="inlineStr">
        <is>
          <t>111-5696738-4009849</t>
        </is>
      </c>
      <c r="C204" s="3" t="inlineStr">
        <is>
          <t>RockyMountain</t>
        </is>
      </c>
    </row>
    <row collapsed="false" customFormat="false" customHeight="false" hidden="false" ht="12.1" outlineLevel="0" r="205">
      <c r="A205" s="3" t="s">
        <f>=HYPERLINK("https://mp39851918.megaplan.ua/deals/80388/card/","13267")</f>
      </c>
      <c r="B205" s="3" t="inlineStr">
        <is>
          <t>111-2002872-6689822</t>
        </is>
      </c>
      <c r="C205" s="3" t="inlineStr">
        <is>
          <t>RockyMountain</t>
        </is>
      </c>
    </row>
    <row collapsed="false" customFormat="false" customHeight="false" hidden="false" ht="12.1" outlineLevel="0" r="206">
      <c r="A206" s="3" t="s">
        <f>=HYPERLINK("https://mp39851918.megaplan.ua/deals/80389/card/","13268")</f>
      </c>
      <c r="B206" s="3" t="inlineStr">
        <is>
          <t>114-0966772-6141830</t>
        </is>
      </c>
      <c r="C206" s="3" t="inlineStr">
        <is>
          <t>RockyMountain</t>
        </is>
      </c>
    </row>
    <row collapsed="false" customFormat="false" customHeight="false" hidden="false" ht="12.1" outlineLevel="0" r="207">
      <c r="A207" s="3" t="s">
        <f>=HYPERLINK("https://mp39851918.megaplan.ua/deals/80395/card/","13269")</f>
      </c>
      <c r="B207" s="3" t="inlineStr">
        <is>
          <t>113-5917766-0506645</t>
        </is>
      </c>
      <c r="C207" s="3" t="inlineStr">
        <is>
          <t>Autodist</t>
        </is>
      </c>
    </row>
    <row collapsed="false" customFormat="false" customHeight="false" hidden="false" ht="12.1" outlineLevel="0" r="208">
      <c r="A208" s="3" t="s">
        <f>=HYPERLINK("https://mp39851918.megaplan.ua/deals/80398/card/","13270")</f>
      </c>
      <c r="B208" s="3" t="inlineStr">
        <is>
          <t>111-9566399-3721052</t>
        </is>
      </c>
      <c r="C208" s="3" t="inlineStr">
        <is>
          <t>RockyMountain</t>
        </is>
      </c>
    </row>
    <row collapsed="false" customFormat="false" customHeight="false" hidden="false" ht="12.1" outlineLevel="0" r="209">
      <c r="A209" s="3" t="s">
        <f>=HYPERLINK("https://mp39851918.megaplan.ua/deals/80399/card/","13271")</f>
      </c>
      <c r="B209" s="3" t="inlineStr">
        <is>
          <t>113-8147568-6300220</t>
        </is>
      </c>
      <c r="C209" s="3" t="inlineStr">
        <is>
          <t>RockyMountain</t>
        </is>
      </c>
    </row>
    <row collapsed="false" customFormat="false" customHeight="false" hidden="false" ht="12.1" outlineLevel="0" r="210">
      <c r="A210" s="3" t="s">
        <f>=HYPERLINK("https://mp39851918.megaplan.ua/deals/80400/card/","13272")</f>
      </c>
      <c r="B210" s="3" t="inlineStr">
        <is>
          <t>114-7592037-8474648</t>
        </is>
      </c>
      <c r="C210" s="3" t="inlineStr">
        <is>
          <t>RockyMountain</t>
        </is>
      </c>
    </row>
    <row collapsed="false" customFormat="false" customHeight="false" hidden="false" ht="12.1" outlineLevel="0" r="211">
      <c r="A211" s="3" t="s">
        <f>=HYPERLINK("https://mp39851918.megaplan.ua/deals/80406/card/","13273")</f>
      </c>
      <c r="B211" s="3" t="inlineStr">
        <is>
          <t>111-0622939-4288200</t>
        </is>
      </c>
      <c r="C211" s="3" t="inlineStr">
        <is>
          <t>RockyMountain</t>
        </is>
      </c>
    </row>
    <row collapsed="false" customFormat="false" customHeight="false" hidden="false" ht="12.1" outlineLevel="0" r="212">
      <c r="A212" s="3" t="s">
        <f>=HYPERLINK("https://mp39851918.megaplan.ua/deals/80407/card/","13274")</f>
      </c>
      <c r="B212" s="3" t="inlineStr">
        <is>
          <t>113-9883637-8595413</t>
        </is>
      </c>
      <c r="C212" s="3" t="inlineStr">
        <is>
          <t>RockyMountain</t>
        </is>
      </c>
    </row>
    <row collapsed="false" customFormat="false" customHeight="false" hidden="false" ht="12.1" outlineLevel="0" r="213">
      <c r="A213" s="3" t="s">
        <f>=HYPERLINK("https://mp39851918.megaplan.ua/deals/80408/card/","13275")</f>
      </c>
      <c r="B213" s="3" t="inlineStr">
        <is>
          <t>111-2263140-7924213</t>
        </is>
      </c>
      <c r="C213" s="3" t="inlineStr">
        <is>
          <t>RockyMountain</t>
        </is>
      </c>
    </row>
    <row collapsed="false" customFormat="false" customHeight="false" hidden="false" ht="12.1" outlineLevel="0" r="214">
      <c r="A214" s="3" t="s">
        <f>=HYPERLINK("https://mp39851918.megaplan.ua/deals/80409/card/","13276")</f>
      </c>
      <c r="B214" s="3" t="inlineStr">
        <is>
          <t>114-4989221-5920225</t>
        </is>
      </c>
      <c r="C214" s="3" t="inlineStr">
        <is>
          <t>RockyMountain</t>
        </is>
      </c>
    </row>
    <row collapsed="false" customFormat="false" customHeight="false" hidden="false" ht="12.1" outlineLevel="0" r="215">
      <c r="A215" s="3" t="s">
        <f>=HYPERLINK("https://mp39851918.megaplan.ua/deals/80423/card/","13277")</f>
      </c>
      <c r="B215" s="3" t="inlineStr">
        <is>
          <t>112-0302768-0210665</t>
        </is>
      </c>
      <c r="C215" s="3" t="inlineStr">
        <is>
          <t>RockyMountain</t>
        </is>
      </c>
    </row>
    <row collapsed="false" customFormat="false" customHeight="false" hidden="false" ht="12.1" outlineLevel="0" r="216">
      <c r="A216" s="3" t="s">
        <f>=HYPERLINK("https://mp39851918.megaplan.ua/deals/80454/card/","13280")</f>
      </c>
      <c r="B216" s="3" t="inlineStr">
        <is>
          <t>113-7248337-7853826</t>
        </is>
      </c>
      <c r="C216" s="3" t="inlineStr">
        <is>
          <t>RockyMountain</t>
        </is>
      </c>
    </row>
    <row collapsed="false" customFormat="false" customHeight="false" hidden="false" ht="12.1" outlineLevel="0" r="217">
      <c r="A217" s="3" t="s">
        <f>=HYPERLINK("https://mp39851918.megaplan.ua/deals/80458/card/","13281")</f>
      </c>
      <c r="B217" s="3" t="inlineStr">
        <is>
          <t>112-8705893-2725057</t>
        </is>
      </c>
      <c r="C217" s="3" t="inlineStr">
        <is>
          <t>RockyMountain</t>
        </is>
      </c>
    </row>
    <row collapsed="false" customFormat="false" customHeight="false" hidden="false" ht="12.1" outlineLevel="0" r="218">
      <c r="A218" s="3" t="s">
        <f>=HYPERLINK("https://mp39851918.megaplan.ua/deals/80464/card/","13282")</f>
      </c>
      <c r="B218" s="3" t="inlineStr">
        <is>
          <t>114-7281710-6714610</t>
        </is>
      </c>
      <c r="C218" s="3" t="inlineStr">
        <is>
          <t>Autodist</t>
        </is>
      </c>
    </row>
    <row collapsed="false" customFormat="false" customHeight="false" hidden="false" ht="12.1" outlineLevel="0" r="219">
      <c r="A219" s="3" t="s">
        <f>=HYPERLINK("https://mp39851918.megaplan.ua/deals/80466/card/","13283")</f>
      </c>
      <c r="B219" s="3" t="inlineStr">
        <is>
          <t>114-9891488-9121058</t>
        </is>
      </c>
      <c r="C219" s="3" t="inlineStr">
        <is>
          <t>RockyMountain</t>
        </is>
      </c>
    </row>
    <row collapsed="false" customFormat="false" customHeight="false" hidden="false" ht="12.1" outlineLevel="0" r="220">
      <c r="A220" s="3" t="s">
        <f>=HYPERLINK("https://mp39851918.megaplan.ua/deals/80469/card/","13284")</f>
      </c>
      <c r="B220" s="3" t="inlineStr">
        <is>
          <t>113-8662891-2720261</t>
        </is>
      </c>
      <c r="C220" s="3" t="inlineStr">
        <is>
          <t>RockyMountain</t>
        </is>
      </c>
    </row>
    <row collapsed="false" customFormat="false" customHeight="false" hidden="false" ht="12.1" outlineLevel="0" r="221">
      <c r="A221" s="3" t="s">
        <f>=HYPERLINK("https://mp39851918.megaplan.ua/deals/80499/card/","13287")</f>
      </c>
      <c r="B221" s="3" t="inlineStr">
        <is>
          <t>114-5855826-4221031</t>
        </is>
      </c>
      <c r="C221" s="3" t="inlineStr">
        <is>
          <t>RockyMountain</t>
        </is>
      </c>
    </row>
    <row collapsed="false" customFormat="false" customHeight="false" hidden="false" ht="12.1" outlineLevel="0" r="222">
      <c r="A222" s="3" t="s">
        <f>=HYPERLINK("https://mp39851918.megaplan.ua/deals/80504/card/","13288")</f>
      </c>
      <c r="B222" s="3" t="inlineStr">
        <is>
          <t>111-9083144-9459465</t>
        </is>
      </c>
      <c r="C222" s="3" t="inlineStr">
        <is>
          <t>RockyMountain</t>
        </is>
      </c>
    </row>
    <row collapsed="false" customFormat="false" customHeight="false" hidden="false" ht="12.1" outlineLevel="0" r="223">
      <c r="A223" s="3" t="s">
        <f>=HYPERLINK("https://mp39851918.megaplan.ua/deals/80513/card/","13289")</f>
      </c>
      <c r="B223" s="3" t="inlineStr">
        <is>
          <t>112-4255471-8849844</t>
        </is>
      </c>
      <c r="C223" s="3" t="inlineStr">
        <is>
          <t>RockyMountain</t>
        </is>
      </c>
    </row>
    <row collapsed="false" customFormat="false" customHeight="false" hidden="false" ht="12.1" outlineLevel="0" r="224">
      <c r="A224" s="3" t="s">
        <f>=HYPERLINK("https://mp39851918.megaplan.ua/deals/80536/card/","13293")</f>
      </c>
      <c r="B224" s="3" t="inlineStr">
        <is>
          <t>114-0709639-6258609</t>
        </is>
      </c>
      <c r="C224" s="3" t="inlineStr">
        <is>
          <t>RockyMountain</t>
        </is>
      </c>
    </row>
    <row collapsed="false" customFormat="false" customHeight="false" hidden="false" ht="12.1" outlineLevel="0" r="225">
      <c r="A225" s="3" t="s">
        <f>=HYPERLINK("https://mp39851918.megaplan.ua/deals/80540/card/","13294")</f>
      </c>
      <c r="B225" s="3" t="inlineStr">
        <is>
          <t>113-6956751-5684212</t>
        </is>
      </c>
      <c r="C225" s="3" t="inlineStr">
        <is>
          <t>RockyMountain</t>
        </is>
      </c>
    </row>
    <row collapsed="false" customFormat="false" customHeight="false" hidden="false" ht="12.1" outlineLevel="0" r="226">
      <c r="A226" s="3" t="s">
        <f>=HYPERLINK("https://mp39851918.megaplan.ua/deals/80546/card/","13295")</f>
      </c>
      <c r="B226" s="3" t="inlineStr">
        <is>
          <t>114-5834839-3825847</t>
        </is>
      </c>
      <c r="C226" s="3" t="inlineStr">
        <is>
          <t>RockyMountain</t>
        </is>
      </c>
    </row>
    <row collapsed="false" customFormat="false" customHeight="false" hidden="false" ht="12.1" outlineLevel="0" r="227">
      <c r="A227" s="3" t="s">
        <f>=HYPERLINK("https://mp39851918.megaplan.ua/deals/80550/card/","13296")</f>
      </c>
      <c r="B227" s="3" t="inlineStr">
        <is>
          <t>113-7069144-4500261</t>
        </is>
      </c>
      <c r="C227" s="3" t="inlineStr">
        <is>
          <t>RockyMountain</t>
        </is>
      </c>
    </row>
    <row collapsed="false" customFormat="false" customHeight="false" hidden="false" ht="12.1" outlineLevel="0" r="228">
      <c r="A228" s="3" t="s">
        <f>=HYPERLINK("https://mp39851918.megaplan.ua/deals/80554/card/","13297")</f>
      </c>
      <c r="B228" s="3" t="inlineStr">
        <is>
          <t>114-4086407-6805806</t>
        </is>
      </c>
      <c r="C228" s="3" t="inlineStr">
        <is>
          <t>RockyMountain</t>
        </is>
      </c>
    </row>
    <row collapsed="false" customFormat="false" customHeight="false" hidden="false" ht="12.1" outlineLevel="0" r="229">
      <c r="A229" s="3" t="s">
        <f>=HYPERLINK("https://mp39851918.megaplan.ua/deals/80562/card/","13299")</f>
      </c>
      <c r="B229" s="3" t="inlineStr">
        <is>
          <t>111-1915926-8248269</t>
        </is>
      </c>
      <c r="C229" s="3" t="inlineStr">
        <is>
          <t>PartsUnlimited</t>
        </is>
      </c>
    </row>
    <row collapsed="false" customFormat="false" customHeight="false" hidden="false" ht="12.1" outlineLevel="0" r="230">
      <c r="A230" s="3" t="s">
        <f>=HYPERLINK("https://mp39851918.megaplan.ua/deals/80570/card/","13300")</f>
      </c>
      <c r="B230" s="3" t="inlineStr">
        <is>
          <t>111-4700709-4533029</t>
        </is>
      </c>
      <c r="C230" s="3" t="inlineStr">
        <is>
          <t>Wps</t>
        </is>
      </c>
    </row>
    <row collapsed="false" customFormat="false" customHeight="false" hidden="false" ht="12.1" outlineLevel="0" r="231">
      <c r="A231" s="3" t="s">
        <f>=HYPERLINK("https://mp39851918.megaplan.ua/deals/80571/card/","13301")</f>
      </c>
      <c r="B231" s="3" t="inlineStr">
        <is>
          <t>114-4306808-7771454</t>
        </is>
      </c>
      <c r="C231" s="3" t="inlineStr">
        <is>
          <t>Autodist</t>
        </is>
      </c>
    </row>
    <row collapsed="false" customFormat="false" customHeight="false" hidden="false" ht="12.1" outlineLevel="0" r="232">
      <c r="A232" s="3" t="s">
        <f>=HYPERLINK("https://mp39851918.megaplan.ua/deals/80582/card/","13302")</f>
      </c>
      <c r="B232" s="3" t="inlineStr">
        <is>
          <t>111-1149530-8361815</t>
        </is>
      </c>
      <c r="C232" s="3" t="inlineStr">
        <is>
          <t>Wps</t>
        </is>
      </c>
    </row>
    <row collapsed="false" customFormat="false" customHeight="false" hidden="false" ht="12.1" outlineLevel="0" r="233">
      <c r="A233" s="3" t="s">
        <f>=HYPERLINK("https://mp39851918.megaplan.ua/deals/80606/card/","13304")</f>
      </c>
      <c r="B233" s="3" t="inlineStr">
        <is>
          <t>112-9671446-9264218</t>
        </is>
      </c>
      <c r="C233" s="3" t="inlineStr">
        <is>
          <t>Wps</t>
        </is>
      </c>
    </row>
    <row collapsed="false" customFormat="false" customHeight="false" hidden="false" ht="12.1" outlineLevel="0" r="234">
      <c r="A234" s="3" t="s">
        <f>=HYPERLINK("https://mp39851918.megaplan.ua/deals/80616/card/","13305")</f>
      </c>
      <c r="B234" s="3" t="inlineStr">
        <is>
          <t>113-6520067-8585863</t>
        </is>
      </c>
      <c r="C234" s="3" t="inlineStr">
        <is>
          <t>Autodist</t>
        </is>
      </c>
    </row>
    <row collapsed="false" customFormat="false" customHeight="false" hidden="false" ht="12.1" outlineLevel="0" r="235">
      <c r="A235" s="3" t="s">
        <f>=HYPERLINK("https://mp39851918.megaplan.ua/deals/80639/card/","13315")</f>
      </c>
      <c r="B235" s="3" t="inlineStr">
        <is>
          <t>111-3052399-5573067</t>
        </is>
      </c>
      <c r="C235" s="3" t="inlineStr">
        <is>
          <t>RockyMountain</t>
        </is>
      </c>
    </row>
    <row collapsed="false" customFormat="false" customHeight="false" hidden="false" ht="12.1" outlineLevel="0" r="236">
      <c r="A236" s="3" t="s">
        <f>=HYPERLINK("https://mp39851918.megaplan.ua/deals/80660/card/","13316")</f>
      </c>
      <c r="B236" s="3" t="inlineStr">
        <is>
          <t>112-8584936-9036268</t>
        </is>
      </c>
      <c r="C236" s="3" t="inlineStr">
        <is>
          <t>RockyMountain</t>
        </is>
      </c>
    </row>
    <row collapsed="false" customFormat="false" customHeight="false" hidden="false" ht="12.1" outlineLevel="0" r="237">
      <c r="A237" s="3" t="s">
        <f>=HYPERLINK("https://mp39851918.megaplan.ua/deals/80679/card/","13317")</f>
      </c>
      <c r="B237" s="3" t="inlineStr">
        <is>
          <t>111-4700709-4533029</t>
        </is>
      </c>
      <c r="C237" s="3" t="inlineStr">
        <is>
          <t>other</t>
        </is>
      </c>
    </row>
    <row collapsed="false" customFormat="false" customHeight="false" hidden="false" ht="12.1" outlineLevel="0" r="238">
      <c r="A238" s="3" t="s">
        <f>=HYPERLINK("https://mp39851918.megaplan.ua/deals/80682/card/","13319")</f>
      </c>
      <c r="B238" s="3" t="inlineStr">
        <is>
          <t>111-1149530-8361815</t>
        </is>
      </c>
      <c r="C238" s="3" t="inlineStr">
        <is>
          <t>other</t>
        </is>
      </c>
    </row>
    <row collapsed="false" customFormat="false" customHeight="false" hidden="false" ht="12.1" outlineLevel="0" r="239">
      <c r="A239" s="3" t="s">
        <f>=HYPERLINK("https://mp39851918.megaplan.ua/deals/80684/card/","13320")</f>
      </c>
      <c r="B239" s="3" t="inlineStr">
        <is>
          <t>112-9671446-9264218</t>
        </is>
      </c>
      <c r="C239" s="3" t="inlineStr">
        <is>
          <t>other</t>
        </is>
      </c>
    </row>
    <row collapsed="false" customFormat="false" customHeight="false" hidden="false" ht="12.1" outlineLevel="0" r="240">
      <c r="A240" s="3" t="s">
        <f>=HYPERLINK("https://mp39851918.megaplan.ua/deals/80687/card/","13322")</f>
      </c>
      <c r="B240" s="3" t="inlineStr">
        <is>
          <t>112-9441367-4713025</t>
        </is>
      </c>
      <c r="C240" s="3" t="inlineStr">
        <is>
          <t>other</t>
        </is>
      </c>
    </row>
    <row collapsed="false" customFormat="false" customHeight="false" hidden="false" ht="12.1" outlineLevel="0" r="241">
      <c r="A241" s="3" t="s">
        <f>=HYPERLINK("https://mp39851918.megaplan.ua/deals/80688/card/","13323")</f>
      </c>
      <c r="B241" s="3" t="inlineStr">
        <is>
          <t>111-2061332-9617049</t>
        </is>
      </c>
      <c r="C241" s="3" t="inlineStr">
        <is>
          <t>other</t>
        </is>
      </c>
    </row>
    <row collapsed="false" customFormat="false" customHeight="false" hidden="false" ht="12.1" outlineLevel="0" r="242">
      <c r="A242" s="3" t="s">
        <f>=HYPERLINK("https://mp39851918.megaplan.ua/deals/80689/card/","13324")</f>
      </c>
      <c r="B242" s="3" t="inlineStr">
        <is>
          <t>113-9627238-5719458</t>
        </is>
      </c>
      <c r="C242" s="3" t="inlineStr">
        <is>
          <t>other</t>
        </is>
      </c>
    </row>
    <row collapsed="false" customFormat="false" customHeight="false" hidden="false" ht="12.1" outlineLevel="0" r="243">
      <c r="A243" s="3" t="s">
        <f>=HYPERLINK("https://mp39851918.megaplan.ua/deals/80775/card/","13331")</f>
      </c>
      <c r="B243" s="3" t="inlineStr">
        <is>
          <t>114-6590831-5316221</t>
        </is>
      </c>
      <c r="C243" s="3" t="inlineStr">
        <is>
          <t>RockyMountain</t>
        </is>
      </c>
    </row>
    <row collapsed="false" customFormat="false" customHeight="false" hidden="false" ht="12.1" outlineLevel="0" r="244">
      <c r="A244" s="3" t="s">
        <f>=HYPERLINK("https://mp39851918.megaplan.ua/deals/80784/card/","13332")</f>
      </c>
      <c r="B244" s="3" t="inlineStr">
        <is>
          <t>113-6398442-7773032</t>
        </is>
      </c>
      <c r="C244" s="3" t="inlineStr">
        <is>
          <t>RockyMountain</t>
        </is>
      </c>
    </row>
    <row collapsed="false" customFormat="false" customHeight="false" hidden="false" ht="12.1" outlineLevel="0" r="245">
      <c r="A245" s="3" t="s">
        <f>=HYPERLINK("https://mp39851918.megaplan.ua/deals/80785/card/","13333")</f>
      </c>
      <c r="B245" s="3" t="inlineStr">
        <is>
          <t>111-0496038-8509036</t>
        </is>
      </c>
      <c r="C245" s="3" t="inlineStr">
        <is>
          <t>RockyMountain</t>
        </is>
      </c>
    </row>
    <row collapsed="false" customFormat="false" customHeight="false" hidden="false" ht="12.1" outlineLevel="0" r="246">
      <c r="A246" s="3" t="s">
        <f>=HYPERLINK("https://mp39851918.megaplan.ua/deals/80787/card/","13334")</f>
      </c>
      <c r="B246" s="3" t="inlineStr">
        <is>
          <t>111-7237808-5085023</t>
        </is>
      </c>
      <c r="C246" s="3" t="inlineStr">
        <is>
          <t>RockyMountain</t>
        </is>
      </c>
    </row>
    <row collapsed="false" customFormat="false" customHeight="false" hidden="false" ht="12.1" outlineLevel="0" r="247">
      <c r="A247" s="3" t="s">
        <f>=HYPERLINK("https://mp39851918.megaplan.ua/deals/80788/card/","13335")</f>
      </c>
      <c r="B247" s="3" t="inlineStr">
        <is>
          <t>111-9533331-4369858</t>
        </is>
      </c>
      <c r="C247" s="3" t="inlineStr">
        <is>
          <t>PartsUnlimited</t>
        </is>
      </c>
    </row>
    <row collapsed="false" customFormat="false" customHeight="false" hidden="false" ht="12.1" outlineLevel="0" r="248">
      <c r="A248" s="3" t="s">
        <f>=HYPERLINK("https://mp39851918.megaplan.ua/deals/80814/card/","13338")</f>
      </c>
      <c r="B248" s="3" t="inlineStr">
        <is>
          <t>113-5480030-1437832</t>
        </is>
      </c>
      <c r="C248" s="3" t="inlineStr">
        <is>
          <t>RockyMountain</t>
        </is>
      </c>
    </row>
    <row collapsed="false" customFormat="false" customHeight="false" hidden="false" ht="12.1" outlineLevel="0" r="249">
      <c r="A249" s="3" t="s">
        <f>=HYPERLINK("https://mp39851918.megaplan.ua/deals/80815/card/","13339")</f>
      </c>
      <c r="B249" s="3" t="inlineStr">
        <is>
          <t>113-4337248-5430612</t>
        </is>
      </c>
      <c r="C249" s="3" t="inlineStr">
        <is>
          <t>RockyMountain</t>
        </is>
      </c>
    </row>
    <row collapsed="false" customFormat="false" customHeight="false" hidden="false" ht="12.1" outlineLevel="0" r="250">
      <c r="A250" s="3" t="s">
        <f>=HYPERLINK("https://mp39851918.megaplan.ua/deals/80816/card/","13340")</f>
      </c>
      <c r="B250" s="3" t="inlineStr">
        <is>
          <t>112-3175934-5988254</t>
        </is>
      </c>
      <c r="C250" s="3" t="inlineStr">
        <is>
          <t>RockyMountain</t>
        </is>
      </c>
    </row>
    <row collapsed="false" customFormat="false" customHeight="false" hidden="false" ht="12.1" outlineLevel="0" r="251">
      <c r="A251" s="3" t="s">
        <f>=HYPERLINK("https://mp39851918.megaplan.ua/deals/80827/card/","13341")</f>
      </c>
      <c r="B251" s="3" t="inlineStr">
        <is>
          <t>111-0467680-9772241</t>
        </is>
      </c>
      <c r="C251" s="3" t="inlineStr">
        <is>
          <t>RockyMountain</t>
        </is>
      </c>
    </row>
    <row collapsed="false" customFormat="false" customHeight="false" hidden="false" ht="12.1" outlineLevel="0" r="252">
      <c r="A252" s="3" t="s">
        <f>=HYPERLINK("https://mp39851918.megaplan.ua/deals/80830/card/","13343")</f>
      </c>
      <c r="B252" s="3" t="inlineStr">
        <is>
          <t>111-0199622-4657825</t>
        </is>
      </c>
      <c r="C252" s="3" t="inlineStr">
        <is>
          <t>RockyMountain</t>
        </is>
      </c>
    </row>
    <row collapsed="false" customFormat="false" customHeight="false" hidden="false" ht="12.1" outlineLevel="0" r="253">
      <c r="A253" s="3" t="s">
        <f>=HYPERLINK("https://mp39851918.megaplan.ua/deals/80835/card/","13344")</f>
      </c>
      <c r="B253" s="3" t="inlineStr">
        <is>
          <t>111-0244904-2117041</t>
        </is>
      </c>
      <c r="C253" s="3" t="inlineStr">
        <is>
          <t>RockyMountain</t>
        </is>
      </c>
    </row>
    <row collapsed="false" customFormat="false" customHeight="false" hidden="false" ht="12.1" outlineLevel="0" r="254">
      <c r="A254" s="3" t="s">
        <f>=HYPERLINK("https://mp39851918.megaplan.ua/deals/80863/card/","13345")</f>
      </c>
      <c r="B254" s="3" t="inlineStr">
        <is>
          <t>113-0198979-2214626</t>
        </is>
      </c>
      <c r="C254" s="3" t="inlineStr">
        <is>
          <t>PartsUnlimited</t>
        </is>
      </c>
    </row>
    <row collapsed="false" customFormat="false" customHeight="false" hidden="false" ht="12.1" outlineLevel="0" r="255">
      <c r="A255" s="3" t="s">
        <f>=HYPERLINK("https://mp39851918.megaplan.ua/deals/80871/card/","13348")</f>
      </c>
      <c r="B255" s="3" t="inlineStr">
        <is>
          <t>111-2571252-0300231</t>
        </is>
      </c>
      <c r="C255" s="3" t="inlineStr">
        <is>
          <t>Autodist</t>
        </is>
      </c>
    </row>
    <row collapsed="false" customFormat="false" customHeight="false" hidden="false" ht="12.1" outlineLevel="0" r="256">
      <c r="A256" s="3" t="s">
        <f>=HYPERLINK("https://mp39851918.megaplan.ua/deals/80872/card/","13349")</f>
      </c>
      <c r="B256" s="3" t="inlineStr">
        <is>
          <t>113-5544375-5343404</t>
        </is>
      </c>
      <c r="C256" s="3" t="inlineStr">
        <is>
          <t>Autodist</t>
        </is>
      </c>
    </row>
    <row collapsed="false" customFormat="false" customHeight="false" hidden="false" ht="12.1" outlineLevel="0" r="257">
      <c r="A257" s="3" t="s">
        <f>=HYPERLINK("https://mp39851918.megaplan.ua/deals/80896/card/","13353")</f>
      </c>
      <c r="B257" s="3" t="inlineStr">
        <is>
          <t>113-7254513-1196232</t>
        </is>
      </c>
      <c r="C257" s="3" t="inlineStr">
        <is>
          <t>RockyMountain</t>
        </is>
      </c>
    </row>
    <row collapsed="false" customFormat="false" customHeight="false" hidden="false" ht="12.1" outlineLevel="0" r="258">
      <c r="A258" s="3" t="s">
        <f>=HYPERLINK("https://mp39851918.megaplan.ua/deals/80906/card/","13354")</f>
      </c>
      <c r="B258" s="3" t="inlineStr">
        <is>
          <t>114-7816527-2993817</t>
        </is>
      </c>
      <c r="C258" s="3" t="inlineStr">
        <is>
          <t>RockyMountain</t>
        </is>
      </c>
    </row>
    <row collapsed="false" customFormat="false" customHeight="false" hidden="false" ht="12.1" outlineLevel="0" r="259">
      <c r="A259" s="3" t="s">
        <f>=HYPERLINK("https://mp39851918.megaplan.ua/deals/80911/card/","13355")</f>
      </c>
      <c r="B259" s="3" t="inlineStr">
        <is>
          <t>114-6545103-6837021</t>
        </is>
      </c>
      <c r="C259" s="3" t="inlineStr">
        <is>
          <t>RockyMountain</t>
        </is>
      </c>
    </row>
    <row collapsed="false" customFormat="false" customHeight="false" hidden="false" ht="12.1" outlineLevel="0" r="260">
      <c r="A260" s="3" t="s">
        <f>=HYPERLINK("https://mp39851918.megaplan.ua/deals/80915/card/","13356")</f>
      </c>
      <c r="B260" s="3" t="inlineStr">
        <is>
          <t>112-5756479-0855412</t>
        </is>
      </c>
      <c r="C260" s="3" t="inlineStr">
        <is>
          <t>RockyMountain</t>
        </is>
      </c>
    </row>
    <row collapsed="false" customFormat="false" customHeight="false" hidden="false" ht="12.1" outlineLevel="0" r="261">
      <c r="A261" s="3" t="s">
        <f>=HYPERLINK("https://mp39851918.megaplan.ua/deals/80990/card/","13365")</f>
      </c>
      <c r="B261" s="3" t="inlineStr">
        <is>
          <t>114-5987149-5584239</t>
        </is>
      </c>
      <c r="C261" s="3" t="inlineStr">
        <is>
          <t>RockyMountain</t>
        </is>
      </c>
    </row>
    <row collapsed="false" customFormat="false" customHeight="false" hidden="false" ht="12.1" outlineLevel="0" r="262">
      <c r="A262" s="3" t="s">
        <f>=HYPERLINK("https://mp39851918.megaplan.ua/deals/81000/card/","13367")</f>
      </c>
      <c r="B262" s="3" t="inlineStr">
        <is>
          <t>114-6500770-0451451</t>
        </is>
      </c>
      <c r="C262" s="3" t="inlineStr">
        <is>
          <t>RockyMountain</t>
        </is>
      </c>
    </row>
    <row collapsed="false" customFormat="false" customHeight="false" hidden="false" ht="12.1" outlineLevel="0" r="263">
      <c r="A263" s="3" t="s">
        <f>=HYPERLINK("https://mp39851918.megaplan.ua/deals/81026/card/","13369")</f>
      </c>
      <c r="B263" s="3" t="inlineStr">
        <is>
          <t>112-0340860-7671474</t>
        </is>
      </c>
      <c r="C263" s="3" t="inlineStr">
        <is>
          <t>Autodist</t>
        </is>
      </c>
    </row>
    <row collapsed="false" customFormat="false" customHeight="false" hidden="false" ht="12.1" outlineLevel="0" r="264">
      <c r="A264" s="3" t="s">
        <f>=HYPERLINK("https://mp39851918.megaplan.ua/deals/81041/card/","13371")</f>
      </c>
      <c r="B264" s="3" t="inlineStr">
        <is>
          <t>112-6764284-4594644</t>
        </is>
      </c>
      <c r="C264" s="3" t="inlineStr">
        <is>
          <t>Autodist</t>
        </is>
      </c>
    </row>
    <row collapsed="false" customFormat="false" customHeight="false" hidden="false" ht="12.1" outlineLevel="0" r="265">
      <c r="A265" s="3" t="s">
        <f>=HYPERLINK("https://mp39851918.megaplan.ua/deals/81042/card/","13372")</f>
      </c>
      <c r="B265" s="3" t="inlineStr">
        <is>
          <t>113-2092614-6961800</t>
        </is>
      </c>
      <c r="C265" s="3" t="inlineStr">
        <is>
          <t>RockyMountain</t>
        </is>
      </c>
    </row>
    <row collapsed="false" customFormat="false" customHeight="false" hidden="false" ht="12.1" outlineLevel="0" r="266">
      <c r="A266" s="3" t="s">
        <f>=HYPERLINK("https://mp39851918.megaplan.ua/deals/81048/card/","13373")</f>
      </c>
      <c r="B266" s="3" t="inlineStr">
        <is>
          <t>111-0496959-2678664</t>
        </is>
      </c>
      <c r="C266" s="3" t="inlineStr">
        <is>
          <t>Autodist</t>
        </is>
      </c>
    </row>
    <row collapsed="false" customFormat="false" customHeight="false" hidden="false" ht="12.1" outlineLevel="0" r="267">
      <c r="A267" s="3" t="s">
        <f>=HYPERLINK("https://mp39851918.megaplan.ua/deals/81054/card/","13374")</f>
      </c>
      <c r="B267" s="3" t="inlineStr">
        <is>
          <t>112-4945051-2499460</t>
        </is>
      </c>
      <c r="C267" s="3" t="inlineStr">
        <is>
          <t>RockyMountain</t>
        </is>
      </c>
    </row>
    <row collapsed="false" customFormat="false" customHeight="false" hidden="false" ht="12.1" outlineLevel="0" r="268">
      <c r="A268" s="3" t="s">
        <f>=HYPERLINK("https://mp39851918.megaplan.ua/deals/81061/card/","13375")</f>
      </c>
      <c r="B268" s="3" t="inlineStr">
        <is>
          <t>114-7006029-6226669</t>
        </is>
      </c>
      <c r="C268" s="3" t="inlineStr">
        <is>
          <t>RockyMountain</t>
        </is>
      </c>
    </row>
    <row collapsed="false" customFormat="false" customHeight="false" hidden="false" ht="12.1" outlineLevel="0" r="269">
      <c r="A269" s="3" t="s">
        <f>=HYPERLINK("https://mp39851918.megaplan.ua/deals/81085/card/","13377")</f>
      </c>
      <c r="B269" s="3" t="inlineStr">
        <is>
          <t>113-9247409-6326656</t>
        </is>
      </c>
      <c r="C269" s="3" t="inlineStr">
        <is>
          <t>RockyMountain</t>
        </is>
      </c>
    </row>
    <row collapsed="false" customFormat="false" customHeight="false" hidden="false" ht="12.1" outlineLevel="0" r="270">
      <c r="A270" s="3" t="s">
        <f>=HYPERLINK("https://mp39851918.megaplan.ua/deals/81100/card/","13379")</f>
      </c>
      <c r="B270" s="3" t="inlineStr">
        <is>
          <t>112-6063046-6281013</t>
        </is>
      </c>
      <c r="C270" s="3" t="inlineStr">
        <is>
          <t>PartsUnlimited</t>
        </is>
      </c>
    </row>
    <row collapsed="false" customFormat="false" customHeight="false" hidden="false" ht="12.1" outlineLevel="0" r="271">
      <c r="A271" s="3" t="s">
        <f>=HYPERLINK("https://mp39851918.megaplan.ua/deals/81110/card/","13381")</f>
      </c>
      <c r="B271" s="3" t="inlineStr">
        <is>
          <t>114-1298595-3300223</t>
        </is>
      </c>
      <c r="C271" s="3" t="inlineStr">
        <is>
          <t>RockyMountain</t>
        </is>
      </c>
    </row>
    <row collapsed="false" customFormat="false" customHeight="false" hidden="false" ht="12.1" outlineLevel="0" r="272">
      <c r="A272" s="3" t="s">
        <f>=HYPERLINK("https://mp39851918.megaplan.ua/deals/81111/card/","13382")</f>
      </c>
      <c r="B272" s="3" t="inlineStr">
        <is>
          <t>111-8078197-9089015</t>
        </is>
      </c>
      <c r="C272" s="3" t="inlineStr">
        <is>
          <t>RockyMountain</t>
        </is>
      </c>
    </row>
    <row collapsed="false" customFormat="false" customHeight="false" hidden="false" ht="12.1" outlineLevel="0" r="273">
      <c r="A273" s="3" t="s">
        <f>=HYPERLINK("https://mp39851918.megaplan.ua/deals/81146/card/","13385")</f>
      </c>
      <c r="B273" s="3" t="inlineStr">
        <is>
          <t>112-3424054-5550603</t>
        </is>
      </c>
      <c r="C273" s="3" t="inlineStr">
        <is>
          <t>RockyMountain</t>
        </is>
      </c>
    </row>
    <row collapsed="false" customFormat="false" customHeight="false" hidden="false" ht="12.1" outlineLevel="0" r="274">
      <c r="A274" s="3" t="s">
        <f>=HYPERLINK("https://mp39851918.megaplan.ua/deals/81152/card/","13388")</f>
      </c>
      <c r="B274" s="3" t="inlineStr">
        <is>
          <t>114-3981916-6057064</t>
        </is>
      </c>
      <c r="C274" s="3" t="inlineStr">
        <is>
          <t>RockyMountain</t>
        </is>
      </c>
    </row>
    <row collapsed="false" customFormat="false" customHeight="false" hidden="false" ht="12.1" outlineLevel="0" r="275">
      <c r="A275" s="3" t="s">
        <f>=HYPERLINK("https://mp39851918.megaplan.ua/deals/81182/card/","13392")</f>
      </c>
      <c r="B275" s="3" t="inlineStr">
        <is>
          <t>111-2457674-3874612</t>
        </is>
      </c>
      <c r="C275" s="3" t="inlineStr">
        <is>
          <t>Autodist</t>
        </is>
      </c>
    </row>
    <row collapsed="false" customFormat="false" customHeight="false" hidden="false" ht="12.1" outlineLevel="0" r="276">
      <c r="A276" s="3" t="s">
        <f>=HYPERLINK("https://mp39851918.megaplan.ua/deals/81188/card/","13394")</f>
      </c>
      <c r="B276" s="3" t="inlineStr">
        <is>
          <t>114-9863425-2700234</t>
        </is>
      </c>
      <c r="C276" s="3" t="inlineStr">
        <is>
          <t>PartsUnlimited</t>
        </is>
      </c>
    </row>
    <row collapsed="false" customFormat="false" customHeight="false" hidden="false" ht="12.1" outlineLevel="0" r="277">
      <c r="A277" s="3" t="s">
        <f>=HYPERLINK("https://mp39851918.megaplan.ua/deals/81191/card/","13395")</f>
      </c>
      <c r="B277" s="3" t="inlineStr">
        <is>
          <t>113-2571240-5288253</t>
        </is>
      </c>
      <c r="C277" s="3" t="inlineStr">
        <is>
          <t>RockyMountain</t>
        </is>
      </c>
    </row>
    <row collapsed="false" customFormat="false" customHeight="false" hidden="false" ht="12.1" outlineLevel="0" r="278">
      <c r="A278" s="3" t="s">
        <f>=HYPERLINK("https://mp39851918.megaplan.ua/deals/81192/card/","13396")</f>
      </c>
      <c r="B278" s="3" t="inlineStr">
        <is>
          <t>114-3149551-1426638</t>
        </is>
      </c>
      <c r="C278" s="3" t="inlineStr">
        <is>
          <t>RockyMountain</t>
        </is>
      </c>
    </row>
    <row collapsed="false" customFormat="false" customHeight="false" hidden="false" ht="12.1" outlineLevel="0" r="279">
      <c r="A279" s="3" t="s">
        <f>=HYPERLINK("https://mp39851918.megaplan.ua/deals/81201/card/","13397")</f>
      </c>
      <c r="B279" s="3" t="inlineStr">
        <is>
          <t>113-3462461-0801813</t>
        </is>
      </c>
      <c r="C279" s="3" t="inlineStr">
        <is>
          <t>RockyMountain</t>
        </is>
      </c>
    </row>
    <row collapsed="false" customFormat="false" customHeight="false" hidden="false" ht="12.1" outlineLevel="0" r="280">
      <c r="A280" s="3" t="s">
        <f>=HYPERLINK("https://mp39851918.megaplan.ua/deals/81219/card/","13398")</f>
      </c>
      <c r="B280" s="3" t="inlineStr">
        <is>
          <t>112-6764284-4594644</t>
        </is>
      </c>
      <c r="C280" s="3" t="inlineStr">
        <is>
          <t>PartsUnlimited</t>
        </is>
      </c>
    </row>
    <row collapsed="false" customFormat="false" customHeight="false" hidden="false" ht="12.1" outlineLevel="0" r="281">
      <c r="A281" s="3" t="s">
        <f>=HYPERLINK("https://mp39851918.megaplan.ua/deals/81225/card/","13400")</f>
      </c>
      <c r="B281" s="3" t="inlineStr">
        <is>
          <t>111-6026518-2257004</t>
        </is>
      </c>
      <c r="C281" s="3" t="inlineStr">
        <is>
          <t>RockyMountain</t>
        </is>
      </c>
    </row>
    <row collapsed="false" customFormat="false" customHeight="false" hidden="false" ht="12.1" outlineLevel="0" r="282">
      <c r="A282" s="3" t="s">
        <f>=HYPERLINK("https://mp39851918.megaplan.ua/deals/81235/card/","13402")</f>
      </c>
      <c r="B282" s="3" t="inlineStr">
        <is>
          <t>114-5654683-2415425</t>
        </is>
      </c>
      <c r="C282" s="3" t="inlineStr">
        <is>
          <t>RockyMountain</t>
        </is>
      </c>
    </row>
    <row collapsed="false" customFormat="false" customHeight="false" hidden="false" ht="12.1" outlineLevel="0" r="283">
      <c r="A283" s="3" t="s">
        <f>=HYPERLINK("https://mp39851918.megaplan.ua/deals/81245/card/","13404")</f>
      </c>
      <c r="B283" s="3" t="inlineStr">
        <is>
          <t>114-0980502-1777816</t>
        </is>
      </c>
      <c r="C283" s="3" t="inlineStr">
        <is>
          <t>RockyMountain</t>
        </is>
      </c>
    </row>
    <row collapsed="false" customFormat="false" customHeight="false" hidden="false" ht="12.1" outlineLevel="0" r="284">
      <c r="A284" s="3" t="s">
        <f>=HYPERLINK("https://mp39851918.megaplan.ua/deals/81247/card/","13405")</f>
      </c>
      <c r="B284" s="3" t="inlineStr">
        <is>
          <t>112-6549390-3141057</t>
        </is>
      </c>
      <c r="C284" s="3" t="inlineStr">
        <is>
          <t>RockyMountain</t>
        </is>
      </c>
    </row>
    <row collapsed="false" customFormat="false" customHeight="false" hidden="false" ht="12.1" outlineLevel="0" r="285">
      <c r="A285" s="3" t="s">
        <f>=HYPERLINK("https://mp39851918.megaplan.ua/deals/81272/card/","13408")</f>
      </c>
      <c r="B285" s="3" t="inlineStr">
        <is>
          <t>113-4676029-1976257</t>
        </is>
      </c>
      <c r="C285" s="3" t="inlineStr">
        <is>
          <t>RockyMountain</t>
        </is>
      </c>
    </row>
    <row collapsed="false" customFormat="false" customHeight="false" hidden="false" ht="12.1" outlineLevel="0" r="286">
      <c r="A286" s="3" t="s">
        <f>=HYPERLINK("https://mp39851918.megaplan.ua/deals/81296/card/","13409")</f>
      </c>
      <c r="B286" s="3" t="inlineStr">
        <is>
          <t>112-4298905-4289048</t>
        </is>
      </c>
      <c r="C286" s="3" t="inlineStr">
        <is>
          <t>RockyMountain</t>
        </is>
      </c>
    </row>
    <row collapsed="false" customFormat="false" customHeight="false" hidden="false" ht="12.1" outlineLevel="0" r="287">
      <c r="A287" s="3" t="s">
        <f>=HYPERLINK("https://mp39851918.megaplan.ua/deals/81305/card/","13410")</f>
      </c>
      <c r="B287" s="3" t="inlineStr">
        <is>
          <t>114-7746603-7674667</t>
        </is>
      </c>
      <c r="C287" s="3" t="inlineStr">
        <is>
          <t>RockyMountain</t>
        </is>
      </c>
    </row>
    <row collapsed="false" customFormat="false" customHeight="false" hidden="false" ht="12.1" outlineLevel="0" r="288">
      <c r="A288" s="3" t="s">
        <f>=HYPERLINK("https://mp39851918.megaplan.ua/deals/81308/card/","13411")</f>
      </c>
      <c r="B288" s="3" t="inlineStr">
        <is>
          <t>113-6899997-0154658</t>
        </is>
      </c>
      <c r="C288" s="3" t="inlineStr">
        <is>
          <t>RockyMountain</t>
        </is>
      </c>
    </row>
    <row collapsed="false" customFormat="false" customHeight="false" hidden="false" ht="12.1" outlineLevel="0" r="289">
      <c r="A289" s="3" t="s">
        <f>=HYPERLINK("https://mp39851918.megaplan.ua/deals/81334/card/","13416")</f>
      </c>
      <c r="B289" s="3" t="inlineStr">
        <is>
          <t>111-5453478-5735404</t>
        </is>
      </c>
      <c r="C289" s="3" t="inlineStr">
        <is>
          <t>RockyMountain</t>
        </is>
      </c>
    </row>
    <row collapsed="false" customFormat="false" customHeight="false" hidden="false" ht="12.1" outlineLevel="0" r="290">
      <c r="A290" s="3" t="s">
        <f>=HYPERLINK("https://mp39851918.megaplan.ua/deals/81345/card/","13417")</f>
      </c>
      <c r="B290" s="3" t="inlineStr">
        <is>
          <t>114-3327947-6035422</t>
        </is>
      </c>
      <c r="C290" s="3" t="inlineStr">
        <is>
          <t>RockyMountain</t>
        </is>
      </c>
    </row>
    <row collapsed="false" customFormat="false" customHeight="false" hidden="false" ht="12.1" outlineLevel="0" r="291">
      <c r="A291" s="3" t="s">
        <f>=HYPERLINK("https://mp39851918.megaplan.ua/deals/81346/card/","13418")</f>
      </c>
      <c r="B291" s="3" t="inlineStr">
        <is>
          <t>112-5967391-5697034</t>
        </is>
      </c>
      <c r="C291" s="3" t="inlineStr">
        <is>
          <t>PartsUnlimited</t>
        </is>
      </c>
    </row>
    <row collapsed="false" customFormat="false" customHeight="false" hidden="false" ht="12.1" outlineLevel="0" r="292">
      <c r="A292" s="3" t="s">
        <f>=HYPERLINK("https://mp39851918.megaplan.ua/deals/81357/card/","13422")</f>
      </c>
      <c r="B292" s="3" t="inlineStr">
        <is>
          <t>112-3588311-0527449</t>
        </is>
      </c>
      <c r="C292" s="3" t="inlineStr">
        <is>
          <t>RockyMountain</t>
        </is>
      </c>
    </row>
    <row collapsed="false" customFormat="false" customHeight="false" hidden="false" ht="12.1" outlineLevel="0" r="293">
      <c r="A293" s="3" t="s">
        <f>=HYPERLINK("https://mp39851918.megaplan.ua/deals/81375/card/","13425")</f>
      </c>
      <c r="B293" s="3" t="inlineStr">
        <is>
          <t>111-8242638-1006656</t>
        </is>
      </c>
      <c r="C293" s="3" t="inlineStr">
        <is>
          <t>RockyMountain</t>
        </is>
      </c>
    </row>
    <row collapsed="false" customFormat="false" customHeight="false" hidden="false" ht="12.1" outlineLevel="0" r="294">
      <c r="A294" s="3" t="s">
        <f>=HYPERLINK("https://mp39851918.megaplan.ua/deals/81378/card/","13426")</f>
      </c>
      <c r="B294" s="3" t="inlineStr">
        <is>
          <t>112-4804008-9185865</t>
        </is>
      </c>
      <c r="C294" s="3" t="inlineStr">
        <is>
          <t>RockyMountain</t>
        </is>
      </c>
    </row>
    <row collapsed="false" customFormat="false" customHeight="false" hidden="false" ht="12.1" outlineLevel="0" r="295">
      <c r="A295" s="3" t="s">
        <f>=HYPERLINK("https://mp39851918.megaplan.ua/deals/81396/card/","13427")</f>
      </c>
      <c r="B295" s="3" t="inlineStr">
        <is>
          <t>112-4946465-4209868</t>
        </is>
      </c>
      <c r="C295" s="3" t="inlineStr">
        <is>
          <t>Autodist</t>
        </is>
      </c>
    </row>
    <row collapsed="false" customFormat="false" customHeight="false" hidden="false" ht="12.1" outlineLevel="0" r="296">
      <c r="A296" s="3" t="s">
        <f>=HYPERLINK("https://mp39851918.megaplan.ua/deals/81403/card/","13428")</f>
      </c>
      <c r="B296" s="3" t="inlineStr">
        <is>
          <t>111-6484418-9501815</t>
        </is>
      </c>
      <c r="C296" s="3" t="inlineStr">
        <is>
          <t>PartsUnlimited</t>
        </is>
      </c>
    </row>
    <row collapsed="false" customFormat="false" customHeight="false" hidden="false" ht="12.1" outlineLevel="0" r="297">
      <c r="A297" s="3" t="s">
        <f>=HYPERLINK("https://mp39851918.megaplan.ua/deals/81407/card/","13429")</f>
      </c>
      <c r="B297" s="3" t="inlineStr">
        <is>
          <t>112-9081884-4007445</t>
        </is>
      </c>
      <c r="C297" s="3" t="inlineStr">
        <is>
          <t>Autodist</t>
        </is>
      </c>
    </row>
    <row collapsed="false" customFormat="false" customHeight="false" hidden="false" ht="12.1" outlineLevel="0" r="298">
      <c r="A298" s="3" t="s">
        <f>=HYPERLINK("https://mp39851918.megaplan.ua/deals/81408/card/","13430")</f>
      </c>
      <c r="B298" s="3" t="inlineStr">
        <is>
          <t>114-2833006-4766638</t>
        </is>
      </c>
      <c r="C298" s="3" t="inlineStr">
        <is>
          <t>RockyMountain</t>
        </is>
      </c>
    </row>
    <row collapsed="false" customFormat="false" customHeight="false" hidden="false" ht="12.1" outlineLevel="0" r="299">
      <c r="A299" s="3" t="s">
        <f>=HYPERLINK("https://mp39851918.megaplan.ua/deals/81426/card/","13431")</f>
      </c>
      <c r="B299" s="3" t="inlineStr">
        <is>
          <t>111-3449473-3314658</t>
        </is>
      </c>
      <c r="C299" s="3" t="inlineStr">
        <is>
          <t>Autodist</t>
        </is>
      </c>
    </row>
    <row collapsed="false" customFormat="false" customHeight="false" hidden="false" ht="12.1" outlineLevel="0" r="300">
      <c r="A300" s="3" t="s">
        <f>=HYPERLINK("https://mp39851918.megaplan.ua/deals/81442/card/","13433")</f>
      </c>
      <c r="B300" s="3" t="inlineStr">
        <is>
          <t>113-1828335-6855440</t>
        </is>
      </c>
      <c r="C300" s="3" t="inlineStr">
        <is>
          <t>RockyMountain</t>
        </is>
      </c>
    </row>
    <row collapsed="false" customFormat="false" customHeight="false" hidden="false" ht="12.1" outlineLevel="0" r="301">
      <c r="A301" s="3" t="s">
        <f>=HYPERLINK("https://mp39851918.megaplan.ua/deals/81482/card/","13439")</f>
      </c>
      <c r="B301" s="3" t="inlineStr">
        <is>
          <t>112-0634066-3705029</t>
        </is>
      </c>
      <c r="C301" s="3" t="inlineStr">
        <is>
          <t>RockyMountain</t>
        </is>
      </c>
    </row>
    <row collapsed="false" customFormat="false" customHeight="false" hidden="false" ht="12.1" outlineLevel="0" r="302">
      <c r="A302" s="3" t="s">
        <f>=HYPERLINK("https://mp39851918.megaplan.ua/deals/81527/card/","13443")</f>
      </c>
      <c r="B302" s="3" t="inlineStr">
        <is>
          <t>113-4821236-7772253</t>
        </is>
      </c>
      <c r="C302" s="3" t="inlineStr">
        <is>
          <t>RockyMountain</t>
        </is>
      </c>
    </row>
    <row collapsed="false" customFormat="false" customHeight="false" hidden="false" ht="12.1" outlineLevel="0" r="303">
      <c r="A303" s="3" t="s">
        <f>=HYPERLINK("https://mp39851918.megaplan.ua/deals/81529/card/","13444")</f>
      </c>
      <c r="B303" s="3" t="inlineStr">
        <is>
          <t>111-1689163-8312206</t>
        </is>
      </c>
      <c r="C303" s="3" t="inlineStr">
        <is>
          <t>Autodist</t>
        </is>
      </c>
    </row>
    <row collapsed="false" customFormat="false" customHeight="false" hidden="false" ht="12.1" outlineLevel="0" r="304">
      <c r="A304" s="3" t="s">
        <f>=HYPERLINK("https://mp39851918.megaplan.ua/deals/81542/card/","13445")</f>
      </c>
      <c r="B304" s="3" t="inlineStr">
        <is>
          <t>111-7671935-2804267</t>
        </is>
      </c>
      <c r="C304" s="3" t="inlineStr">
        <is>
          <t>Autodist</t>
        </is>
      </c>
    </row>
    <row collapsed="false" customFormat="false" customHeight="false" hidden="false" ht="12.1" outlineLevel="0" r="305">
      <c r="A305" s="3" t="s">
        <f>=HYPERLINK("https://mp39851918.megaplan.ua/deals/81543/card/","13446")</f>
      </c>
      <c r="B305" s="3" t="inlineStr">
        <is>
          <t>111-4640374-6537055</t>
        </is>
      </c>
      <c r="C305" s="3" t="inlineStr">
        <is>
          <t>RockyMountain</t>
        </is>
      </c>
    </row>
    <row collapsed="false" customFormat="false" customHeight="false" hidden="false" ht="12.1" outlineLevel="0" r="306">
      <c r="A306" s="3" t="s">
        <f>=HYPERLINK("https://mp39851918.megaplan.ua/deals/81544/card/","13447")</f>
      </c>
      <c r="B306" s="3" t="inlineStr">
        <is>
          <t>112-2435786-5757819</t>
        </is>
      </c>
      <c r="C306" s="3" t="inlineStr">
        <is>
          <t>RockyMountain</t>
        </is>
      </c>
    </row>
    <row collapsed="false" customFormat="false" customHeight="false" hidden="false" ht="12.1" outlineLevel="0" r="307">
      <c r="A307" s="3" t="s">
        <f>=HYPERLINK("https://mp39851918.megaplan.ua/deals/81546/card/","13448")</f>
      </c>
      <c r="B307" s="3" t="inlineStr">
        <is>
          <t>114-6641364-8441854</t>
        </is>
      </c>
      <c r="C307" s="3" t="inlineStr">
        <is>
          <t>RockyMountain</t>
        </is>
      </c>
    </row>
    <row collapsed="false" customFormat="false" customHeight="false" hidden="false" ht="12.1" outlineLevel="0" r="308">
      <c r="A308" s="3" t="s">
        <f>=HYPERLINK("https://mp39851918.megaplan.ua/deals/81553/card/","13449")</f>
      </c>
      <c r="B308" s="3" t="inlineStr">
        <is>
          <t>113-4768237-4813005</t>
        </is>
      </c>
      <c r="C308" s="3" t="inlineStr">
        <is>
          <t>Autodist</t>
        </is>
      </c>
    </row>
    <row collapsed="false" customFormat="false" customHeight="false" hidden="false" ht="12.1" outlineLevel="0" r="309">
      <c r="A309" s="3" t="s">
        <f>=HYPERLINK("https://mp39851918.megaplan.ua/deals/81580/card/","13453")</f>
      </c>
      <c r="B309" s="3" t="inlineStr">
        <is>
          <t>112-3851458-4635431</t>
        </is>
      </c>
      <c r="C309" s="3" t="inlineStr">
        <is>
          <t>RockyMountain</t>
        </is>
      </c>
    </row>
    <row collapsed="false" customFormat="false" customHeight="false" hidden="false" ht="12.1" outlineLevel="0" r="310">
      <c r="A310" s="3" t="s">
        <f>=HYPERLINK("https://mp39851918.megaplan.ua/deals/81600/card/","13456")</f>
      </c>
      <c r="B310" s="3" t="inlineStr">
        <is>
          <t>111-2655226-7853013</t>
        </is>
      </c>
      <c r="C310" s="3" t="inlineStr">
        <is>
          <t>RockyMountain</t>
        </is>
      </c>
    </row>
    <row collapsed="false" customFormat="false" customHeight="false" hidden="false" ht="12.1" outlineLevel="0" r="311">
      <c r="A311" s="3" t="s">
        <f>=HYPERLINK("https://mp39851918.megaplan.ua/deals/81602/card/","13457")</f>
      </c>
      <c r="B311" s="3" t="inlineStr">
        <is>
          <t>112-4603981-9233044</t>
        </is>
      </c>
      <c r="C311" s="3" t="inlineStr">
        <is>
          <t>PartsUnlimited</t>
        </is>
      </c>
    </row>
    <row collapsed="false" customFormat="false" customHeight="false" hidden="false" ht="12.1" outlineLevel="0" r="312">
      <c r="A312" s="3" t="s">
        <f>=HYPERLINK("https://mp39851918.megaplan.ua/deals/81603/card/","13458")</f>
      </c>
      <c r="B312" s="3" t="inlineStr">
        <is>
          <t>114-1895726-0948225</t>
        </is>
      </c>
      <c r="C312" s="3" t="inlineStr">
        <is>
          <t>RockyMountain</t>
        </is>
      </c>
    </row>
    <row collapsed="false" customFormat="false" customHeight="false" hidden="false" ht="12.1" outlineLevel="0" r="313">
      <c r="A313" s="3" t="s">
        <f>=HYPERLINK("https://mp39851918.megaplan.ua/deals/81611/card/","13459")</f>
      </c>
      <c r="B313" s="3" t="inlineStr">
        <is>
          <t>113-9105361-4259461</t>
        </is>
      </c>
      <c r="C313" s="3" t="inlineStr">
        <is>
          <t>RockyMountain</t>
        </is>
      </c>
    </row>
    <row collapsed="false" customFormat="false" customHeight="false" hidden="false" ht="12.1" outlineLevel="0" r="314">
      <c r="A314" s="3" t="s">
        <f>=HYPERLINK("https://mp39851918.megaplan.ua/deals/81618/card/","13460")</f>
      </c>
      <c r="B314" s="3" t="inlineStr">
        <is>
          <t>114-2833006-4766638</t>
        </is>
      </c>
      <c r="C314" s="3" t="inlineStr">
        <is>
          <t>RockyMountain</t>
        </is>
      </c>
    </row>
    <row collapsed="false" customFormat="false" customHeight="false" hidden="false" ht="12.1" outlineLevel="0" r="315">
      <c r="A315" s="3" t="s">
        <f>=HYPERLINK("https://mp39851918.megaplan.ua/deals/81639/card/","13463")</f>
      </c>
      <c r="B315" s="3" t="inlineStr">
        <is>
          <t>111-2594888-6458642</t>
        </is>
      </c>
      <c r="C315" s="3" t="inlineStr">
        <is>
          <t>RockyMountain</t>
        </is>
      </c>
    </row>
    <row collapsed="false" customFormat="false" customHeight="false" hidden="false" ht="12.1" outlineLevel="0" r="316">
      <c r="A316" s="3" t="s">
        <f>=HYPERLINK("https://mp39851918.megaplan.ua/deals/81704/card/","13471")</f>
      </c>
      <c r="B316" s="3" t="inlineStr">
        <is>
          <t>114-7093750-9777803</t>
        </is>
      </c>
      <c r="C316" s="3" t="inlineStr">
        <is>
          <t>Autodist</t>
        </is>
      </c>
    </row>
    <row collapsed="false" customFormat="false" customHeight="false" hidden="false" ht="12.1" outlineLevel="0" r="317">
      <c r="A317" s="3" t="s">
        <f>=HYPERLINK("https://mp39851918.megaplan.ua/deals/81705/card/","13472")</f>
      </c>
      <c r="B317" s="3" t="inlineStr">
        <is>
          <t>112-9891100-0906663</t>
        </is>
      </c>
      <c r="C317" s="3" t="inlineStr">
        <is>
          <t>RockyMountain</t>
        </is>
      </c>
    </row>
    <row collapsed="false" customFormat="false" customHeight="false" hidden="false" ht="12.1" outlineLevel="0" r="318">
      <c r="A318" s="3" t="s">
        <f>=HYPERLINK("https://mp39851918.megaplan.ua/deals/81709/card/","13473")</f>
      </c>
      <c r="B318" s="3" t="inlineStr">
        <is>
          <t>114-2520419-7613039</t>
        </is>
      </c>
      <c r="C318" s="3" t="inlineStr">
        <is>
          <t>Autodist</t>
        </is>
      </c>
    </row>
    <row collapsed="false" customFormat="false" customHeight="false" hidden="false" ht="12.1" outlineLevel="0" r="319">
      <c r="A319" s="3" t="s">
        <f>=HYPERLINK("https://mp39851918.megaplan.ua/deals/81725/card/","13478")</f>
      </c>
      <c r="B319" s="3" t="inlineStr">
        <is>
          <t>113-1047783-3206602</t>
        </is>
      </c>
      <c r="C319" s="3" t="inlineStr">
        <is>
          <t>RockyMountain</t>
        </is>
      </c>
    </row>
    <row collapsed="false" customFormat="false" customHeight="false" hidden="false" ht="12.1" outlineLevel="0" r="320">
      <c r="A320" s="3" t="s">
        <f>=HYPERLINK("https://mp39851918.megaplan.ua/deals/81726/card/","13479")</f>
      </c>
      <c r="B320" s="3" t="inlineStr">
        <is>
          <t>113-9966290-4825046</t>
        </is>
      </c>
      <c r="C320" s="3" t="inlineStr">
        <is>
          <t>RockyMountain</t>
        </is>
      </c>
    </row>
    <row collapsed="false" customFormat="false" customHeight="false" hidden="false" ht="12.1" outlineLevel="0" r="321">
      <c r="A321" s="3" t="s">
        <f>=HYPERLINK("https://mp39851918.megaplan.ua/deals/81733/card/","13481")</f>
      </c>
      <c r="B321" s="3" t="inlineStr">
        <is>
          <t>112-8828629-7845004</t>
        </is>
      </c>
      <c r="C321" s="3" t="inlineStr">
        <is>
          <t>RockyMountain</t>
        </is>
      </c>
    </row>
    <row collapsed="false" customFormat="false" customHeight="false" hidden="false" ht="12.1" outlineLevel="0" r="322">
      <c r="A322" s="3" t="s">
        <f>=HYPERLINK("https://mp39851918.megaplan.ua/deals/81741/card/","13482")</f>
      </c>
      <c r="B322" s="3" t="inlineStr">
        <is>
          <t>111-1687041-6414607</t>
        </is>
      </c>
      <c r="C322" s="3" t="inlineStr">
        <is>
          <t>RockyMountain</t>
        </is>
      </c>
    </row>
    <row collapsed="false" customFormat="false" customHeight="false" hidden="false" ht="12.1" outlineLevel="0" r="323">
      <c r="A323" s="3" t="s">
        <f>=HYPERLINK("https://mp39851918.megaplan.ua/deals/81751/card/","13487")</f>
      </c>
      <c r="B323" s="3" t="inlineStr">
        <is>
          <t>114-2896698-8961060</t>
        </is>
      </c>
      <c r="C323" s="3" t="inlineStr">
        <is>
          <t>RockyMountain</t>
        </is>
      </c>
    </row>
    <row collapsed="false" customFormat="false" customHeight="false" hidden="false" ht="12.1" outlineLevel="0" r="324">
      <c r="A324" s="3" t="s">
        <f>=HYPERLINK("https://mp39851918.megaplan.ua/deals/81753/card/","13488")</f>
      </c>
      <c r="B324" s="3" t="inlineStr">
        <is>
          <t>112-7344114-2793034</t>
        </is>
      </c>
      <c r="C324" s="3" t="inlineStr">
        <is>
          <t>RockyMountain</t>
        </is>
      </c>
    </row>
    <row collapsed="false" customFormat="false" customHeight="false" hidden="false" ht="12.1" outlineLevel="0" r="325">
      <c r="A325" s="3" t="s">
        <f>=HYPERLINK("https://mp39851918.megaplan.ua/deals/81754/card/","13489")</f>
      </c>
      <c r="B325" s="3" t="inlineStr">
        <is>
          <t>113-4155093-3101061</t>
        </is>
      </c>
      <c r="C325" s="3" t="inlineStr">
        <is>
          <t>RockyMountain</t>
        </is>
      </c>
    </row>
    <row collapsed="false" customFormat="false" customHeight="false" hidden="false" ht="12.1" outlineLevel="0" r="326">
      <c r="A326" s="3" t="s">
        <f>=HYPERLINK("https://mp39851918.megaplan.ua/deals/81757/card/","13490")</f>
      </c>
      <c r="B326" s="3" t="inlineStr">
        <is>
          <t>114-9482421-2631407</t>
        </is>
      </c>
      <c r="C326" s="3" t="inlineStr">
        <is>
          <t>RockyMountain</t>
        </is>
      </c>
    </row>
    <row collapsed="false" customFormat="false" customHeight="false" hidden="false" ht="12.1" outlineLevel="0" r="327">
      <c r="A327" s="3" t="s">
        <f>=HYPERLINK("https://mp39851918.megaplan.ua/deals/81764/card/","13491")</f>
      </c>
      <c r="B327" s="3" t="inlineStr">
        <is>
          <t>114-2999361-4662606</t>
        </is>
      </c>
      <c r="C327" s="3" t="inlineStr">
        <is>
          <t>Autodist</t>
        </is>
      </c>
    </row>
    <row collapsed="false" customFormat="false" customHeight="false" hidden="false" ht="12.1" outlineLevel="0" r="328">
      <c r="A328" s="3" t="s">
        <f>=HYPERLINK("https://mp39851918.megaplan.ua/deals/81768/card/","13492")</f>
      </c>
      <c r="B328" s="3" t="inlineStr">
        <is>
          <t>114-1222912-0993046</t>
        </is>
      </c>
      <c r="C328" s="3" t="inlineStr">
        <is>
          <t>RockyMountain</t>
        </is>
      </c>
    </row>
    <row collapsed="false" customFormat="false" customHeight="false" hidden="false" ht="12.1" outlineLevel="0" r="329">
      <c r="A329" s="3" t="s">
        <f>=HYPERLINK("https://mp39851918.megaplan.ua/deals/81769/card/","13493")</f>
      </c>
      <c r="B329" s="3" t="inlineStr">
        <is>
          <t>111-6336621-1237827</t>
        </is>
      </c>
      <c r="C329" s="3" t="inlineStr">
        <is>
          <t>PartsUnlimited</t>
        </is>
      </c>
    </row>
    <row collapsed="false" customFormat="false" customHeight="false" hidden="false" ht="12.1" outlineLevel="0" r="330">
      <c r="A330" s="3" t="s">
        <f>=HYPERLINK("https://mp39851918.megaplan.ua/deals/81796/card/","13495")</f>
      </c>
      <c r="B330" s="3" t="inlineStr">
        <is>
          <t>112-9810351-8353042</t>
        </is>
      </c>
      <c r="C330" s="3" t="inlineStr">
        <is>
          <t>RockyMountain</t>
        </is>
      </c>
    </row>
    <row collapsed="false" customFormat="false" customHeight="false" hidden="false" ht="12.1" outlineLevel="0" r="331">
      <c r="A331" s="3" t="s">
        <f>=HYPERLINK("https://mp39851918.megaplan.ua/deals/81820/card/","13497")</f>
      </c>
      <c r="B331" s="3" t="inlineStr">
        <is>
          <t>111-2863393-3599415</t>
        </is>
      </c>
      <c r="C331" s="3" t="inlineStr">
        <is>
          <t>Autodist</t>
        </is>
      </c>
    </row>
    <row collapsed="false" customFormat="false" customHeight="false" hidden="false" ht="12.1" outlineLevel="0" r="332">
      <c r="A332" s="3" t="s">
        <f>=HYPERLINK("https://mp39851918.megaplan.ua/deals/81841/card/","13499")</f>
      </c>
      <c r="B332" s="3" t="inlineStr">
        <is>
          <t>114-7758308-8469029</t>
        </is>
      </c>
      <c r="C332" s="3" t="inlineStr">
        <is>
          <t>Autodist</t>
        </is>
      </c>
    </row>
    <row collapsed="false" customFormat="false" customHeight="false" hidden="false" ht="12.1" outlineLevel="0" r="333">
      <c r="A333" s="3" t="s">
        <f>=HYPERLINK("https://mp39851918.megaplan.ua/deals/81849/card/","13501")</f>
      </c>
      <c r="B333" s="3" t="inlineStr">
        <is>
          <t>113-9456441-1745853</t>
        </is>
      </c>
      <c r="C333" s="3" t="inlineStr">
        <is>
          <t>RockyMountain</t>
        </is>
      </c>
    </row>
    <row collapsed="false" customFormat="false" customHeight="false" hidden="false" ht="12.1" outlineLevel="0" r="334">
      <c r="A334" s="3" t="s">
        <f>=HYPERLINK("https://mp39851918.megaplan.ua/deals/81852/card/","13502")</f>
      </c>
      <c r="B334" s="3" t="inlineStr">
        <is>
          <t>114-9563449-5769840</t>
        </is>
      </c>
      <c r="C334" s="3" t="inlineStr">
        <is>
          <t>RockyMountain</t>
        </is>
      </c>
    </row>
    <row collapsed="false" customFormat="false" customHeight="false" hidden="false" ht="12.1" outlineLevel="0" r="335">
      <c r="A335" s="3" t="s">
        <f>=HYPERLINK("https://mp39851918.megaplan.ua/deals/81862/card/","13503")</f>
      </c>
      <c r="B335" s="3" t="inlineStr">
        <is>
          <t>114-9186483-5419443</t>
        </is>
      </c>
      <c r="C335" s="3" t="inlineStr">
        <is>
          <t>RockyMountain</t>
        </is>
      </c>
    </row>
    <row collapsed="false" customFormat="false" customHeight="false" hidden="false" ht="12.1" outlineLevel="0" r="336">
      <c r="A336" s="3" t="s">
        <f>=HYPERLINK("https://mp39851918.megaplan.ua/deals/81869/card/","13504")</f>
      </c>
      <c r="B336" s="3" t="inlineStr">
        <is>
          <t>113-2748968-8206638</t>
        </is>
      </c>
      <c r="C336" s="3" t="inlineStr">
        <is>
          <t>RockyMountain</t>
        </is>
      </c>
    </row>
    <row collapsed="false" customFormat="false" customHeight="false" hidden="false" ht="12.1" outlineLevel="0" r="337">
      <c r="A337" s="3" t="s">
        <f>=HYPERLINK("https://mp39851918.megaplan.ua/deals/81879/card/","13505")</f>
      </c>
      <c r="B337" s="3" t="inlineStr">
        <is>
          <t>113-1838214-3341026</t>
        </is>
      </c>
      <c r="C337" s="3" t="inlineStr">
        <is>
          <t>RockyMountain</t>
        </is>
      </c>
    </row>
    <row collapsed="false" customFormat="false" customHeight="false" hidden="false" ht="12.1" outlineLevel="0" r="338">
      <c r="A338" s="3" t="s">
        <f>=HYPERLINK("https://mp39851918.megaplan.ua/deals/81905/card/","13508")</f>
      </c>
      <c r="B338" s="3" t="inlineStr">
        <is>
          <t>111-6786519-1418623</t>
        </is>
      </c>
      <c r="C338" s="3" t="inlineStr">
        <is>
          <t>RockyMountain</t>
        </is>
      </c>
    </row>
    <row collapsed="false" customFormat="false" customHeight="false" hidden="false" ht="12.1" outlineLevel="0" r="339">
      <c r="A339" s="3" t="s">
        <f>=HYPERLINK("https://mp39851918.megaplan.ua/deals/81906/card/","13509")</f>
      </c>
      <c r="B339" s="3" t="inlineStr">
        <is>
          <t>114-8206406-0249049</t>
        </is>
      </c>
      <c r="C339" s="3" t="inlineStr">
        <is>
          <t>RockyMountain</t>
        </is>
      </c>
    </row>
    <row collapsed="false" customFormat="false" customHeight="false" hidden="false" ht="12.1" outlineLevel="0" r="340">
      <c r="A340" s="3" t="s">
        <f>=HYPERLINK("https://mp39851918.megaplan.ua/deals/81916/card/","13511")</f>
      </c>
      <c r="B340" s="3" t="inlineStr">
        <is>
          <t>114-9487433-2873826</t>
        </is>
      </c>
      <c r="C340" s="3" t="inlineStr">
        <is>
          <t>RockyMountain</t>
        </is>
      </c>
    </row>
    <row collapsed="false" customFormat="false" customHeight="false" hidden="false" ht="12.1" outlineLevel="0" r="341">
      <c r="A341" s="3" t="s">
        <f>=HYPERLINK("https://mp39851918.megaplan.ua/deals/81921/card/","13512")</f>
      </c>
      <c r="B341" s="3" t="inlineStr">
        <is>
          <t>114-4433882-1925806</t>
        </is>
      </c>
      <c r="C341" s="3" t="inlineStr">
        <is>
          <t>RockyMountain</t>
        </is>
      </c>
    </row>
    <row collapsed="false" customFormat="false" customHeight="false" hidden="false" ht="12.1" outlineLevel="0" r="342">
      <c r="A342" s="3" t="s">
        <f>=HYPERLINK("https://mp39851918.megaplan.ua/deals/81938/card/","13514")</f>
      </c>
      <c r="B342" s="3" t="inlineStr">
        <is>
          <t>113-9212728-8451443</t>
        </is>
      </c>
      <c r="C342" s="3" t="inlineStr">
        <is>
          <t>RockyMountain</t>
        </is>
      </c>
    </row>
    <row collapsed="false" customFormat="false" customHeight="false" hidden="false" ht="12.1" outlineLevel="0" r="343">
      <c r="A343" s="3" t="s">
        <f>=HYPERLINK("https://mp39851918.megaplan.ua/deals/81939/card/","13515")</f>
      </c>
      <c r="B343" s="3" t="inlineStr">
        <is>
          <t>114-3234496-5799419</t>
        </is>
      </c>
      <c r="C343" s="3" t="inlineStr">
        <is>
          <t>RockyMountain</t>
        </is>
      </c>
    </row>
    <row collapsed="false" customFormat="false" customHeight="false" hidden="false" ht="12.1" outlineLevel="0" r="344">
      <c r="A344" s="3" t="s">
        <f>=HYPERLINK("https://mp39851918.megaplan.ua/deals/81941/card/","13516")</f>
      </c>
      <c r="B344" s="3" t="inlineStr">
        <is>
          <t>111-7097986-5101862</t>
        </is>
      </c>
      <c r="C344" s="3" t="inlineStr">
        <is>
          <t>RockyMountain</t>
        </is>
      </c>
    </row>
    <row collapsed="false" customFormat="false" customHeight="false" hidden="false" ht="12.1" outlineLevel="0" r="345">
      <c r="A345" s="3" t="s">
        <f>=HYPERLINK("https://mp39851918.megaplan.ua/deals/81947/card/","13518")</f>
      </c>
      <c r="B345" s="3" t="inlineStr">
        <is>
          <t>114-2920090-5439434</t>
        </is>
      </c>
      <c r="C345" s="3" t="inlineStr">
        <is>
          <t>Autodist</t>
        </is>
      </c>
    </row>
    <row collapsed="false" customFormat="false" customHeight="false" hidden="false" ht="12.1" outlineLevel="0" r="346">
      <c r="A346" s="3" t="s">
        <f>=HYPERLINK("https://mp39851918.megaplan.ua/deals/81952/card/","13519")</f>
      </c>
      <c r="B346" s="3" t="inlineStr">
        <is>
          <t>111-7349391-7582638</t>
        </is>
      </c>
      <c r="C346" s="3" t="inlineStr">
        <is>
          <t>RockyMountain</t>
        </is>
      </c>
    </row>
    <row collapsed="false" customFormat="false" customHeight="false" hidden="false" ht="12.1" outlineLevel="0" r="347">
      <c r="A347" s="3" t="s">
        <f>=HYPERLINK("https://mp39851918.megaplan.ua/deals/81961/card/","13520")</f>
      </c>
      <c r="B347" s="3" t="inlineStr">
        <is>
          <t>114-6326565-7404243</t>
        </is>
      </c>
      <c r="C347" s="3" t="inlineStr">
        <is>
          <t>Autodist</t>
        </is>
      </c>
    </row>
    <row collapsed="false" customFormat="false" customHeight="false" hidden="false" ht="12.1" outlineLevel="0" r="348">
      <c r="A348" s="3" t="s">
        <f>=HYPERLINK("https://mp39851918.megaplan.ua/deals/81969/card/","13521")</f>
      </c>
      <c r="B348" s="3" t="inlineStr">
        <is>
          <t>114-4330676-8881035</t>
        </is>
      </c>
      <c r="C348" s="3" t="inlineStr">
        <is>
          <t>Autodist</t>
        </is>
      </c>
    </row>
    <row collapsed="false" customFormat="false" customHeight="false" hidden="false" ht="12.1" outlineLevel="0" r="349">
      <c r="A349" s="3" t="s">
        <f>=HYPERLINK("https://mp39851918.megaplan.ua/deals/81977/card/","13523")</f>
      </c>
      <c r="B349" s="3" t="inlineStr">
        <is>
          <t>113-6953473-5165851</t>
        </is>
      </c>
      <c r="C349" s="3" t="inlineStr">
        <is>
          <t>RockyMountain</t>
        </is>
      </c>
    </row>
    <row collapsed="false" customFormat="false" customHeight="false" hidden="false" ht="12.1" outlineLevel="0" r="350">
      <c r="A350" s="3" t="s">
        <f>=HYPERLINK("https://mp39851918.megaplan.ua/deals/81980/card/","13524")</f>
      </c>
      <c r="B350" s="3" t="inlineStr">
        <is>
          <t>114-0048384-1676230</t>
        </is>
      </c>
      <c r="C350" s="3" t="inlineStr">
        <is>
          <t>PartsUnlimited</t>
        </is>
      </c>
    </row>
    <row collapsed="false" customFormat="false" customHeight="false" hidden="false" ht="12.1" outlineLevel="0" r="351">
      <c r="A351" s="3" t="s">
        <f>=HYPERLINK("https://mp39851918.megaplan.ua/deals/82005/card/","13526")</f>
      </c>
      <c r="B351" s="3" t="inlineStr">
        <is>
          <t>113-5238033-1917856</t>
        </is>
      </c>
      <c r="C351" s="3" t="inlineStr">
        <is>
          <t>RockyMountain</t>
        </is>
      </c>
    </row>
    <row collapsed="false" customFormat="false" customHeight="false" hidden="false" ht="12.1" outlineLevel="0" r="352">
      <c r="A352" s="3" t="s">
        <f>=HYPERLINK("https://mp39851918.megaplan.ua/deals/82007/card/","13527")</f>
      </c>
      <c r="B352" s="3" t="inlineStr">
        <is>
          <t>114-3618174-1638642</t>
        </is>
      </c>
      <c r="C352" s="3" t="inlineStr">
        <is>
          <t>RockyMountain</t>
        </is>
      </c>
    </row>
    <row collapsed="false" customFormat="false" customHeight="false" hidden="false" ht="12.1" outlineLevel="0" r="353">
      <c r="A353" s="3" t="s">
        <f>=HYPERLINK("https://mp39851918.megaplan.ua/deals/82011/card/","13528")</f>
      </c>
      <c r="B353" s="3" t="inlineStr">
        <is>
          <t>113-3331246-3415467</t>
        </is>
      </c>
      <c r="C353" s="3" t="inlineStr">
        <is>
          <t>RockyMountain</t>
        </is>
      </c>
    </row>
    <row collapsed="false" customFormat="false" customHeight="false" hidden="false" ht="12.1" outlineLevel="0" r="354">
      <c r="A354" s="3" t="s">
        <f>=HYPERLINK("https://mp39851918.megaplan.ua/deals/82025/card/","13531")</f>
      </c>
      <c r="B354" s="3" t="inlineStr">
        <is>
          <t>112-4376635-2530650</t>
        </is>
      </c>
      <c r="C354" s="3" t="inlineStr">
        <is>
          <t>PartsUnlimited</t>
        </is>
      </c>
    </row>
    <row collapsed="false" customFormat="false" customHeight="false" hidden="false" ht="12.1" outlineLevel="0" r="355">
      <c r="A355" s="3" t="s">
        <f>=HYPERLINK("https://mp39851918.megaplan.ua/deals/82035/card/","13532")</f>
      </c>
      <c r="B355" s="3" t="inlineStr">
        <is>
          <t>113-2702964-7167408</t>
        </is>
      </c>
      <c r="C355" s="3" t="inlineStr">
        <is>
          <t>Autodist</t>
        </is>
      </c>
    </row>
    <row collapsed="false" customFormat="false" customHeight="false" hidden="false" ht="12.1" outlineLevel="0" r="356">
      <c r="A356" s="3" t="s">
        <f>=HYPERLINK("https://mp39851918.megaplan.ua/deals/82040/card/","13533")</f>
      </c>
      <c r="B356" s="3" t="inlineStr">
        <is>
          <t>111-3814288-6921852</t>
        </is>
      </c>
      <c r="C356" s="3" t="inlineStr">
        <is>
          <t>Autodist</t>
        </is>
      </c>
    </row>
    <row collapsed="false" customFormat="false" customHeight="false" hidden="false" ht="12.1" outlineLevel="0" r="357">
      <c r="A357" s="3" t="s">
        <f>=HYPERLINK("https://mp39851918.megaplan.ua/deals/82042/card/","13534")</f>
      </c>
      <c r="B357" s="3" t="inlineStr">
        <is>
          <t>112-8966766-1355415</t>
        </is>
      </c>
      <c r="C357" s="3" t="inlineStr">
        <is>
          <t>Autodist</t>
        </is>
      </c>
    </row>
    <row collapsed="false" customFormat="false" customHeight="false" hidden="false" ht="12.1" outlineLevel="0" r="358">
      <c r="A358" s="3" t="s">
        <f>=HYPERLINK("https://mp39851918.megaplan.ua/deals/82056/card/","13537")</f>
      </c>
      <c r="B358" s="3" t="inlineStr">
        <is>
          <t>111-2813260-9696235</t>
        </is>
      </c>
      <c r="C358" s="3" t="inlineStr">
        <is>
          <t>RockyMountain</t>
        </is>
      </c>
    </row>
    <row collapsed="false" customFormat="false" customHeight="false" hidden="false" ht="12.1" outlineLevel="0" r="359">
      <c r="A359" s="3" t="s">
        <f>=HYPERLINK("https://mp39851918.megaplan.ua/deals/82067/card/","13539")</f>
      </c>
      <c r="B359" s="3" t="inlineStr">
        <is>
          <t>113-1120680-1917047</t>
        </is>
      </c>
      <c r="C359" s="3" t="inlineStr">
        <is>
          <t>RockyMountain</t>
        </is>
      </c>
    </row>
    <row collapsed="false" customFormat="false" customHeight="false" hidden="false" ht="12.1" outlineLevel="0" r="360">
      <c r="A360" s="3" t="s">
        <f>=HYPERLINK("https://mp39851918.megaplan.ua/deals/82081/card/","13540")</f>
      </c>
      <c r="B360" s="3" t="inlineStr">
        <is>
          <t>113-3487351-3328247</t>
        </is>
      </c>
      <c r="C360" s="3" t="inlineStr">
        <is>
          <t>RockyMountain</t>
        </is>
      </c>
    </row>
    <row collapsed="false" customFormat="false" customHeight="false" hidden="false" ht="12.1" outlineLevel="0" r="361">
      <c r="A361" s="3" t="s">
        <f>=HYPERLINK("https://mp39851918.megaplan.ua/deals/82084/card/","13541")</f>
      </c>
      <c r="B361" s="3" t="inlineStr">
        <is>
          <t>113-0248717-9550607</t>
        </is>
      </c>
      <c r="C361" s="3" t="inlineStr">
        <is>
          <t>RockyMountain</t>
        </is>
      </c>
    </row>
    <row collapsed="false" customFormat="false" customHeight="false" hidden="false" ht="12.1" outlineLevel="0" r="362">
      <c r="A362" s="3" t="s">
        <f>=HYPERLINK("https://mp39851918.megaplan.ua/deals/82091/card/","13542")</f>
      </c>
      <c r="B362" s="3" t="inlineStr">
        <is>
          <t>111-9441456-3705026</t>
        </is>
      </c>
      <c r="C362" s="3" t="inlineStr">
        <is>
          <t>RockyMountain</t>
        </is>
      </c>
    </row>
    <row collapsed="false" customFormat="false" customHeight="false" hidden="false" ht="12.1" outlineLevel="0" r="363">
      <c r="A363" s="3" t="s">
        <f>=HYPERLINK("https://mp39851918.megaplan.ua/deals/82093/card/","13543")</f>
      </c>
      <c r="B363" s="3" t="inlineStr">
        <is>
          <t>114-8923397-7442604</t>
        </is>
      </c>
      <c r="C363" s="3" t="inlineStr">
        <is>
          <t>PartsUnlimited</t>
        </is>
      </c>
    </row>
    <row collapsed="false" customFormat="false" customHeight="false" hidden="false" ht="12.1" outlineLevel="0" r="364">
      <c r="A364" s="3" t="s">
        <f>=HYPERLINK("https://mp39851918.megaplan.ua/deals/82098/card/","13544")</f>
      </c>
      <c r="B364" s="3" t="inlineStr">
        <is>
          <t>111-1398244-8983412</t>
        </is>
      </c>
      <c r="C364" s="3" t="inlineStr">
        <is>
          <t>RockyMountain</t>
        </is>
      </c>
    </row>
    <row collapsed="false" customFormat="false" customHeight="false" hidden="false" ht="12.1" outlineLevel="0" r="365">
      <c r="A365" s="3" t="s">
        <f>=HYPERLINK("https://mp39851918.megaplan.ua/deals/82100/card/","13545")</f>
      </c>
      <c r="B365" s="3" t="inlineStr">
        <is>
          <t>111-9122952-3485852</t>
        </is>
      </c>
      <c r="C365" s="3" t="inlineStr">
        <is>
          <t>Autodist</t>
        </is>
      </c>
    </row>
    <row collapsed="false" customFormat="false" customHeight="false" hidden="false" ht="12.1" outlineLevel="0" r="366">
      <c r="A366" s="3" t="s">
        <f>=HYPERLINK("https://mp39851918.megaplan.ua/deals/82126/card/","13546")</f>
      </c>
      <c r="B366" s="3" t="inlineStr">
        <is>
          <t>114-6537460-0755461</t>
        </is>
      </c>
      <c r="C366" s="3" t="inlineStr">
        <is>
          <t>Autodist</t>
        </is>
      </c>
    </row>
    <row collapsed="false" customFormat="false" customHeight="false" hidden="false" ht="12.1" outlineLevel="0" r="367">
      <c r="A367" s="3" t="s">
        <f>=HYPERLINK("https://mp39851918.megaplan.ua/deals/82131/card/","13547")</f>
      </c>
      <c r="B367" s="3" t="inlineStr">
        <is>
          <t>114-9727678-6609845</t>
        </is>
      </c>
      <c r="C367" s="3" t="inlineStr">
        <is>
          <t>RockyMountain</t>
        </is>
      </c>
    </row>
    <row collapsed="false" customFormat="false" customHeight="false" hidden="false" ht="12.1" outlineLevel="0" r="368">
      <c r="A368" s="3" t="s">
        <f>=HYPERLINK("https://mp39851918.megaplan.ua/deals/82139/card/","13549")</f>
      </c>
      <c r="B368" s="3" t="inlineStr">
        <is>
          <t>112-6171937-7569010</t>
        </is>
      </c>
      <c r="C368" s="3" t="inlineStr">
        <is>
          <t>RockyMountain</t>
        </is>
      </c>
    </row>
    <row collapsed="false" customFormat="false" customHeight="false" hidden="false" ht="12.1" outlineLevel="0" r="369">
      <c r="A369" s="3" t="s">
        <f>=HYPERLINK("https://mp39851918.megaplan.ua/deals/82140/card/","13550")</f>
      </c>
      <c r="B369" s="3" t="inlineStr">
        <is>
          <t>112-8098522-5344266</t>
        </is>
      </c>
      <c r="C369" s="3" t="inlineStr">
        <is>
          <t>RockyMountain</t>
        </is>
      </c>
    </row>
    <row collapsed="false" customFormat="false" customHeight="false" hidden="false" ht="12.1" outlineLevel="0" r="370">
      <c r="A370" s="3" t="s">
        <f>=HYPERLINK("https://mp39851918.megaplan.ua/deals/82141/card/","13551")</f>
      </c>
      <c r="B370" s="3" t="inlineStr">
        <is>
          <t>111-9619749-5733062</t>
        </is>
      </c>
      <c r="C370" s="3" t="inlineStr">
        <is>
          <t>Autodist</t>
        </is>
      </c>
    </row>
    <row collapsed="false" customFormat="false" customHeight="false" hidden="false" ht="12.1" outlineLevel="0" r="371">
      <c r="A371" s="3" t="s">
        <f>=HYPERLINK("https://mp39851918.megaplan.ua/deals/82165/card/","13556")</f>
      </c>
      <c r="B371" s="3" t="inlineStr">
        <is>
          <t>111-6352073-0445865</t>
        </is>
      </c>
      <c r="C371" s="3" t="inlineStr">
        <is>
          <t>PartsUnlimited</t>
        </is>
      </c>
    </row>
    <row collapsed="false" customFormat="false" customHeight="false" hidden="false" ht="12.1" outlineLevel="0" r="372">
      <c r="A372" s="3" t="s">
        <f>=HYPERLINK("https://mp39851918.megaplan.ua/deals/82168/card/","13557")</f>
      </c>
      <c r="B372" s="3" t="inlineStr">
        <is>
          <t>114-7546137-0947411</t>
        </is>
      </c>
      <c r="C372" s="3" t="inlineStr">
        <is>
          <t>RockyMountain</t>
        </is>
      </c>
    </row>
    <row collapsed="false" customFormat="false" customHeight="false" hidden="false" ht="12.1" outlineLevel="0" r="373">
      <c r="A373" s="3" t="s">
        <f>=HYPERLINK("https://mp39851918.megaplan.ua/deals/82170/card/","13558")</f>
      </c>
      <c r="B373" s="3" t="inlineStr">
        <is>
          <t>111-9640828-0294633</t>
        </is>
      </c>
      <c r="C373" s="3" t="inlineStr">
        <is>
          <t>RockyMountain</t>
        </is>
      </c>
    </row>
    <row collapsed="false" customFormat="false" customHeight="false" hidden="false" ht="12.1" outlineLevel="0" r="374">
      <c r="A374" s="3" t="s">
        <f>=HYPERLINK("https://mp39851918.megaplan.ua/deals/82172/card/","13559")</f>
      </c>
      <c r="B374" s="3" t="inlineStr">
        <is>
          <t>112-2020180-8787443</t>
        </is>
      </c>
      <c r="C374" s="3" t="inlineStr">
        <is>
          <t>PartsUnlimited</t>
        </is>
      </c>
    </row>
    <row collapsed="false" customFormat="false" customHeight="false" hidden="false" ht="12.1" outlineLevel="0" r="375">
      <c r="A375" s="3" t="s">
        <f>=HYPERLINK("https://mp39851918.megaplan.ua/deals/82173/card/","13560")</f>
      </c>
      <c r="B375" s="3" t="inlineStr">
        <is>
          <t>111-8654060-7430638</t>
        </is>
      </c>
      <c r="C375" s="3" t="inlineStr">
        <is>
          <t>RockyMountain</t>
        </is>
      </c>
    </row>
    <row collapsed="false" customFormat="false" customHeight="false" hidden="false" ht="12.1" outlineLevel="0" r="376">
      <c r="A376" s="3" t="s">
        <f>=HYPERLINK("https://mp39851918.megaplan.ua/deals/82174/card/","13561")</f>
      </c>
      <c r="B376" s="3" t="inlineStr">
        <is>
          <t>113-3666612-5988247</t>
        </is>
      </c>
      <c r="C376" s="3" t="inlineStr">
        <is>
          <t>RockyMountain</t>
        </is>
      </c>
    </row>
    <row collapsed="false" customFormat="false" customHeight="false" hidden="false" ht="12.1" outlineLevel="0" r="377">
      <c r="A377" s="3" t="s">
        <f>=HYPERLINK("https://mp39851918.megaplan.ua/deals/82184/card/","13562")</f>
      </c>
      <c r="B377" s="3" t="inlineStr">
        <is>
          <t>111-6986785-8441006</t>
        </is>
      </c>
      <c r="C377" s="3" t="inlineStr">
        <is>
          <t>RockyMountain</t>
        </is>
      </c>
    </row>
    <row collapsed="false" customFormat="false" customHeight="false" hidden="false" ht="12.1" outlineLevel="0" r="378">
      <c r="A378" s="3" t="s">
        <f>=HYPERLINK("https://mp39851918.megaplan.ua/deals/82185/card/","13563")</f>
      </c>
      <c r="B378" s="3" t="inlineStr">
        <is>
          <t>114-1844522-0750623</t>
        </is>
      </c>
      <c r="C378" s="3" t="inlineStr">
        <is>
          <t>RockyMountain</t>
        </is>
      </c>
    </row>
    <row collapsed="false" customFormat="false" customHeight="false" hidden="false" ht="12.1" outlineLevel="0" r="379">
      <c r="A379" s="3" t="s">
        <f>=HYPERLINK("https://mp39851918.megaplan.ua/deals/82187/card/","13564")</f>
      </c>
      <c r="B379" s="3" t="inlineStr">
        <is>
          <t>114-8688013-1168215</t>
        </is>
      </c>
      <c r="C379" s="3" t="inlineStr">
        <is>
          <t>RockyMountain</t>
        </is>
      </c>
    </row>
    <row collapsed="false" customFormat="false" customHeight="false" hidden="false" ht="12.1" outlineLevel="0" r="380">
      <c r="A380" s="3" t="s">
        <f>=HYPERLINK("https://mp39851918.megaplan.ua/deals/82189/card/","13565")</f>
      </c>
      <c r="B380" s="3" t="inlineStr">
        <is>
          <t>111-3665972-5453858</t>
        </is>
      </c>
      <c r="C380" s="3" t="inlineStr">
        <is>
          <t>RockyMountain</t>
        </is>
      </c>
    </row>
    <row collapsed="false" customFormat="false" customHeight="false" hidden="false" ht="12.1" outlineLevel="0" r="381">
      <c r="A381" s="3" t="s">
        <f>=HYPERLINK("https://mp39851918.megaplan.ua/deals/82201/card/","13566")</f>
      </c>
      <c r="B381" s="3" t="inlineStr">
        <is>
          <t>111-7747641-3916247</t>
        </is>
      </c>
      <c r="C381" s="3" t="inlineStr">
        <is>
          <t>TuckerRocky</t>
        </is>
      </c>
    </row>
    <row collapsed="false" customFormat="false" customHeight="false" hidden="false" ht="12.1" outlineLevel="0" r="382">
      <c r="A382" s="3" t="s">
        <f>=HYPERLINK("https://mp39851918.megaplan.ua/deals/82212/card/","13567")</f>
      </c>
      <c r="B382" s="3" t="inlineStr">
        <is>
          <t>112-5628573-4749009</t>
        </is>
      </c>
      <c r="C382" s="3" t="inlineStr">
        <is>
          <t>RockyMountain</t>
        </is>
      </c>
    </row>
    <row collapsed="false" customFormat="false" customHeight="false" hidden="false" ht="12.1" outlineLevel="0" r="383">
      <c r="A383" s="3" t="s">
        <f>=HYPERLINK("https://mp39851918.megaplan.ua/deals/82216/card/","13568")</f>
      </c>
      <c r="B383" s="3" t="inlineStr">
        <is>
          <t>112-5061805-6349027</t>
        </is>
      </c>
      <c r="C383" s="3" t="inlineStr">
        <is>
          <t>RockyMountain</t>
        </is>
      </c>
    </row>
    <row collapsed="false" customFormat="false" customHeight="false" hidden="false" ht="12.1" outlineLevel="0" r="384">
      <c r="A384" s="3" t="s">
        <f>=HYPERLINK("https://mp39851918.megaplan.ua/deals/82219/card/","13569")</f>
      </c>
      <c r="B384" s="3" t="inlineStr">
        <is>
          <t>114-3279155-8618640</t>
        </is>
      </c>
      <c r="C384" s="3" t="inlineStr">
        <is>
          <t>Autodist</t>
        </is>
      </c>
    </row>
    <row collapsed="false" customFormat="false" customHeight="false" hidden="false" ht="12.1" outlineLevel="0" r="385">
      <c r="A385" s="3" t="s">
        <f>=HYPERLINK("https://mp39851918.megaplan.ua/deals/82227/card/","13570")</f>
      </c>
      <c r="B385" s="3" t="inlineStr">
        <is>
          <t>113-6877864-4727414</t>
        </is>
      </c>
      <c r="C385" s="3" t="inlineStr">
        <is>
          <t>RockyMountain</t>
        </is>
      </c>
    </row>
    <row collapsed="false" customFormat="false" customHeight="false" hidden="false" ht="12.1" outlineLevel="0" r="386">
      <c r="A386" s="3" t="s">
        <f>=HYPERLINK("https://mp39851918.megaplan.ua/deals/82237/card/","13571")</f>
      </c>
      <c r="B386" s="3" t="inlineStr">
        <is>
          <t>111-8277577-0500253</t>
        </is>
      </c>
      <c r="C386" s="3" t="inlineStr">
        <is>
          <t>RockyMountain</t>
        </is>
      </c>
    </row>
    <row collapsed="false" customFormat="false" customHeight="false" hidden="false" ht="12.1" outlineLevel="0" r="387">
      <c r="A387" s="3" t="s">
        <f>=HYPERLINK("https://mp39851918.megaplan.ua/deals/82245/card/","13572")</f>
      </c>
      <c r="B387" s="3" t="inlineStr">
        <is>
          <t>114-4637668-7483403</t>
        </is>
      </c>
      <c r="C387" s="3" t="inlineStr">
        <is>
          <t>PartsUnlimited</t>
        </is>
      </c>
    </row>
    <row collapsed="false" customFormat="false" customHeight="false" hidden="false" ht="12.1" outlineLevel="0" r="388">
      <c r="A388" s="3" t="s">
        <f>=HYPERLINK("https://mp39851918.megaplan.ua/deals/82246/card/","13573")</f>
      </c>
      <c r="B388" s="3" t="inlineStr">
        <is>
          <t>113-0571227-6503441</t>
        </is>
      </c>
      <c r="C388" s="3" t="inlineStr">
        <is>
          <t>Autodist</t>
        </is>
      </c>
    </row>
    <row collapsed="false" customFormat="false" customHeight="false" hidden="false" ht="12.1" outlineLevel="0" r="389">
      <c r="A389" s="3" t="s">
        <f>=HYPERLINK("https://mp39851918.megaplan.ua/deals/82248/card/","13574")</f>
      </c>
      <c r="B389" s="3" t="inlineStr">
        <is>
          <t>113-5757823-6822626</t>
        </is>
      </c>
      <c r="C389" s="3" t="inlineStr">
        <is>
          <t>RockyMountain</t>
        </is>
      </c>
    </row>
    <row collapsed="false" customFormat="false" customHeight="false" hidden="false" ht="12.1" outlineLevel="0" r="390">
      <c r="A390" s="3" t="s">
        <f>=HYPERLINK("https://mp39851918.megaplan.ua/deals/82254/card/","13575")</f>
      </c>
      <c r="B390" s="3" t="inlineStr">
        <is>
          <t>114-6376224-1373846</t>
        </is>
      </c>
      <c r="C390" s="3" t="inlineStr">
        <is>
          <t>Autodist</t>
        </is>
      </c>
    </row>
    <row collapsed="false" customFormat="false" customHeight="false" hidden="false" ht="12.1" outlineLevel="0" r="391">
      <c r="A391" s="3" t="s">
        <f>=HYPERLINK("https://mp39851918.megaplan.ua/deals/82262/card/","13576")</f>
      </c>
      <c r="B391" s="3" t="inlineStr">
        <is>
          <t>112-2779873-6263469</t>
        </is>
      </c>
      <c r="C391" s="3" t="inlineStr">
        <is>
          <t>RockyMountain</t>
        </is>
      </c>
    </row>
    <row collapsed="false" customFormat="false" customHeight="false" hidden="false" ht="12.1" outlineLevel="0" r="392">
      <c r="A392" s="3" t="s">
        <f>=HYPERLINK("https://mp39851918.megaplan.ua/deals/82270/card/","13577")</f>
      </c>
      <c r="B392" s="3" t="inlineStr">
        <is>
          <t>111-7826728-1294604</t>
        </is>
      </c>
      <c r="C392" s="3" t="inlineStr">
        <is>
          <t>Autodist</t>
        </is>
      </c>
    </row>
    <row collapsed="false" customFormat="false" customHeight="false" hidden="false" ht="12.1" outlineLevel="0" r="393">
      <c r="A393" s="3" t="s">
        <f>=HYPERLINK("https://mp39851918.megaplan.ua/deals/82276/card/","13578")</f>
      </c>
      <c r="B393" s="3" t="inlineStr">
        <is>
          <t>111-6946178-1957858</t>
        </is>
      </c>
      <c r="C393" s="3" t="inlineStr">
        <is>
          <t>RockyMountain</t>
        </is>
      </c>
    </row>
    <row collapsed="false" customFormat="false" customHeight="false" hidden="false" ht="12.1" outlineLevel="0" r="394">
      <c r="A394" s="3" t="s">
        <f>=HYPERLINK("https://mp39851918.megaplan.ua/deals/82306/card/","13580")</f>
      </c>
      <c r="B394" s="3" t="inlineStr">
        <is>
          <t>114-9739117-1235453</t>
        </is>
      </c>
      <c r="C394" s="3" t="inlineStr">
        <is>
          <t>Autodist</t>
        </is>
      </c>
    </row>
    <row collapsed="false" customFormat="false" customHeight="false" hidden="false" ht="12.1" outlineLevel="0" r="395">
      <c r="A395" s="3" t="s">
        <f>=HYPERLINK("https://mp39851918.megaplan.ua/deals/82322/card/","13583")</f>
      </c>
      <c r="B395" s="3" t="inlineStr">
        <is>
          <t>114-5789286-2584228</t>
        </is>
      </c>
      <c r="C395" s="3" t="inlineStr">
        <is>
          <t>RockyMountain</t>
        </is>
      </c>
    </row>
    <row collapsed="false" customFormat="false" customHeight="false" hidden="false" ht="12.1" outlineLevel="0" r="396">
      <c r="A396" s="3" t="s">
        <f>=HYPERLINK("https://mp39851918.megaplan.ua/deals/82325/card/","13584")</f>
      </c>
      <c r="B396" s="3" t="inlineStr">
        <is>
          <t>114-7932118-5500251</t>
        </is>
      </c>
      <c r="C396" s="3" t="inlineStr">
        <is>
          <t>PartsUnlimited</t>
        </is>
      </c>
    </row>
    <row collapsed="false" customFormat="false" customHeight="false" hidden="false" ht="12.1" outlineLevel="0" r="397">
      <c r="A397" s="3" t="s">
        <f>=HYPERLINK("https://mp39851918.megaplan.ua/deals/82326/card/","13585")</f>
      </c>
      <c r="B397" s="3" t="inlineStr">
        <is>
          <t>112-9513401-0433022</t>
        </is>
      </c>
      <c r="C397" s="3" t="inlineStr">
        <is>
          <t>RockyMountain</t>
        </is>
      </c>
    </row>
    <row collapsed="false" customFormat="false" customHeight="false" hidden="false" ht="12.1" outlineLevel="0" r="398">
      <c r="A398" s="3" t="s">
        <f>=HYPERLINK("https://mp39851918.megaplan.ua/deals/82327/card/","13586")</f>
      </c>
      <c r="B398" s="3" t="inlineStr">
        <is>
          <t>112-0506338-1854638</t>
        </is>
      </c>
      <c r="C398" s="3" t="inlineStr">
        <is>
          <t>RockyMountain</t>
        </is>
      </c>
    </row>
    <row collapsed="false" customFormat="false" customHeight="false" hidden="false" ht="12.1" outlineLevel="0" r="399">
      <c r="A399" s="3" t="s">
        <f>=HYPERLINK("https://mp39851918.megaplan.ua/deals/82351/card/","13588")</f>
      </c>
      <c r="B399" s="3" t="inlineStr">
        <is>
          <t>114-5659885-3401806</t>
        </is>
      </c>
      <c r="C399" s="3" t="inlineStr">
        <is>
          <t>RockyMountain</t>
        </is>
      </c>
    </row>
    <row collapsed="false" customFormat="false" customHeight="false" hidden="false" ht="12.1" outlineLevel="0" r="400">
      <c r="A400" s="3" t="s">
        <f>=HYPERLINK("https://mp39851918.megaplan.ua/deals/82354/card/","13589")</f>
      </c>
      <c r="B400" s="3" t="inlineStr">
        <is>
          <t>114-5005232-9447434</t>
        </is>
      </c>
      <c r="C400" s="3" t="inlineStr">
        <is>
          <t>RockyMountain</t>
        </is>
      </c>
    </row>
    <row collapsed="false" customFormat="false" customHeight="false" hidden="false" ht="12.1" outlineLevel="0" r="401">
      <c r="A401" s="3" t="s">
        <f>=HYPERLINK("https://mp39851918.megaplan.ua/deals/82361/card/","13590")</f>
      </c>
      <c r="B401" s="3" t="inlineStr">
        <is>
          <t>111-1806412-8925830</t>
        </is>
      </c>
      <c r="C401" s="3" t="inlineStr">
        <is>
          <t>RockyMountain</t>
        </is>
      </c>
    </row>
    <row collapsed="false" customFormat="false" customHeight="false" hidden="false" ht="12.1" outlineLevel="0" r="402">
      <c r="A402" s="3" t="s">
        <f>=HYPERLINK("https://mp39851918.megaplan.ua/deals/82366/card/","13591")</f>
      </c>
      <c r="B402" s="3" t="inlineStr">
        <is>
          <t>112-7488111-6187450</t>
        </is>
      </c>
      <c r="C402" s="3" t="inlineStr">
        <is>
          <t>RockyMountain</t>
        </is>
      </c>
    </row>
    <row collapsed="false" customFormat="false" customHeight="false" hidden="false" ht="12.1" outlineLevel="0" r="403">
      <c r="A403" s="3" t="s">
        <f>=HYPERLINK("https://mp39851918.megaplan.ua/deals/82390/card/","13592")</f>
      </c>
      <c r="B403" s="3" t="inlineStr">
        <is>
          <t>114-5871570-2142618</t>
        </is>
      </c>
      <c r="C403" s="3" t="inlineStr">
        <is>
          <t>RockyMountain</t>
        </is>
      </c>
    </row>
    <row collapsed="false" customFormat="false" customHeight="false" hidden="false" ht="12.1" outlineLevel="0" r="404">
      <c r="A404" s="3" t="s">
        <f>=HYPERLINK("https://mp39851918.megaplan.ua/deals/82399/card/","13594")</f>
      </c>
      <c r="B404" s="3" t="inlineStr">
        <is>
          <t>111-5595785-1312244</t>
        </is>
      </c>
      <c r="C404" s="3" t="inlineStr">
        <is>
          <t>RockyMountain</t>
        </is>
      </c>
    </row>
    <row collapsed="false" customFormat="false" customHeight="false" hidden="false" ht="12.1" outlineLevel="0" r="405">
      <c r="A405" s="3" t="s">
        <f>=HYPERLINK("https://mp39851918.megaplan.ua/deals/82400/card/","13595")</f>
      </c>
      <c r="B405" s="3" t="inlineStr">
        <is>
          <t>111-2159651-0365805</t>
        </is>
      </c>
      <c r="C405" s="3" t="inlineStr">
        <is>
          <t>RockyMountain</t>
        </is>
      </c>
    </row>
    <row collapsed="false" customFormat="false" customHeight="false" hidden="false" ht="12.1" outlineLevel="0" r="406">
      <c r="A406" s="3" t="s">
        <f>=HYPERLINK("https://mp39851918.megaplan.ua/deals/82415/card/","13596")</f>
      </c>
      <c r="B406" s="3" t="inlineStr">
        <is>
          <t>111-0037809-6237811</t>
        </is>
      </c>
      <c r="C406" s="3" t="inlineStr">
        <is>
          <t>RockyMountain</t>
        </is>
      </c>
    </row>
    <row collapsed="false" customFormat="false" customHeight="false" hidden="false" ht="12.1" outlineLevel="0" r="407">
      <c r="A407" s="3" t="s">
        <f>=HYPERLINK("https://mp39851918.megaplan.ua/deals/82439/card/","13600")</f>
      </c>
      <c r="B407" s="3" t="inlineStr">
        <is>
          <t>111-6663184-9553026</t>
        </is>
      </c>
      <c r="C407" s="3" t="inlineStr">
        <is>
          <t>RockyMountain</t>
        </is>
      </c>
    </row>
    <row collapsed="false" customFormat="false" customHeight="false" hidden="false" ht="12.1" outlineLevel="0" r="408">
      <c r="A408" s="3" t="s">
        <f>=HYPERLINK("https://mp39851918.megaplan.ua/deals/82443/card/","13601")</f>
      </c>
      <c r="B408" s="3" t="inlineStr">
        <is>
          <t>112-5641925-2190635</t>
        </is>
      </c>
      <c r="C408" s="3" t="inlineStr">
        <is>
          <t>RockyMountain</t>
        </is>
      </c>
    </row>
    <row collapsed="false" customFormat="false" customHeight="false" hidden="false" ht="12.1" outlineLevel="0" r="409">
      <c r="A409" s="3" t="s">
        <f>=HYPERLINK("https://mp39851918.megaplan.ua/deals/82453/card/","13603")</f>
      </c>
      <c r="B409" s="3" t="inlineStr">
        <is>
          <t>113-7207080-4998649</t>
        </is>
      </c>
      <c r="C409" s="3" t="inlineStr">
        <is>
          <t>RockyMountain</t>
        </is>
      </c>
    </row>
    <row collapsed="false" customFormat="false" customHeight="false" hidden="false" ht="12.1" outlineLevel="0" r="410">
      <c r="A410" s="3" t="s">
        <f>=HYPERLINK("https://mp39851918.megaplan.ua/deals/82470/card/","13604")</f>
      </c>
      <c r="B410" s="3" t="inlineStr">
        <is>
          <t>112-0220096-1802600</t>
        </is>
      </c>
      <c r="C410" s="3" t="inlineStr">
        <is>
          <t>RockyMountain</t>
        </is>
      </c>
    </row>
    <row collapsed="false" customFormat="false" customHeight="false" hidden="false" ht="12.1" outlineLevel="0" r="411">
      <c r="A411" s="3" t="s">
        <f>=HYPERLINK("https://mp39851918.megaplan.ua/deals/82477/card/","13606")</f>
      </c>
      <c r="B411" s="3" t="inlineStr">
        <is>
          <t>112-5710208-7101816</t>
        </is>
      </c>
      <c r="C411" s="3" t="inlineStr">
        <is>
          <t>RockyMountain</t>
        </is>
      </c>
    </row>
    <row collapsed="false" customFormat="false" customHeight="false" hidden="false" ht="12.1" outlineLevel="0" r="412">
      <c r="A412" s="3" t="s">
        <f>=HYPERLINK("https://mp39851918.megaplan.ua/deals/82484/card/","13607")</f>
      </c>
      <c r="B412" s="3" t="inlineStr">
        <is>
          <t>114-6721233-8737804</t>
        </is>
      </c>
      <c r="C412" s="3" t="inlineStr">
        <is>
          <t>Autodist</t>
        </is>
      </c>
    </row>
    <row collapsed="false" customFormat="false" customHeight="false" hidden="false" ht="12.1" outlineLevel="0" r="413">
      <c r="A413" s="3" t="s">
        <f>=HYPERLINK("https://mp39851918.megaplan.ua/deals/82486/card/","13608")</f>
      </c>
      <c r="B413" s="3" t="inlineStr">
        <is>
          <t>114-7146968-9575465</t>
        </is>
      </c>
      <c r="C413" s="3" t="inlineStr">
        <is>
          <t>RockyMountain</t>
        </is>
      </c>
    </row>
    <row collapsed="false" customFormat="false" customHeight="false" hidden="false" ht="12.1" outlineLevel="0" r="414">
      <c r="A414" s="3" t="s">
        <f>=HYPERLINK("https://mp39851918.megaplan.ua/deals/82490/card/","13609")</f>
      </c>
      <c r="B414" s="3" t="inlineStr">
        <is>
          <t>113-4396403-5349030</t>
        </is>
      </c>
      <c r="C414" s="3" t="inlineStr">
        <is>
          <t>Autodist</t>
        </is>
      </c>
    </row>
    <row collapsed="false" customFormat="false" customHeight="false" hidden="false" ht="12.1" outlineLevel="0" r="415">
      <c r="A415" s="3" t="s">
        <f>=HYPERLINK("https://mp39851918.megaplan.ua/deals/82491/card/","13610")</f>
      </c>
      <c r="B415" s="3" t="inlineStr">
        <is>
          <t>113-6818976-8216261</t>
        </is>
      </c>
      <c r="C415" s="3" t="inlineStr">
        <is>
          <t>RockyMountain</t>
        </is>
      </c>
    </row>
    <row collapsed="false" customFormat="false" customHeight="false" hidden="false" ht="12.1" outlineLevel="0" r="416">
      <c r="A416" s="3" t="s">
        <f>=HYPERLINK("https://mp39851918.megaplan.ua/deals/82492/card/","13611")</f>
      </c>
      <c r="B416" s="3" t="inlineStr">
        <is>
          <t>113-0021002-2177040</t>
        </is>
      </c>
      <c r="C416" s="3" t="inlineStr">
        <is>
          <t>RockyMountain</t>
        </is>
      </c>
    </row>
    <row collapsed="false" customFormat="false" customHeight="false" hidden="false" ht="12.1" outlineLevel="0" r="417">
      <c r="A417" s="3" t="s">
        <f>=HYPERLINK("https://mp39851918.megaplan.ua/deals/82495/card/","13612")</f>
      </c>
      <c r="B417" s="3" t="inlineStr">
        <is>
          <t>113-1374060-4735400</t>
        </is>
      </c>
      <c r="C417" s="3" t="inlineStr">
        <is>
          <t>PartsUnlimited</t>
        </is>
      </c>
    </row>
    <row collapsed="false" customFormat="false" customHeight="false" hidden="false" ht="12.1" outlineLevel="0" r="418">
      <c r="A418" s="3" t="s">
        <f>=HYPERLINK("https://mp39851918.megaplan.ua/deals/82496/card/","13613")</f>
      </c>
      <c r="B418" s="3" t="inlineStr">
        <is>
          <t>113-9547798-9701052</t>
        </is>
      </c>
      <c r="C418" s="3" t="inlineStr">
        <is>
          <t>RockyMountain</t>
        </is>
      </c>
    </row>
    <row collapsed="false" customFormat="false" customHeight="false" hidden="false" ht="12.1" outlineLevel="0" r="419">
      <c r="A419" s="3" t="s">
        <f>=HYPERLINK("https://mp39851918.megaplan.ua/deals/82497/card/","13614")</f>
      </c>
      <c r="B419" s="3" t="inlineStr">
        <is>
          <t>114-0119914-2434600</t>
        </is>
      </c>
      <c r="C419" s="3" t="inlineStr">
        <is>
          <t>RockyMountain</t>
        </is>
      </c>
    </row>
    <row collapsed="false" customFormat="false" customHeight="false" hidden="false" ht="12.1" outlineLevel="0" r="420">
      <c r="A420" s="3" t="s">
        <f>=HYPERLINK("https://mp39851918.megaplan.ua/deals/82506/card/","13615")</f>
      </c>
      <c r="B420" s="3" t="inlineStr">
        <is>
          <t>112-2793649-8757832</t>
        </is>
      </c>
      <c r="C420" s="3" t="inlineStr">
        <is>
          <t>RockyMountain</t>
        </is>
      </c>
    </row>
    <row collapsed="false" customFormat="false" customHeight="false" hidden="false" ht="12.1" outlineLevel="0" r="421">
      <c r="A421" s="3" t="s">
        <f>=HYPERLINK("https://mp39851918.megaplan.ua/deals/82521/card/","13617")</f>
      </c>
      <c r="B421" s="3" t="inlineStr">
        <is>
          <t>114-6757328-9483452</t>
        </is>
      </c>
      <c r="C421" s="3" t="inlineStr">
        <is>
          <t>RockyMountain</t>
        </is>
      </c>
    </row>
    <row collapsed="false" customFormat="false" customHeight="false" hidden="false" ht="12.1" outlineLevel="0" r="422">
      <c r="A422" s="3" t="s">
        <f>=HYPERLINK("https://mp39851918.megaplan.ua/deals/82528/card/","13618")</f>
      </c>
      <c r="B422" s="3" t="inlineStr">
        <is>
          <t>114-8305011-2907456</t>
        </is>
      </c>
      <c r="C422" s="3" t="inlineStr">
        <is>
          <t>Autodist</t>
        </is>
      </c>
    </row>
    <row collapsed="false" customFormat="false" customHeight="false" hidden="false" ht="12.1" outlineLevel="0" r="423">
      <c r="A423" s="3" t="s">
        <f>=HYPERLINK("https://mp39851918.megaplan.ua/deals/82536/card/","13620")</f>
      </c>
      <c r="B423" s="3" t="inlineStr">
        <is>
          <t>113-0395739-6637002</t>
        </is>
      </c>
      <c r="C423" s="3" t="inlineStr">
        <is>
          <t>RockyMountain</t>
        </is>
      </c>
    </row>
    <row collapsed="false" customFormat="false" customHeight="false" hidden="false" ht="12.1" outlineLevel="0" r="424">
      <c r="A424" s="3" t="s">
        <f>=HYPERLINK("https://mp39851918.megaplan.ua/deals/82537/card/","13621")</f>
      </c>
      <c r="B424" s="3" t="inlineStr">
        <is>
          <t>113-6927695-0621006</t>
        </is>
      </c>
      <c r="C424" s="3" t="inlineStr">
        <is>
          <t>Autodist</t>
        </is>
      </c>
    </row>
    <row collapsed="false" customFormat="false" customHeight="false" hidden="false" ht="12.1" outlineLevel="0" r="425">
      <c r="A425" s="3" t="s">
        <f>=HYPERLINK("https://mp39851918.megaplan.ua/deals/82540/card/","13622")</f>
      </c>
      <c r="B425" s="3" t="inlineStr">
        <is>
          <t>113-7375716-5017869</t>
        </is>
      </c>
      <c r="C425" s="3" t="inlineStr">
        <is>
          <t>RockyMountain</t>
        </is>
      </c>
    </row>
    <row collapsed="false" customFormat="false" customHeight="false" hidden="false" ht="12.1" outlineLevel="0" r="426">
      <c r="A426" s="3" t="s">
        <f>=HYPERLINK("https://mp39851918.megaplan.ua/deals/82541/card/","13623")</f>
      </c>
      <c r="B426" s="3" t="inlineStr">
        <is>
          <t>113-4646510-8718669</t>
        </is>
      </c>
      <c r="C426" s="3" t="inlineStr">
        <is>
          <t>RockyMountain</t>
        </is>
      </c>
    </row>
    <row collapsed="false" customFormat="false" customHeight="false" hidden="false" ht="12.1" outlineLevel="0" r="427">
      <c r="A427" s="3" t="s">
        <f>=HYPERLINK("https://mp39851918.megaplan.ua/deals/82549/card/","13624")</f>
      </c>
      <c r="B427" s="3" t="inlineStr">
        <is>
          <t>112-7549585-5806613</t>
        </is>
      </c>
      <c r="C427" s="3" t="inlineStr">
        <is>
          <t>Autodist</t>
        </is>
      </c>
    </row>
    <row collapsed="false" customFormat="false" customHeight="false" hidden="false" ht="12.1" outlineLevel="0" r="428">
      <c r="A428" s="3" t="s">
        <f>=HYPERLINK("https://mp39851918.megaplan.ua/deals/82568/card/","13627")</f>
      </c>
      <c r="B428" s="3" t="inlineStr">
        <is>
          <t>111-8982503-4261045</t>
        </is>
      </c>
      <c r="C428" s="3" t="inlineStr">
        <is>
          <t>Autodist</t>
        </is>
      </c>
    </row>
    <row collapsed="false" customFormat="false" customHeight="false" hidden="false" ht="12.1" outlineLevel="0" r="429">
      <c r="A429" s="3" t="s">
        <f>=HYPERLINK("https://mp39851918.megaplan.ua/deals/82569/card/","13628")</f>
      </c>
      <c r="B429" s="3" t="inlineStr">
        <is>
          <t>114-9543401-4029853</t>
        </is>
      </c>
      <c r="C429" s="3" t="inlineStr">
        <is>
          <t>Autodist</t>
        </is>
      </c>
    </row>
    <row collapsed="false" customFormat="false" customHeight="false" hidden="false" ht="12.1" outlineLevel="0" r="430">
      <c r="A430" s="3" t="s">
        <f>=HYPERLINK("https://mp39851918.megaplan.ua/deals/82579/card/","13630")</f>
      </c>
      <c r="B430" s="3" t="inlineStr">
        <is>
          <t>114-1636915-3321016</t>
        </is>
      </c>
      <c r="C430" s="3" t="inlineStr">
        <is>
          <t>RockyMountain</t>
        </is>
      </c>
    </row>
    <row collapsed="false" customFormat="false" customHeight="false" hidden="false" ht="12.1" outlineLevel="0" r="431">
      <c r="A431" s="3" t="s">
        <f>=HYPERLINK("https://mp39851918.megaplan.ua/deals/82580/card/","13631")</f>
      </c>
      <c r="B431" s="3" t="inlineStr">
        <is>
          <t>112-2565801-6933041</t>
        </is>
      </c>
      <c r="C431" s="3" t="inlineStr">
        <is>
          <t>PartsUnlimited</t>
        </is>
      </c>
    </row>
    <row collapsed="false" customFormat="false" customHeight="false" hidden="false" ht="12.1" outlineLevel="0" r="432">
      <c r="A432" s="3" t="s">
        <f>=HYPERLINK("https://mp39851918.megaplan.ua/deals/82604/card/","13634")</f>
      </c>
      <c r="B432" s="3" t="inlineStr">
        <is>
          <t>113-4591976-7429838</t>
        </is>
      </c>
      <c r="C432" s="3" t="inlineStr">
        <is>
          <t>RockyMountain</t>
        </is>
      </c>
    </row>
    <row collapsed="false" customFormat="false" customHeight="false" hidden="false" ht="12.1" outlineLevel="0" r="433">
      <c r="A433" s="3" t="s">
        <f>=HYPERLINK("https://mp39851918.megaplan.ua/deals/82656/card/","13639")</f>
      </c>
      <c r="B433" s="3" t="inlineStr">
        <is>
          <t>112-8447984-6979416</t>
        </is>
      </c>
      <c r="C433" s="3" t="inlineStr">
        <is>
          <t>RockyMountain</t>
        </is>
      </c>
    </row>
    <row collapsed="false" customFormat="false" customHeight="false" hidden="false" ht="12.1" outlineLevel="0" r="434">
      <c r="A434" s="3" t="s">
        <f>=HYPERLINK("https://mp39851918.megaplan.ua/deals/82672/card/","13641")</f>
      </c>
      <c r="B434" s="3" t="inlineStr">
        <is>
          <t>111-7711608-5792218</t>
        </is>
      </c>
      <c r="C434" s="3" t="inlineStr">
        <is>
          <t>Autodist</t>
        </is>
      </c>
    </row>
    <row collapsed="false" customFormat="false" customHeight="false" hidden="false" ht="12.1" outlineLevel="0" r="435">
      <c r="A435" s="3" t="s">
        <f>=HYPERLINK("https://mp39851918.megaplan.ua/deals/82687/card/","13646")</f>
      </c>
      <c r="B435" s="3" t="inlineStr">
        <is>
          <t>112-6877254-1157849</t>
        </is>
      </c>
      <c r="C435" s="3" t="inlineStr">
        <is>
          <t>RockyMountain</t>
        </is>
      </c>
    </row>
    <row collapsed="false" customFormat="false" customHeight="false" hidden="false" ht="12.1" outlineLevel="0" r="436">
      <c r="A436" s="3" t="s">
        <f>=HYPERLINK("https://mp39851918.megaplan.ua/deals/82688/card/","13647")</f>
      </c>
      <c r="B436" s="3" t="inlineStr">
        <is>
          <t>112-6710910-0993865</t>
        </is>
      </c>
      <c r="C436" s="3" t="inlineStr">
        <is>
          <t>RockyMountain</t>
        </is>
      </c>
    </row>
    <row collapsed="false" customFormat="false" customHeight="false" hidden="false" ht="12.1" outlineLevel="0" r="437">
      <c r="A437" s="3" t="s">
        <f>=HYPERLINK("https://mp39851918.megaplan.ua/deals/82690/card/","13648")</f>
      </c>
      <c r="B437" s="3" t="inlineStr">
        <is>
          <t>111-2471680-3365025</t>
        </is>
      </c>
      <c r="C437" s="3" t="inlineStr">
        <is>
          <t>RockyMountain</t>
        </is>
      </c>
    </row>
    <row collapsed="false" customFormat="false" customHeight="false" hidden="false" ht="12.1" outlineLevel="0" r="438">
      <c r="A438" s="3" t="s">
        <f>=HYPERLINK("https://mp39851918.megaplan.ua/deals/82692/card/","13649")</f>
      </c>
      <c r="B438" s="3" t="inlineStr">
        <is>
          <t>114-5637706-6113007</t>
        </is>
      </c>
      <c r="C438" s="3" t="inlineStr">
        <is>
          <t>RockyMountain</t>
        </is>
      </c>
    </row>
    <row collapsed="false" customFormat="false" customHeight="false" hidden="false" ht="12.1" outlineLevel="0" r="439">
      <c r="A439" s="3" t="s">
        <f>=HYPERLINK("https://mp39851918.megaplan.ua/deals/82693/card/","13650")</f>
      </c>
      <c r="B439" s="3" t="inlineStr">
        <is>
          <t>114-3208843-9949007</t>
        </is>
      </c>
      <c r="C439" s="3" t="inlineStr">
        <is>
          <t>RockyMountain</t>
        </is>
      </c>
    </row>
    <row collapsed="false" customFormat="false" customHeight="false" hidden="false" ht="12.1" outlineLevel="0" r="440">
      <c r="A440" s="3" t="s">
        <f>=HYPERLINK("https://mp39851918.megaplan.ua/deals/82703/card/","13651")</f>
      </c>
      <c r="B440" s="3" t="inlineStr">
        <is>
          <t>111-7420463-1309025</t>
        </is>
      </c>
      <c r="C440" s="3" t="inlineStr">
        <is>
          <t>RockyMountain</t>
        </is>
      </c>
    </row>
    <row collapsed="false" customFormat="false" customHeight="false" hidden="false" ht="12.1" outlineLevel="0" r="441">
      <c r="A441" s="3" t="s">
        <f>=HYPERLINK("https://mp39851918.megaplan.ua/deals/82710/card/","13652")</f>
      </c>
      <c r="B441" s="3" t="inlineStr">
        <is>
          <t>114-7308139-3719454</t>
        </is>
      </c>
      <c r="C441" s="3" t="inlineStr">
        <is>
          <t>RockyMountain</t>
        </is>
      </c>
    </row>
    <row collapsed="false" customFormat="false" customHeight="false" hidden="false" ht="12.1" outlineLevel="0" r="442">
      <c r="A442" s="3" t="s">
        <f>=HYPERLINK("https://mp39851918.megaplan.ua/deals/82711/card/","13653")</f>
      </c>
      <c r="B442" s="3" t="inlineStr">
        <is>
          <t>112-5002864-0514607</t>
        </is>
      </c>
      <c r="C442" s="3" t="inlineStr">
        <is>
          <t>RockyMountain</t>
        </is>
      </c>
    </row>
    <row collapsed="false" customFormat="false" customHeight="false" hidden="false" ht="12.1" outlineLevel="0" r="443">
      <c r="A443" s="3" t="s">
        <f>=HYPERLINK("https://mp39851918.megaplan.ua/deals/82712/card/","13654")</f>
      </c>
      <c r="B443" s="3" t="inlineStr">
        <is>
          <t>113-6782908-4374655</t>
        </is>
      </c>
      <c r="C443" s="3" t="inlineStr">
        <is>
          <t>PartsUnlimited</t>
        </is>
      </c>
    </row>
    <row collapsed="false" customFormat="false" customHeight="false" hidden="false" ht="12.1" outlineLevel="0" r="444">
      <c r="A444" s="3" t="s">
        <f>=HYPERLINK("https://mp39851918.megaplan.ua/deals/82714/card/","13655")</f>
      </c>
      <c r="B444" s="3" t="inlineStr">
        <is>
          <t>112-4376635-2530650</t>
        </is>
      </c>
      <c r="C444" s="3" t="inlineStr">
        <is>
          <t>PartsUnlimited</t>
        </is>
      </c>
    </row>
    <row collapsed="false" customFormat="false" customHeight="false" hidden="false" ht="12.1" outlineLevel="0" r="445">
      <c r="A445" s="3" t="s">
        <f>=HYPERLINK("https://mp39851918.megaplan.ua/deals/82733/card/","13657")</f>
      </c>
      <c r="B445" s="3" t="inlineStr">
        <is>
          <t>113-5881413-8119466</t>
        </is>
      </c>
      <c r="C445" s="3" t="inlineStr">
        <is>
          <t>Autodist</t>
        </is>
      </c>
    </row>
    <row collapsed="false" customFormat="false" customHeight="false" hidden="false" ht="12.1" outlineLevel="0" r="446">
      <c r="A446" s="3" t="s">
        <f>=HYPERLINK("https://mp39851918.megaplan.ua/deals/82742/card/","13658")</f>
      </c>
      <c r="B446" s="3" t="inlineStr">
        <is>
          <t>114-6732146-1795410</t>
        </is>
      </c>
      <c r="C446" s="3" t="inlineStr">
        <is>
          <t>PartsUnlimited</t>
        </is>
      </c>
    </row>
    <row collapsed="false" customFormat="false" customHeight="false" hidden="false" ht="12.1" outlineLevel="0" r="447">
      <c r="A447" s="3" t="s">
        <f>=HYPERLINK("https://mp39851918.megaplan.ua/deals/82754/card/","13659")</f>
      </c>
      <c r="B447" s="3" t="inlineStr">
        <is>
          <t>113-2943428-1533068</t>
        </is>
      </c>
      <c r="C447" s="3" t="inlineStr">
        <is>
          <t>PartsUnlimited</t>
        </is>
      </c>
    </row>
    <row collapsed="false" customFormat="false" customHeight="false" hidden="false" ht="12.1" outlineLevel="0" r="448">
      <c r="A448" s="3" t="s">
        <f>=HYPERLINK("https://mp39851918.megaplan.ua/deals/82755/card/","13660")</f>
      </c>
      <c r="B448" s="3" t="inlineStr">
        <is>
          <t>113-4941614-0631437</t>
        </is>
      </c>
      <c r="C448" s="3" t="inlineStr">
        <is>
          <t>RockyMountain</t>
        </is>
      </c>
    </row>
    <row collapsed="false" customFormat="false" customHeight="false" hidden="false" ht="12.1" outlineLevel="0" r="449">
      <c r="A449" s="3" t="s">
        <f>=HYPERLINK("https://mp39851918.megaplan.ua/deals/82756/card/","13661")</f>
      </c>
      <c r="B449" s="3" t="inlineStr">
        <is>
          <t>111-9616537-1785862</t>
        </is>
      </c>
      <c r="C449" s="3" t="inlineStr">
        <is>
          <t>RockyMountain</t>
        </is>
      </c>
    </row>
    <row collapsed="false" customFormat="false" customHeight="false" hidden="false" ht="12.1" outlineLevel="0" r="450">
      <c r="A450" s="3" t="s">
        <f>=HYPERLINK("https://mp39851918.megaplan.ua/deals/82757/card/","13662")</f>
      </c>
      <c r="B450" s="3" t="inlineStr">
        <is>
          <t>113-3312405-9975408</t>
        </is>
      </c>
      <c r="C450" s="3" t="inlineStr">
        <is>
          <t>RockyMountain</t>
        </is>
      </c>
    </row>
    <row collapsed="false" customFormat="false" customHeight="false" hidden="false" ht="12.1" outlineLevel="0" r="451">
      <c r="A451" s="3" t="s">
        <f>=HYPERLINK("https://mp39851918.megaplan.ua/deals/82763/card/","13663")</f>
      </c>
      <c r="B451" s="3" t="inlineStr">
        <is>
          <t>114-1345902-2865034</t>
        </is>
      </c>
      <c r="C451" s="3" t="inlineStr">
        <is>
          <t>PartsUnlimited</t>
        </is>
      </c>
    </row>
    <row collapsed="false" customFormat="false" customHeight="false" hidden="false" ht="12.1" outlineLevel="0" r="452">
      <c r="A452" s="3" t="s">
        <f>=HYPERLINK("https://mp39851918.megaplan.ua/deals/82780/card/","13664")</f>
      </c>
      <c r="B452" s="3" t="inlineStr">
        <is>
          <t>112-3181827-5322635</t>
        </is>
      </c>
      <c r="C452" s="3" t="inlineStr">
        <is>
          <t>RockyMountain</t>
        </is>
      </c>
    </row>
    <row collapsed="false" customFormat="false" customHeight="false" hidden="false" ht="12.1" outlineLevel="0" r="453">
      <c r="A453" s="3" t="s">
        <f>=HYPERLINK("https://mp39851918.megaplan.ua/deals/82812/card/","13669")</f>
      </c>
      <c r="B453" s="3" t="inlineStr">
        <is>
          <t>111-3938981-9311466</t>
        </is>
      </c>
      <c r="C453" s="3" t="inlineStr">
        <is>
          <t>RockyMountain</t>
        </is>
      </c>
    </row>
    <row collapsed="false" customFormat="false" customHeight="false" hidden="false" ht="12.1" outlineLevel="0" r="454">
      <c r="A454" s="3" t="s">
        <f>=HYPERLINK("https://mp39851918.megaplan.ua/deals/82817/card/","13670")</f>
      </c>
      <c r="B454" s="3" t="inlineStr">
        <is>
          <t>111-8603920-3037060</t>
        </is>
      </c>
      <c r="C454" s="3" t="inlineStr">
        <is>
          <t>RockyMountain</t>
        </is>
      </c>
    </row>
    <row collapsed="false" customFormat="false" customHeight="false" hidden="false" ht="12.1" outlineLevel="0" r="455">
      <c r="A455" s="3" t="s">
        <f>=HYPERLINK("https://mp39851918.megaplan.ua/deals/82818/card/","13671")</f>
      </c>
      <c r="B455" s="3" t="inlineStr">
        <is>
          <t>111-0869291-1355449</t>
        </is>
      </c>
      <c r="C455" s="3" t="inlineStr">
        <is>
          <t>RockyMountain</t>
        </is>
      </c>
    </row>
    <row collapsed="false" customFormat="false" customHeight="false" hidden="false" ht="12.1" outlineLevel="0" r="456">
      <c r="A456" s="3" t="s">
        <f>=HYPERLINK("https://mp39851918.megaplan.ua/deals/82820/card/","13672")</f>
      </c>
      <c r="B456" s="3" t="inlineStr">
        <is>
          <t>111-5867883-4185858</t>
        </is>
      </c>
      <c r="C456" s="3" t="inlineStr">
        <is>
          <t>RockyMountain</t>
        </is>
      </c>
    </row>
    <row collapsed="false" customFormat="false" customHeight="false" hidden="false" ht="12.1" outlineLevel="0" r="457">
      <c r="A457" s="3" t="s">
        <f>=HYPERLINK("https://mp39851918.megaplan.ua/deals/82821/card/","13673")</f>
      </c>
      <c r="B457" s="3" t="inlineStr">
        <is>
          <t>112-7911076-5207442</t>
        </is>
      </c>
      <c r="C457" s="3" t="inlineStr">
        <is>
          <t>RockyMountain</t>
        </is>
      </c>
    </row>
    <row collapsed="false" customFormat="false" customHeight="false" hidden="false" ht="12.1" outlineLevel="0" r="458">
      <c r="A458" s="3" t="s">
        <f>=HYPERLINK("https://mp39851918.megaplan.ua/deals/82840/card/","13674")</f>
      </c>
      <c r="B458" s="3" t="inlineStr">
        <is>
          <t>114-1222602-3957050</t>
        </is>
      </c>
      <c r="C458" s="3" t="inlineStr">
        <is>
          <t>PartsUnlimited</t>
        </is>
      </c>
    </row>
    <row collapsed="false" customFormat="false" customHeight="false" hidden="false" ht="12.1" outlineLevel="0" r="459">
      <c r="A459" s="3" t="s">
        <f>=HYPERLINK("https://mp39851918.megaplan.ua/deals/82855/card/","13677")</f>
      </c>
      <c r="B459" s="3" t="inlineStr">
        <is>
          <t>111-7973743-6997011</t>
        </is>
      </c>
      <c r="C459" s="3" t="inlineStr">
        <is>
          <t>RockyMountain</t>
        </is>
      </c>
    </row>
    <row collapsed="false" customFormat="false" customHeight="false" hidden="false" ht="12.1" outlineLevel="0" r="460">
      <c r="A460" s="3" t="s">
        <f>=HYPERLINK("https://mp39851918.megaplan.ua/deals/82869/card/","13680")</f>
      </c>
      <c r="B460" s="3" t="inlineStr">
        <is>
          <t>114-3630682-9069051</t>
        </is>
      </c>
      <c r="C460" s="3" t="inlineStr">
        <is>
          <t>RockyMountain</t>
        </is>
      </c>
    </row>
    <row collapsed="false" customFormat="false" customHeight="false" hidden="false" ht="12.1" outlineLevel="0" r="461">
      <c r="A461" s="3" t="s">
        <f>=HYPERLINK("https://mp39851918.megaplan.ua/deals/82876/card/","13682")</f>
      </c>
      <c r="B461" s="3" t="inlineStr">
        <is>
          <t>113-4734208-5368252</t>
        </is>
      </c>
      <c r="C461" s="3" t="inlineStr">
        <is>
          <t>RockyMountain</t>
        </is>
      </c>
    </row>
    <row collapsed="false" customFormat="false" customHeight="false" hidden="false" ht="12.1" outlineLevel="0" r="462">
      <c r="A462" s="3" t="s">
        <f>=HYPERLINK("https://mp39851918.megaplan.ua/deals/82878/card/","13683")</f>
      </c>
      <c r="B462" s="3" t="inlineStr">
        <is>
          <t>113-3476790-3982655</t>
        </is>
      </c>
      <c r="C462" s="3" t="inlineStr">
        <is>
          <t>RockyMountain</t>
        </is>
      </c>
    </row>
    <row collapsed="false" customFormat="false" customHeight="false" hidden="false" ht="12.1" outlineLevel="0" r="463">
      <c r="A463" s="3" t="s">
        <f>=HYPERLINK("https://mp39851918.megaplan.ua/deals/82891/card/","13686")</f>
      </c>
      <c r="B463" s="3" t="inlineStr">
        <is>
          <t>113-1748002-6167446</t>
        </is>
      </c>
      <c r="C463" s="3" t="inlineStr">
        <is>
          <t>RockyMountain</t>
        </is>
      </c>
    </row>
    <row collapsed="false" customFormat="false" customHeight="false" hidden="false" ht="12.1" outlineLevel="0" r="464">
      <c r="A464" s="3" t="s">
        <f>=HYPERLINK("https://mp39851918.megaplan.ua/deals/82893/card/","13687")</f>
      </c>
      <c r="B464" s="3" t="inlineStr">
        <is>
          <t>113-6742581-0113041</t>
        </is>
      </c>
      <c r="C464" s="3" t="inlineStr">
        <is>
          <t>RockyMountain</t>
        </is>
      </c>
    </row>
    <row collapsed="false" customFormat="false" customHeight="false" hidden="false" ht="12.1" outlineLevel="0" r="465">
      <c r="A465" s="3" t="s">
        <f>=HYPERLINK("https://mp39851918.megaplan.ua/deals/82905/card/","13689")</f>
      </c>
      <c r="B465" s="3" t="inlineStr">
        <is>
          <t>111-8664733-2223458</t>
        </is>
      </c>
      <c r="C465" s="3" t="inlineStr">
        <is>
          <t>Autodist</t>
        </is>
      </c>
    </row>
    <row collapsed="false" customFormat="false" customHeight="false" hidden="false" ht="12.1" outlineLevel="0" r="466">
      <c r="A466" s="3" t="s">
        <f>=HYPERLINK("https://mp39851918.megaplan.ua/deals/82927/card/","13691")</f>
      </c>
      <c r="B466" s="3" t="inlineStr">
        <is>
          <t>112-9679163-4899468</t>
        </is>
      </c>
      <c r="C466" s="3" t="inlineStr">
        <is>
          <t>Autodist</t>
        </is>
      </c>
    </row>
    <row collapsed="false" customFormat="false" customHeight="false" hidden="false" ht="12.1" outlineLevel="0" r="467">
      <c r="A467" s="3" t="s">
        <f>=HYPERLINK("https://mp39851918.megaplan.ua/deals/82929/card/","13692")</f>
      </c>
      <c r="B467" s="3" t="inlineStr">
        <is>
          <t>113-5618892-3065839</t>
        </is>
      </c>
      <c r="C467" s="3" t="inlineStr">
        <is>
          <t>RockyMountain</t>
        </is>
      </c>
    </row>
    <row collapsed="false" customFormat="false" customHeight="false" hidden="false" ht="12.1" outlineLevel="0" r="468">
      <c r="A468" s="3" t="s">
        <f>=HYPERLINK("https://mp39851918.megaplan.ua/deals/82930/card/","13693")</f>
      </c>
      <c r="B468" s="3" t="inlineStr">
        <is>
          <t>112-8778895-2945043</t>
        </is>
      </c>
      <c r="C468" s="3" t="inlineStr">
        <is>
          <t>RockyMountain</t>
        </is>
      </c>
    </row>
    <row collapsed="false" customFormat="false" customHeight="false" hidden="false" ht="12.1" outlineLevel="0" r="469">
      <c r="A469" s="3" t="s">
        <f>=HYPERLINK("https://mp39851918.megaplan.ua/deals/82931/card/","13694")</f>
      </c>
      <c r="B469" s="3" t="inlineStr">
        <is>
          <t>112-3721019-2444218</t>
        </is>
      </c>
      <c r="C469" s="3" t="inlineStr">
        <is>
          <t>RockyMountain</t>
        </is>
      </c>
    </row>
    <row collapsed="false" customFormat="false" customHeight="false" hidden="false" ht="12.1" outlineLevel="0" r="470">
      <c r="A470" s="3" t="s">
        <f>=HYPERLINK("https://mp39851918.megaplan.ua/deals/82947/card/","13697")</f>
      </c>
      <c r="B470" s="3" t="inlineStr">
        <is>
          <t>111-0069727-1054648</t>
        </is>
      </c>
      <c r="C470" s="3" t="inlineStr">
        <is>
          <t>Autodist</t>
        </is>
      </c>
    </row>
    <row collapsed="false" customFormat="false" customHeight="false" hidden="false" ht="12.1" outlineLevel="0" r="471">
      <c r="A471" s="3" t="s">
        <f>=HYPERLINK("https://mp39851918.megaplan.ua/deals/82956/card/","13699")</f>
      </c>
      <c r="B471" s="3" t="inlineStr">
        <is>
          <t>111-4106334-6346605</t>
        </is>
      </c>
      <c r="C471" s="3" t="inlineStr">
        <is>
          <t>RockyMountain</t>
        </is>
      </c>
    </row>
    <row collapsed="false" customFormat="false" customHeight="false" hidden="false" ht="12.1" outlineLevel="0" r="472">
      <c r="A472" s="3" t="s">
        <f>=HYPERLINK("https://mp39851918.megaplan.ua/deals/83069/card/","13711")</f>
      </c>
      <c r="B472" s="3" t="inlineStr">
        <is>
          <t>111-9679997-1781010</t>
        </is>
      </c>
      <c r="C472" s="3" t="inlineStr">
        <is>
          <t>Autodist</t>
        </is>
      </c>
    </row>
    <row collapsed="false" customFormat="false" customHeight="false" hidden="false" ht="12.1" outlineLevel="0" r="473">
      <c r="A473" s="3" t="s">
        <f>=HYPERLINK("https://mp39851918.megaplan.ua/deals/83072/card/","13712")</f>
      </c>
      <c r="B473" s="3" t="inlineStr">
        <is>
          <t>114-4681703-2466654</t>
        </is>
      </c>
      <c r="C473" s="3" t="inlineStr">
        <is>
          <t>RockyMountain</t>
        </is>
      </c>
    </row>
    <row collapsed="false" customFormat="false" customHeight="false" hidden="false" ht="12.1" outlineLevel="0" r="474">
      <c r="A474" s="3" t="s">
        <f>=HYPERLINK("https://mp39851918.megaplan.ua/deals/83089/card/","13713")</f>
      </c>
      <c r="B474" s="3" t="inlineStr">
        <is>
          <t>114-6419371-8822613</t>
        </is>
      </c>
      <c r="C474" s="3" t="inlineStr">
        <is>
          <t>Autodist</t>
        </is>
      </c>
    </row>
    <row collapsed="false" customFormat="false" customHeight="false" hidden="false" ht="12.1" outlineLevel="0" r="475">
      <c r="A475" s="3" t="s">
        <f>=HYPERLINK("https://mp39851918.megaplan.ua/deals/83090/card/","13714")</f>
      </c>
      <c r="B475" s="3" t="inlineStr">
        <is>
          <t>112-2806221-2149031</t>
        </is>
      </c>
      <c r="C475" s="3" t="inlineStr">
        <is>
          <t>RockyMountain</t>
        </is>
      </c>
    </row>
    <row collapsed="false" customFormat="false" customHeight="false" hidden="false" ht="12.1" outlineLevel="0" r="476">
      <c r="A476" s="3" t="s">
        <f>=HYPERLINK("https://mp39851918.megaplan.ua/deals/83113/card/","13716")</f>
      </c>
      <c r="B476" s="3" t="inlineStr">
        <is>
          <t>112-7842824-7758655</t>
        </is>
      </c>
      <c r="C476" s="3" t="inlineStr">
        <is>
          <t>Autodist</t>
        </is>
      </c>
    </row>
    <row collapsed="false" customFormat="false" customHeight="false" hidden="false" ht="12.1" outlineLevel="0" r="477">
      <c r="A477" s="3" t="s">
        <f>=HYPERLINK("https://mp39851918.megaplan.ua/deals/83114/card/","13717")</f>
      </c>
      <c r="B477" s="3" t="inlineStr">
        <is>
          <t>111-9636000-5890658</t>
        </is>
      </c>
      <c r="C477" s="3" t="inlineStr">
        <is>
          <t>RockyMountain</t>
        </is>
      </c>
    </row>
    <row collapsed="false" customFormat="false" customHeight="false" hidden="false" ht="12.1" outlineLevel="0" r="478">
      <c r="A478" s="3" t="s">
        <f>=HYPERLINK("https://mp39851918.megaplan.ua/deals/83129/card/","13718")</f>
      </c>
      <c r="B478" s="3" t="inlineStr">
        <is>
          <t>113-1215825-8255437</t>
        </is>
      </c>
      <c r="C478" s="3" t="inlineStr">
        <is>
          <t>Autodist</t>
        </is>
      </c>
    </row>
    <row collapsed="false" customFormat="false" customHeight="false" hidden="false" ht="12.1" outlineLevel="0" r="479">
      <c r="A479" s="3" t="s">
        <f>=HYPERLINK("https://mp39851918.megaplan.ua/deals/83136/card/","13721")</f>
      </c>
      <c r="B479" s="3" t="inlineStr">
        <is>
          <t>114-0037418-7925067</t>
        </is>
      </c>
      <c r="C479" s="3" t="inlineStr">
        <is>
          <t>RockyMountain</t>
        </is>
      </c>
    </row>
    <row collapsed="false" customFormat="false" customHeight="false" hidden="false" ht="12.1" outlineLevel="0" r="480">
      <c r="A480" s="3" t="s">
        <f>=HYPERLINK("https://mp39851918.megaplan.ua/deals/83137/card/","13722")</f>
      </c>
      <c r="B480" s="3" t="inlineStr">
        <is>
          <t>114-2268965-9785013</t>
        </is>
      </c>
      <c r="C480" s="3" t="inlineStr">
        <is>
          <t>RockyMountain</t>
        </is>
      </c>
    </row>
    <row collapsed="false" customFormat="false" customHeight="false" hidden="false" ht="12.1" outlineLevel="0" r="481">
      <c r="A481" s="3" t="s">
        <f>=HYPERLINK("https://mp39851918.megaplan.ua/deals/83145/card/","13723")</f>
      </c>
      <c r="B481" s="3" t="inlineStr">
        <is>
          <t>114-3317691-0280200</t>
        </is>
      </c>
      <c r="C481" s="3" t="inlineStr">
        <is>
          <t>RockyMountain</t>
        </is>
      </c>
    </row>
    <row collapsed="false" customFormat="false" customHeight="false" hidden="false" ht="12.1" outlineLevel="0" r="482">
      <c r="A482" s="3" t="s">
        <f>=HYPERLINK("https://mp39851918.megaplan.ua/deals/83157/card/","13724")</f>
      </c>
      <c r="B482" s="3" t="inlineStr">
        <is>
          <t>111-0246321-7117013</t>
        </is>
      </c>
      <c r="C482" s="3" t="inlineStr">
        <is>
          <t>RockyMountain</t>
        </is>
      </c>
    </row>
    <row collapsed="false" customFormat="false" customHeight="false" hidden="false" ht="12.1" outlineLevel="0" r="483">
      <c r="A483" s="3" t="s">
        <f>=HYPERLINK("https://mp39851918.megaplan.ua/deals/83174/card/","13727")</f>
      </c>
      <c r="B483" s="3" t="inlineStr">
        <is>
          <t>111-3624857-3230654</t>
        </is>
      </c>
      <c r="C483" s="3" t="inlineStr">
        <is>
          <t>PartsUnlimited</t>
        </is>
      </c>
    </row>
    <row collapsed="false" customFormat="false" customHeight="false" hidden="false" ht="12.1" outlineLevel="0" r="484">
      <c r="A484" s="3" t="s">
        <f>=HYPERLINK("https://mp39851918.megaplan.ua/deals/83179/card/","13728")</f>
      </c>
      <c r="B484" s="3" t="inlineStr">
        <is>
          <t>111-3244430-4472233</t>
        </is>
      </c>
      <c r="C484" s="3" t="inlineStr">
        <is>
          <t>PartsUnlimited</t>
        </is>
      </c>
    </row>
    <row collapsed="false" customFormat="false" customHeight="false" hidden="false" ht="12.1" outlineLevel="0" r="485">
      <c r="A485" s="3" t="s">
        <f>=HYPERLINK("https://mp39851918.megaplan.ua/deals/83186/card/","13729")</f>
      </c>
      <c r="B485" s="3" t="inlineStr">
        <is>
          <t>112-3792250-0418618</t>
        </is>
      </c>
      <c r="C485" s="3" t="inlineStr">
        <is>
          <t>Autodist</t>
        </is>
      </c>
    </row>
    <row collapsed="false" customFormat="false" customHeight="false" hidden="false" ht="12.1" outlineLevel="0" r="486">
      <c r="A486" s="3" t="s">
        <f>=HYPERLINK("https://mp39851918.megaplan.ua/deals/83204/card/","13731")</f>
      </c>
      <c r="B486" s="3" t="inlineStr">
        <is>
          <t>111-4459471-0185009</t>
        </is>
      </c>
      <c r="C486" s="3" t="inlineStr">
        <is>
          <t>RockyMountain</t>
        </is>
      </c>
    </row>
    <row collapsed="false" customFormat="false" customHeight="false" hidden="false" ht="12.1" outlineLevel="0" r="487">
      <c r="A487" s="3" t="s">
        <f>=HYPERLINK("https://mp39851918.megaplan.ua/deals/83208/card/","13732")</f>
      </c>
      <c r="B487" s="3" t="inlineStr">
        <is>
          <t>111-7520849-4399446</t>
        </is>
      </c>
      <c r="C487" s="3" t="inlineStr">
        <is>
          <t>RockyMountain</t>
        </is>
      </c>
    </row>
    <row collapsed="false" customFormat="false" customHeight="false" hidden="false" ht="12.1" outlineLevel="0" r="488">
      <c r="A488" s="3" t="s">
        <f>=HYPERLINK("https://mp39851918.megaplan.ua/deals/83209/card/","13733")</f>
      </c>
      <c r="B488" s="3" t="inlineStr">
        <is>
          <t>112-1041481-5013861</t>
        </is>
      </c>
      <c r="C488" s="3" t="inlineStr">
        <is>
          <t>Autodist</t>
        </is>
      </c>
    </row>
    <row collapsed="false" customFormat="false" customHeight="false" hidden="false" ht="12.1" outlineLevel="0" r="489">
      <c r="A489" s="3" t="s">
        <f>=HYPERLINK("https://mp39851918.megaplan.ua/deals/83213/card/","13735")</f>
      </c>
      <c r="B489" s="3" t="inlineStr">
        <is>
          <t>114-1916196-5624257</t>
        </is>
      </c>
      <c r="C489" s="3" t="inlineStr">
        <is>
          <t>RockyMountain</t>
        </is>
      </c>
    </row>
    <row collapsed="false" customFormat="false" customHeight="false" hidden="false" ht="12.1" outlineLevel="0" r="490">
      <c r="A490" s="3" t="s">
        <f>=HYPERLINK("https://mp39851918.megaplan.ua/deals/83214/card/","13736")</f>
      </c>
      <c r="B490" s="3" t="inlineStr">
        <is>
          <t>111-2060274-4821047</t>
        </is>
      </c>
      <c r="C490" s="3" t="inlineStr">
        <is>
          <t>RockyMountain</t>
        </is>
      </c>
    </row>
    <row collapsed="false" customFormat="false" customHeight="false" hidden="false" ht="12.1" outlineLevel="0" r="491">
      <c r="A491" s="3" t="s">
        <f>=HYPERLINK("https://mp39851918.megaplan.ua/deals/83215/card/","13737")</f>
      </c>
      <c r="B491" s="3" t="inlineStr">
        <is>
          <t>112-5627234-5877807</t>
        </is>
      </c>
      <c r="C491" s="3" t="inlineStr">
        <is>
          <t>RockyMountain</t>
        </is>
      </c>
    </row>
    <row collapsed="false" customFormat="false" customHeight="false" hidden="false" ht="12.1" outlineLevel="0" r="492">
      <c r="A492" s="3" t="s">
        <f>=HYPERLINK("https://mp39851918.megaplan.ua/deals/83218/card/","13738")</f>
      </c>
      <c r="B492" s="3" t="inlineStr">
        <is>
          <t>113-6470738-2359423</t>
        </is>
      </c>
      <c r="C492" s="3" t="inlineStr">
        <is>
          <t>RockyMountain</t>
        </is>
      </c>
    </row>
    <row collapsed="false" customFormat="false" customHeight="false" hidden="false" ht="12.1" outlineLevel="0" r="493">
      <c r="A493" s="3" t="s">
        <f>=HYPERLINK("https://mp39851918.megaplan.ua/deals/83219/card/","13739")</f>
      </c>
      <c r="B493" s="3" t="inlineStr">
        <is>
          <t>114-1240473-9705057</t>
        </is>
      </c>
      <c r="C493" s="3" t="inlineStr">
        <is>
          <t>PartsUnlimited</t>
        </is>
      </c>
    </row>
    <row collapsed="false" customFormat="false" customHeight="false" hidden="false" ht="12.1" outlineLevel="0" r="494">
      <c r="A494" s="3" t="s">
        <f>=HYPERLINK("https://mp39851918.megaplan.ua/deals/83231/card/","13742")</f>
      </c>
      <c r="B494" s="3" t="inlineStr">
        <is>
          <t>112-1690431-1488234</t>
        </is>
      </c>
      <c r="C494" s="3" t="inlineStr">
        <is>
          <t>RockyMountain</t>
        </is>
      </c>
    </row>
    <row collapsed="false" customFormat="false" customHeight="false" hidden="false" ht="12.1" outlineLevel="0" r="495">
      <c r="A495" s="3" t="s">
        <f>=HYPERLINK("https://mp39851918.megaplan.ua/deals/83232/card/","13743")</f>
      </c>
      <c r="B495" s="3" t="inlineStr">
        <is>
          <t>112-8935656-9030600</t>
        </is>
      </c>
      <c r="C495" s="3" t="inlineStr">
        <is>
          <t>Autodist</t>
        </is>
      </c>
    </row>
    <row collapsed="false" customFormat="false" customHeight="false" hidden="false" ht="12.1" outlineLevel="0" r="496">
      <c r="A496" s="3" t="s">
        <f>=HYPERLINK("https://mp39851918.megaplan.ua/deals/83234/card/","13744")</f>
      </c>
      <c r="B496" s="3" t="inlineStr">
        <is>
          <t>113-5301842-1605813</t>
        </is>
      </c>
      <c r="C496" s="3" t="inlineStr">
        <is>
          <t>PartsUnlimited</t>
        </is>
      </c>
    </row>
    <row collapsed="false" customFormat="false" customHeight="false" hidden="false" ht="12.1" outlineLevel="0" r="497">
      <c r="A497" s="3" t="s">
        <f>=HYPERLINK("https://mp39851918.megaplan.ua/deals/83238/card/","13745")</f>
      </c>
      <c r="B497" s="3" t="inlineStr">
        <is>
          <t>114-4308433-0526613</t>
        </is>
      </c>
      <c r="C497" s="3" t="inlineStr">
        <is>
          <t>RockyMountain</t>
        </is>
      </c>
    </row>
    <row collapsed="false" customFormat="false" customHeight="false" hidden="false" ht="12.1" outlineLevel="0" r="498">
      <c r="A498" s="3" t="s">
        <f>=HYPERLINK("https://mp39851918.megaplan.ua/deals/83254/card/","13747")</f>
      </c>
      <c r="B498" s="3" t="inlineStr">
        <is>
          <t>113-8541466-5977826</t>
        </is>
      </c>
      <c r="C498" s="3" t="inlineStr">
        <is>
          <t>Autodist</t>
        </is>
      </c>
    </row>
    <row collapsed="false" customFormat="false" customHeight="false" hidden="false" ht="12.1" outlineLevel="0" r="499">
      <c r="A499" s="3" t="s">
        <f>=HYPERLINK("https://mp39851918.megaplan.ua/deals/83260/card/","13748")</f>
      </c>
      <c r="B499" s="3" t="inlineStr">
        <is>
          <t>111-8956788-0472242</t>
        </is>
      </c>
      <c r="C499" s="3" t="inlineStr">
        <is>
          <t>Autodist</t>
        </is>
      </c>
    </row>
    <row collapsed="false" customFormat="false" customHeight="false" hidden="false" ht="12.1" outlineLevel="0" r="500">
      <c r="A500" s="3" t="s">
        <f>=HYPERLINK("https://mp39851918.megaplan.ua/deals/83261/card/","13749")</f>
      </c>
      <c r="B500" s="3" t="inlineStr">
        <is>
          <t>112-9230164-2367407</t>
        </is>
      </c>
      <c r="C500" s="3" t="inlineStr">
        <is>
          <t>Autodist</t>
        </is>
      </c>
    </row>
    <row collapsed="false" customFormat="false" customHeight="false" hidden="false" ht="12.1" outlineLevel="0" r="501">
      <c r="A501" s="3" t="s">
        <f>=HYPERLINK("https://mp39851918.megaplan.ua/deals/83268/card/","13750")</f>
      </c>
      <c r="B501" s="3" t="inlineStr">
        <is>
          <t>111-9337097-5819455</t>
        </is>
      </c>
      <c r="C501" s="3" t="inlineStr">
        <is>
          <t>RockyMountain</t>
        </is>
      </c>
    </row>
    <row collapsed="false" customFormat="false" customHeight="false" hidden="false" ht="12.1" outlineLevel="0" r="502">
      <c r="A502" s="3" t="s">
        <f>=HYPERLINK("https://mp39851918.megaplan.ua/deals/83294/card/","13754")</f>
      </c>
      <c r="B502" s="3" t="inlineStr">
        <is>
          <t>112-1475713-8254630</t>
        </is>
      </c>
      <c r="C502" s="3" t="inlineStr">
        <is>
          <t>RockyMountain</t>
        </is>
      </c>
    </row>
    <row collapsed="false" customFormat="false" customHeight="false" hidden="false" ht="12.1" outlineLevel="0" r="503">
      <c r="A503" s="3" t="s">
        <f>=HYPERLINK("https://mp39851918.megaplan.ua/deals/83299/card/","13755")</f>
      </c>
      <c r="B503" s="3" t="inlineStr">
        <is>
          <t>112-8835191-2142632</t>
        </is>
      </c>
      <c r="C503" s="3" t="inlineStr">
        <is>
          <t>PartsUnlimited</t>
        </is>
      </c>
    </row>
    <row collapsed="false" customFormat="false" customHeight="false" hidden="false" ht="12.1" outlineLevel="0" r="504">
      <c r="A504" s="3" t="s">
        <f>=HYPERLINK("https://mp39851918.megaplan.ua/deals/83330/card/","13760")</f>
      </c>
      <c r="B504" s="3" t="inlineStr">
        <is>
          <t>112-7164123-0157035</t>
        </is>
      </c>
      <c r="C504" s="3" t="inlineStr">
        <is>
          <t>RockyMountain</t>
        </is>
      </c>
    </row>
    <row collapsed="false" customFormat="false" customHeight="false" hidden="false" ht="12.1" outlineLevel="0" r="505">
      <c r="A505" s="3" t="s">
        <f>=HYPERLINK("https://mp39851918.megaplan.ua/deals/83342/card/","13761")</f>
      </c>
      <c r="B505" s="3" t="inlineStr">
        <is>
          <t>112-2492960-9517024</t>
        </is>
      </c>
      <c r="C505" s="3" t="inlineStr">
        <is>
          <t>RockyMountain</t>
        </is>
      </c>
    </row>
    <row collapsed="false" customFormat="false" customHeight="false" hidden="false" ht="12.1" outlineLevel="0" r="506">
      <c r="A506" s="3" t="s">
        <f>=HYPERLINK("https://mp39851918.megaplan.ua/deals/83346/card/","13762")</f>
      </c>
      <c r="B506" s="3" t="inlineStr">
        <is>
          <t>112-6278286-2053004</t>
        </is>
      </c>
      <c r="C506" s="3" t="inlineStr">
        <is>
          <t>RockyMountain</t>
        </is>
      </c>
    </row>
    <row collapsed="false" customFormat="false" customHeight="false" hidden="false" ht="12.1" outlineLevel="0" r="507">
      <c r="A507" s="3" t="s">
        <f>=HYPERLINK("https://mp39851918.megaplan.ua/deals/83352/card/","13763")</f>
      </c>
      <c r="B507" s="3" t="inlineStr">
        <is>
          <t>113-1633570-1493818</t>
        </is>
      </c>
      <c r="C507" s="3" t="inlineStr">
        <is>
          <t>RockyMountain</t>
        </is>
      </c>
    </row>
    <row collapsed="false" customFormat="false" customHeight="false" hidden="false" ht="12.1" outlineLevel="0" r="508">
      <c r="A508" s="3" t="s">
        <f>=HYPERLINK("https://mp39851918.megaplan.ua/deals/83360/card/","13764")</f>
      </c>
      <c r="B508" s="3" t="inlineStr">
        <is>
          <t>114-9891919-0246661</t>
        </is>
      </c>
      <c r="C508" s="3" t="inlineStr">
        <is>
          <t>RockyMountain</t>
        </is>
      </c>
    </row>
    <row collapsed="false" customFormat="false" customHeight="false" hidden="false" ht="12.1" outlineLevel="0" r="509">
      <c r="A509" s="3" t="s">
        <f>=HYPERLINK("https://mp39851918.megaplan.ua/deals/83366/card/","13766")</f>
      </c>
      <c r="B509" s="3" t="inlineStr">
        <is>
          <t>114-3283181-4930638</t>
        </is>
      </c>
      <c r="C509" s="3" t="inlineStr">
        <is>
          <t>PartsUnlimited</t>
        </is>
      </c>
    </row>
    <row collapsed="false" customFormat="false" customHeight="false" hidden="false" ht="12.1" outlineLevel="0" r="510">
      <c r="A510" s="3" t="s">
        <f>=HYPERLINK("https://mp39851918.megaplan.ua/deals/83381/card/","13767")</f>
      </c>
      <c r="B510" s="3" t="inlineStr">
        <is>
          <t>114-5066499-2822656</t>
        </is>
      </c>
      <c r="C510" s="3" t="inlineStr">
        <is>
          <t>Autodist</t>
        </is>
      </c>
    </row>
    <row collapsed="false" customFormat="false" customHeight="false" hidden="false" ht="12.1" outlineLevel="0" r="511">
      <c r="A511" s="3" t="s">
        <f>=HYPERLINK("https://mp39851918.megaplan.ua/deals/83386/card/","13768")</f>
      </c>
      <c r="B511" s="3" t="inlineStr">
        <is>
          <t>113-2574595-0638654</t>
        </is>
      </c>
      <c r="C511" s="3" t="inlineStr">
        <is>
          <t>Autodist</t>
        </is>
      </c>
    </row>
    <row collapsed="false" customFormat="false" customHeight="false" hidden="false" ht="12.1" outlineLevel="0" r="512">
      <c r="A512" s="3" t="s">
        <f>=HYPERLINK("https://mp39851918.megaplan.ua/deals/83388/card/","13769")</f>
      </c>
      <c r="B512" s="3" t="inlineStr">
        <is>
          <t>111-5974633-1677068</t>
        </is>
      </c>
      <c r="C512" s="3" t="inlineStr">
        <is>
          <t>RockyMountain</t>
        </is>
      </c>
    </row>
    <row collapsed="false" customFormat="false" customHeight="false" hidden="false" ht="12.1" outlineLevel="0" r="513">
      <c r="A513" s="3" t="s">
        <f>=HYPERLINK("https://mp39851918.megaplan.ua/deals/83389/card/","13770")</f>
      </c>
      <c r="B513" s="3" t="inlineStr">
        <is>
          <t>114-6725871-9808222</t>
        </is>
      </c>
      <c r="C513" s="3" t="inlineStr">
        <is>
          <t>RockyMountain</t>
        </is>
      </c>
    </row>
    <row collapsed="false" customFormat="false" customHeight="false" hidden="false" ht="12.1" outlineLevel="0" r="514">
      <c r="A514" s="3" t="s">
        <f>=HYPERLINK("https://mp39851918.megaplan.ua/deals/83402/card/","13771")</f>
      </c>
      <c r="B514" s="3" t="inlineStr">
        <is>
          <t>114-0722585-3126660</t>
        </is>
      </c>
      <c r="C514" s="3" t="inlineStr">
        <is>
          <t>Autodist</t>
        </is>
      </c>
    </row>
    <row collapsed="false" customFormat="false" customHeight="false" hidden="false" ht="12.1" outlineLevel="0" r="515">
      <c r="A515" s="3" t="s">
        <f>=HYPERLINK("https://mp39851918.megaplan.ua/deals/83442/card/","13774")</f>
      </c>
      <c r="B515" s="3" t="inlineStr">
        <is>
          <t>112-3176468-8100200</t>
        </is>
      </c>
      <c r="C515" s="3" t="inlineStr">
        <is>
          <t>RockyMountain</t>
        </is>
      </c>
    </row>
    <row collapsed="false" customFormat="false" customHeight="false" hidden="false" ht="12.1" outlineLevel="0" r="516">
      <c r="A516" s="3" t="s">
        <f>=HYPERLINK("https://mp39851918.megaplan.ua/deals/83445/card/","13775")</f>
      </c>
      <c r="B516" s="3" t="inlineStr">
        <is>
          <t>112-8912686-3603444</t>
        </is>
      </c>
      <c r="C516" s="3" t="inlineStr">
        <is>
          <t>RockyMountain</t>
        </is>
      </c>
    </row>
    <row collapsed="false" customFormat="false" customHeight="false" hidden="false" ht="12.1" outlineLevel="0" r="517">
      <c r="A517" s="3" t="s">
        <f>=HYPERLINK("https://mp39851918.megaplan.ua/deals/83449/card/","13776")</f>
      </c>
      <c r="B517" s="3" t="inlineStr">
        <is>
          <t>114-4082444-6493033</t>
        </is>
      </c>
      <c r="C517" s="3" t="inlineStr">
        <is>
          <t>RockyMountain</t>
        </is>
      </c>
    </row>
    <row collapsed="false" customFormat="false" customHeight="false" hidden="false" ht="12.1" outlineLevel="0" r="518">
      <c r="A518" s="3" t="s">
        <f>=HYPERLINK("https://mp39851918.megaplan.ua/deals/83463/card/","13778")</f>
      </c>
      <c r="B518" s="3" t="inlineStr">
        <is>
          <t>111-0198426-4006651</t>
        </is>
      </c>
      <c r="C518" s="3" t="inlineStr">
        <is>
          <t>Autodist</t>
        </is>
      </c>
    </row>
    <row collapsed="false" customFormat="false" customHeight="false" hidden="false" ht="12.1" outlineLevel="0" r="519">
      <c r="A519" s="3" t="s">
        <f>=HYPERLINK("https://mp39851918.megaplan.ua/deals/83470/card/","13779")</f>
      </c>
      <c r="B519" s="3" t="inlineStr">
        <is>
          <t>113-4012962-7701843</t>
        </is>
      </c>
      <c r="C519" s="3" t="inlineStr">
        <is>
          <t>PartsUnlimited</t>
        </is>
      </c>
    </row>
    <row collapsed="false" customFormat="false" customHeight="false" hidden="false" ht="12.1" outlineLevel="0" r="520">
      <c r="A520" s="3" t="s">
        <f>=HYPERLINK("https://mp39851918.megaplan.ua/deals/83471/card/","13780")</f>
      </c>
      <c r="B520" s="3" t="inlineStr">
        <is>
          <t>112-9807304-2825855</t>
        </is>
      </c>
      <c r="C520" s="3" t="inlineStr">
        <is>
          <t>RockyMountain</t>
        </is>
      </c>
    </row>
    <row collapsed="false" customFormat="false" customHeight="false" hidden="false" ht="12.1" outlineLevel="0" r="521">
      <c r="A521" s="3" t="s">
        <f>=HYPERLINK("https://mp39851918.megaplan.ua/deals/83473/card/","13781")</f>
      </c>
      <c r="B521" s="3" t="inlineStr">
        <is>
          <t>111-7812002-1372241</t>
        </is>
      </c>
      <c r="C521" s="3" t="inlineStr">
        <is>
          <t>Autodist</t>
        </is>
      </c>
    </row>
    <row collapsed="false" customFormat="false" customHeight="false" hidden="false" ht="12.1" outlineLevel="0" r="522">
      <c r="A522" s="3" t="s">
        <f>=HYPERLINK("https://mp39851918.megaplan.ua/deals/83495/card/","13783")</f>
      </c>
      <c r="B522" s="3" t="inlineStr">
        <is>
          <t>113-7632388-3388220</t>
        </is>
      </c>
      <c r="C522" s="3" t="inlineStr">
        <is>
          <t>Autodist</t>
        </is>
      </c>
    </row>
    <row collapsed="false" customFormat="false" customHeight="false" hidden="false" ht="12.1" outlineLevel="0" r="523">
      <c r="A523" s="3" t="s">
        <f>=HYPERLINK("https://mp39851918.megaplan.ua/deals/83499/card/","13784")</f>
      </c>
      <c r="B523" s="3" t="inlineStr">
        <is>
          <t>111-5899238-8309060</t>
        </is>
      </c>
      <c r="C523" s="3" t="inlineStr">
        <is>
          <t>RockyMountain</t>
        </is>
      </c>
    </row>
    <row collapsed="false" customFormat="false" customHeight="false" hidden="false" ht="12.1" outlineLevel="0" r="524">
      <c r="A524" s="3" t="s">
        <f>=HYPERLINK("https://mp39851918.megaplan.ua/deals/83508/card/","13785")</f>
      </c>
      <c r="B524" s="3" t="inlineStr">
        <is>
          <t>113-0074611-7483450</t>
        </is>
      </c>
      <c r="C524" s="3" t="inlineStr">
        <is>
          <t>Autodist</t>
        </is>
      </c>
    </row>
    <row collapsed="false" customFormat="false" customHeight="false" hidden="false" ht="12.1" outlineLevel="0" r="525">
      <c r="A525" s="3" t="s">
        <f>=HYPERLINK("https://mp39851918.megaplan.ua/deals/83523/card/","13786")</f>
      </c>
      <c r="B525" s="3" t="inlineStr">
        <is>
          <t>114-1459008-2706615</t>
        </is>
      </c>
      <c r="C525" s="3" t="inlineStr">
        <is>
          <t>RockyMountain</t>
        </is>
      </c>
    </row>
    <row collapsed="false" customFormat="false" customHeight="false" hidden="false" ht="12.1" outlineLevel="0" r="526">
      <c r="A526" s="3" t="s">
        <f>=HYPERLINK("https://mp39851918.megaplan.ua/deals/83525/card/","13787")</f>
      </c>
      <c r="B526" s="3" t="inlineStr">
        <is>
          <t>114-9594834-3566631</t>
        </is>
      </c>
      <c r="C526" s="3" t="inlineStr">
        <is>
          <t>Autodist</t>
        </is>
      </c>
    </row>
    <row collapsed="false" customFormat="false" customHeight="false" hidden="false" ht="12.1" outlineLevel="0" r="527">
      <c r="A527" s="3" t="s">
        <f>=HYPERLINK("https://mp39851918.megaplan.ua/deals/83528/card/","13788")</f>
      </c>
      <c r="B527" s="3" t="inlineStr">
        <is>
          <t>112-5462688-5421016</t>
        </is>
      </c>
      <c r="C527" s="3" t="inlineStr">
        <is>
          <t>RockyMountain</t>
        </is>
      </c>
    </row>
    <row collapsed="false" customFormat="false" customHeight="false" hidden="false" ht="12.1" outlineLevel="0" r="528">
      <c r="A528" s="3" t="s">
        <f>=HYPERLINK("https://mp39851918.megaplan.ua/deals/83531/card/","13789")</f>
      </c>
      <c r="B528" s="3" t="inlineStr">
        <is>
          <t>112-7714146-0599469</t>
        </is>
      </c>
      <c r="C528" s="3" t="inlineStr">
        <is>
          <t>RockyMountain</t>
        </is>
      </c>
    </row>
    <row collapsed="false" customFormat="false" customHeight="false" hidden="false" ht="12.1" outlineLevel="0" r="529">
      <c r="A529" s="3" t="s">
        <f>=HYPERLINK("https://mp39851918.megaplan.ua/deals/83532/card/","13790")</f>
      </c>
      <c r="B529" s="3" t="inlineStr">
        <is>
          <t>114-0668569-8845040</t>
        </is>
      </c>
      <c r="C529" s="3" t="inlineStr">
        <is>
          <t>Autodist</t>
        </is>
      </c>
    </row>
    <row collapsed="false" customFormat="false" customHeight="false" hidden="false" ht="12.1" outlineLevel="0" r="530">
      <c r="A530" s="3" t="s">
        <f>=HYPERLINK("https://mp39851918.megaplan.ua/deals/83533/card/","13791")</f>
      </c>
      <c r="B530" s="3" t="inlineStr">
        <is>
          <t>112-6364216-8745024</t>
        </is>
      </c>
      <c r="C530" s="3" t="inlineStr">
        <is>
          <t>RockyMountain</t>
        </is>
      </c>
    </row>
    <row collapsed="false" customFormat="false" customHeight="false" hidden="false" ht="12.1" outlineLevel="0" r="531">
      <c r="A531" s="3" t="s">
        <f>=HYPERLINK("https://mp39851918.megaplan.ua/deals/83546/card/","13795")</f>
      </c>
      <c r="B531" s="3" t="inlineStr">
        <is>
          <t>114-5488115-0548265</t>
        </is>
      </c>
      <c r="C531" s="3" t="inlineStr">
        <is>
          <t>RockyMountain</t>
        </is>
      </c>
    </row>
    <row collapsed="false" customFormat="false" customHeight="false" hidden="false" ht="12.1" outlineLevel="0" r="532">
      <c r="A532" s="3" t="s">
        <f>=HYPERLINK("https://mp39851918.megaplan.ua/deals/83547/card/","13796")</f>
      </c>
      <c r="B532" s="3" t="inlineStr">
        <is>
          <t>113-0940009-1508260</t>
        </is>
      </c>
      <c r="C532" s="3" t="inlineStr">
        <is>
          <t>RockyMountain</t>
        </is>
      </c>
    </row>
    <row collapsed="false" customFormat="false" customHeight="false" hidden="false" ht="12.1" outlineLevel="0" r="533">
      <c r="A533" s="3" t="s">
        <f>=HYPERLINK("https://mp39851918.megaplan.ua/deals/83567/card/","13797")</f>
      </c>
      <c r="B533" s="3" t="inlineStr">
        <is>
          <t>114-9695093-3240251</t>
        </is>
      </c>
      <c r="C533" s="3" t="inlineStr">
        <is>
          <t>Autodist</t>
        </is>
      </c>
    </row>
    <row collapsed="false" customFormat="false" customHeight="false" hidden="false" ht="12.1" outlineLevel="0" r="534">
      <c r="A534" s="3" t="s">
        <f>=HYPERLINK("https://mp39851918.megaplan.ua/deals/83595/card/","13800")</f>
      </c>
      <c r="B534" s="3" t="inlineStr">
        <is>
          <t>111-0388624-9565035</t>
        </is>
      </c>
      <c r="C534" s="3" t="inlineStr">
        <is>
          <t>RockyMountain</t>
        </is>
      </c>
    </row>
    <row collapsed="false" customFormat="false" customHeight="false" hidden="false" ht="12.1" outlineLevel="0" r="535">
      <c r="A535" s="3" t="s">
        <f>=HYPERLINK("https://mp39851918.megaplan.ua/deals/83608/card/","13802")</f>
      </c>
      <c r="B535" s="3" t="inlineStr">
        <is>
          <t>114-6465255-4203444</t>
        </is>
      </c>
      <c r="C535" s="3" t="inlineStr">
        <is>
          <t>RockyMountain</t>
        </is>
      </c>
    </row>
    <row collapsed="false" customFormat="false" customHeight="false" hidden="false" ht="12.1" outlineLevel="0" r="536">
      <c r="A536" s="3" t="s">
        <f>=HYPERLINK("https://mp39851918.megaplan.ua/deals/83619/card/","13804")</f>
      </c>
      <c r="B536" s="3" t="inlineStr">
        <is>
          <t>114-1365856-4427413</t>
        </is>
      </c>
      <c r="C536" s="3" t="inlineStr">
        <is>
          <t>RockyMountain</t>
        </is>
      </c>
    </row>
    <row collapsed="false" customFormat="false" customHeight="false" hidden="false" ht="12.1" outlineLevel="0" r="537">
      <c r="A537" s="3" t="s">
        <f>=HYPERLINK("https://mp39851918.megaplan.ua/deals/83625/card/","13805")</f>
      </c>
      <c r="B537" s="3" t="inlineStr">
        <is>
          <t>112-4754430-1329833</t>
        </is>
      </c>
      <c r="C537" s="3" t="inlineStr">
        <is>
          <t>RockyMountain</t>
        </is>
      </c>
    </row>
    <row collapsed="false" customFormat="false" customHeight="false" hidden="false" ht="12.1" outlineLevel="0" r="538">
      <c r="A538" s="3" t="s">
        <f>=HYPERLINK("https://mp39851918.megaplan.ua/deals/83638/card/","13807")</f>
      </c>
      <c r="B538" s="3" t="inlineStr">
        <is>
          <t>113-4323909-2057822</t>
        </is>
      </c>
      <c r="C538" s="3" t="inlineStr">
        <is>
          <t>RockyMountain</t>
        </is>
      </c>
    </row>
    <row collapsed="false" customFormat="false" customHeight="false" hidden="false" ht="12.1" outlineLevel="0" r="539">
      <c r="A539" s="3" t="s">
        <f>=HYPERLINK("https://mp39851918.megaplan.ua/deals/83654/card/","13809")</f>
      </c>
      <c r="B539" s="3" t="inlineStr">
        <is>
          <t>113-8171130-3765005</t>
        </is>
      </c>
      <c r="C539" s="3" t="inlineStr">
        <is>
          <t>RockyMountain</t>
        </is>
      </c>
    </row>
    <row collapsed="false" customFormat="false" customHeight="false" hidden="false" ht="12.1" outlineLevel="0" r="540">
      <c r="A540" s="3" t="s">
        <f>=HYPERLINK("https://mp39851918.megaplan.ua/deals/83667/card/","13813")</f>
      </c>
      <c r="B540" s="3" t="inlineStr">
        <is>
          <t>113-8521609-2025046</t>
        </is>
      </c>
      <c r="C540" s="3" t="inlineStr">
        <is>
          <t>RockyMountain</t>
        </is>
      </c>
    </row>
    <row collapsed="false" customFormat="false" customHeight="false" hidden="false" ht="12.1" outlineLevel="0" r="541">
      <c r="A541" s="3" t="s">
        <f>=HYPERLINK("https://mp39851918.megaplan.ua/deals/83668/card/","13814")</f>
      </c>
      <c r="B541" s="3" t="inlineStr">
        <is>
          <t>114-2318065-9641051</t>
        </is>
      </c>
      <c r="C541" s="3" t="inlineStr">
        <is>
          <t>Autodist</t>
        </is>
      </c>
    </row>
    <row collapsed="false" customFormat="false" customHeight="false" hidden="false" ht="12.1" outlineLevel="0" r="542">
      <c r="A542" s="3" t="s">
        <f>=HYPERLINK("https://mp39851918.megaplan.ua/deals/83670/card/","13815")</f>
      </c>
      <c r="B542" s="3" t="inlineStr">
        <is>
          <t>112-1617351-9585052</t>
        </is>
      </c>
      <c r="C542" s="3" t="inlineStr">
        <is>
          <t>RockyMountain</t>
        </is>
      </c>
    </row>
    <row collapsed="false" customFormat="false" customHeight="false" hidden="false" ht="12.1" outlineLevel="0" r="543">
      <c r="A543" s="3" t="s">
        <f>=HYPERLINK("https://mp39851918.megaplan.ua/deals/83672/card/","13816")</f>
      </c>
      <c r="B543" s="3" t="inlineStr">
        <is>
          <t>113-4230208-6929006</t>
        </is>
      </c>
      <c r="C543" s="3" t="inlineStr">
        <is>
          <t>RockyMountain</t>
        </is>
      </c>
    </row>
    <row collapsed="false" customFormat="false" customHeight="false" hidden="false" ht="12.1" outlineLevel="0" r="544">
      <c r="A544" s="3" t="s">
        <f>=HYPERLINK("https://mp39851918.megaplan.ua/deals/83675/card/","13817")</f>
      </c>
      <c r="B544" s="3" t="inlineStr">
        <is>
          <t>111-4380715-2188221</t>
        </is>
      </c>
      <c r="C544" s="3" t="inlineStr">
        <is>
          <t>PartsUnlimited</t>
        </is>
      </c>
    </row>
    <row collapsed="false" customFormat="false" customHeight="false" hidden="false" ht="12.1" outlineLevel="0" r="545">
      <c r="A545" s="3" t="s">
        <f>=HYPERLINK("https://mp39851918.megaplan.ua/deals/83676/card/","13818")</f>
      </c>
      <c r="B545" s="3" t="inlineStr">
        <is>
          <t>111-6007120-9470669</t>
        </is>
      </c>
      <c r="C545" s="3" t="inlineStr">
        <is>
          <t>RockyMountain</t>
        </is>
      </c>
    </row>
    <row collapsed="false" customFormat="false" customHeight="false" hidden="false" ht="12.1" outlineLevel="0" r="546">
      <c r="A546" s="3" t="s">
        <f>=HYPERLINK("https://mp39851918.megaplan.ua/deals/83677/card/","13819")</f>
      </c>
      <c r="B546" s="3" t="inlineStr">
        <is>
          <t>113-0690946-6132256</t>
        </is>
      </c>
      <c r="C546" s="3" t="inlineStr">
        <is>
          <t>PartsUnlimited</t>
        </is>
      </c>
    </row>
    <row collapsed="false" customFormat="false" customHeight="false" hidden="false" ht="12.1" outlineLevel="0" r="547">
      <c r="A547" s="3" t="s">
        <f>=HYPERLINK("https://mp39851918.megaplan.ua/deals/83678/card/","13820")</f>
      </c>
      <c r="B547" s="3" t="inlineStr">
        <is>
          <t>114-8515821-7746612</t>
        </is>
      </c>
      <c r="C547" s="3" t="inlineStr">
        <is>
          <t>RockyMountain</t>
        </is>
      </c>
    </row>
    <row collapsed="false" customFormat="false" customHeight="false" hidden="false" ht="12.1" outlineLevel="0" r="548">
      <c r="A548" s="3" t="s">
        <f>=HYPERLINK("https://mp39851918.megaplan.ua/deals/83713/card/","13824")</f>
      </c>
      <c r="B548" s="3" t="inlineStr">
        <is>
          <t>113-2069402-3105016</t>
        </is>
      </c>
      <c r="C548" s="3" t="inlineStr">
        <is>
          <t>RockyMountain</t>
        </is>
      </c>
    </row>
    <row collapsed="false" customFormat="false" customHeight="false" hidden="false" ht="12.1" outlineLevel="0" r="549">
      <c r="A549" s="3" t="s">
        <f>=HYPERLINK("https://mp39851918.megaplan.ua/deals/83721/card/","13826")</f>
      </c>
      <c r="B549" s="3" t="inlineStr">
        <is>
          <t>112-3352151-1535439</t>
        </is>
      </c>
      <c r="C549" s="3" t="inlineStr">
        <is>
          <t>RockyMountain</t>
        </is>
      </c>
    </row>
    <row collapsed="false" customFormat="false" customHeight="false" hidden="false" ht="12.1" outlineLevel="0" r="550">
      <c r="A550" s="3" t="s">
        <f>=HYPERLINK("https://mp39851918.megaplan.ua/deals/83734/card/","13828")</f>
      </c>
      <c r="B550" s="3" t="inlineStr">
        <is>
          <t>113-5435113-4679425</t>
        </is>
      </c>
      <c r="C550" s="3" t="inlineStr">
        <is>
          <t>Autodist</t>
        </is>
      </c>
    </row>
    <row collapsed="false" customFormat="false" customHeight="false" hidden="false" ht="12.1" outlineLevel="0" r="551">
      <c r="A551" s="3" t="s">
        <f>=HYPERLINK("https://mp39851918.megaplan.ua/deals/83750/card/","13830")</f>
      </c>
      <c r="B551" s="3" t="inlineStr">
        <is>
          <t>111-6125267-2738633</t>
        </is>
      </c>
      <c r="C551" s="3" t="inlineStr">
        <is>
          <t>PartsUnlimited</t>
        </is>
      </c>
    </row>
    <row collapsed="false" customFormat="false" customHeight="false" hidden="false" ht="12.1" outlineLevel="0" r="552">
      <c r="A552" s="3" t="s">
        <f>=HYPERLINK("https://mp39851918.megaplan.ua/deals/83762/card/","13831")</f>
      </c>
      <c r="B552" s="3" t="inlineStr">
        <is>
          <t>114-2432980-6594606</t>
        </is>
      </c>
      <c r="C552" s="3" t="inlineStr">
        <is>
          <t>Autodist</t>
        </is>
      </c>
    </row>
    <row collapsed="false" customFormat="false" customHeight="false" hidden="false" ht="12.1" outlineLevel="0" r="553">
      <c r="A553" s="3" t="s">
        <f>=HYPERLINK("https://mp39851918.megaplan.ua/deals/83768/card/","13833")</f>
      </c>
      <c r="B553" s="3" t="inlineStr">
        <is>
          <t>111-3187868-6012246</t>
        </is>
      </c>
      <c r="C553" s="3" t="inlineStr">
        <is>
          <t>PartsUnlimited</t>
        </is>
      </c>
    </row>
    <row collapsed="false" customFormat="false" customHeight="false" hidden="false" ht="12.1" outlineLevel="0" r="554">
      <c r="A554" s="3" t="s">
        <f>=HYPERLINK("https://mp39851918.megaplan.ua/deals/83774/card/","13835")</f>
      </c>
      <c r="B554" s="3" t="inlineStr">
        <is>
          <t>113-4906841-4099429</t>
        </is>
      </c>
      <c r="C554" s="3" t="inlineStr">
        <is>
          <t>RockyMountain</t>
        </is>
      </c>
    </row>
    <row collapsed="false" customFormat="false" customHeight="false" hidden="false" ht="12.1" outlineLevel="0" r="555">
      <c r="A555" s="3" t="s">
        <f>=HYPERLINK("https://mp39851918.megaplan.ua/deals/83781/card/","13836")</f>
      </c>
      <c r="B555" s="3" t="inlineStr">
        <is>
          <t>111-1051837-6683446</t>
        </is>
      </c>
      <c r="C555" s="3" t="inlineStr">
        <is>
          <t>RockyMountain</t>
        </is>
      </c>
    </row>
    <row collapsed="false" customFormat="false" customHeight="false" hidden="false" ht="12.1" outlineLevel="0" r="556">
      <c r="A556" s="3" t="s">
        <f>=HYPERLINK("https://mp39851918.megaplan.ua/deals/83782/card/","13837")</f>
      </c>
      <c r="B556" s="3" t="inlineStr">
        <is>
          <t>112-8741560-2239436</t>
        </is>
      </c>
      <c r="C556" s="3" t="inlineStr">
        <is>
          <t>Autodist</t>
        </is>
      </c>
    </row>
    <row collapsed="false" customFormat="false" customHeight="false" hidden="false" ht="12.1" outlineLevel="0" r="557">
      <c r="A557" s="3" t="s">
        <f>=HYPERLINK("https://mp39851918.megaplan.ua/deals/83794/card/","13838")</f>
      </c>
      <c r="B557" s="3" t="inlineStr">
        <is>
          <t>114-0019109-5781815</t>
        </is>
      </c>
      <c r="C557" s="3" t="inlineStr">
        <is>
          <t>Autodist</t>
        </is>
      </c>
    </row>
    <row collapsed="false" customFormat="false" customHeight="false" hidden="false" ht="12.1" outlineLevel="0" r="558">
      <c r="A558" s="3" t="s">
        <f>=HYPERLINK("https://mp39851918.megaplan.ua/deals/83806/card/","13842")</f>
      </c>
      <c r="B558" s="3" t="inlineStr">
        <is>
          <t>112-8178594-7158601</t>
        </is>
      </c>
      <c r="C558" s="3" t="inlineStr">
        <is>
          <t>RockyMountain</t>
        </is>
      </c>
    </row>
    <row collapsed="false" customFormat="false" customHeight="false" hidden="false" ht="12.1" outlineLevel="0" r="559">
      <c r="A559" s="3" t="s">
        <f>=HYPERLINK("https://mp39851918.megaplan.ua/deals/83807/card/","13843")</f>
      </c>
      <c r="B559" s="3" t="inlineStr">
        <is>
          <t>113-7483260-6650668</t>
        </is>
      </c>
      <c r="C559" s="3" t="inlineStr">
        <is>
          <t>RockyMountain</t>
        </is>
      </c>
    </row>
    <row collapsed="false" customFormat="false" customHeight="false" hidden="false" ht="12.1" outlineLevel="0" r="560">
      <c r="A560" s="3" t="s">
        <f>=HYPERLINK("https://mp39851918.megaplan.ua/deals/83808/card/","13844")</f>
      </c>
      <c r="B560" s="3" t="inlineStr">
        <is>
          <t>111-1448411-3497042</t>
        </is>
      </c>
      <c r="C560" s="3" t="inlineStr">
        <is>
          <t>RockyMountain</t>
        </is>
      </c>
    </row>
    <row collapsed="false" customFormat="false" customHeight="false" hidden="false" ht="12.1" outlineLevel="0" r="561">
      <c r="A561" s="3" t="s">
        <f>=HYPERLINK("https://mp39851918.megaplan.ua/deals/83809/card/","13845")</f>
      </c>
      <c r="B561" s="3" t="inlineStr">
        <is>
          <t>112-1385165-9270612</t>
        </is>
      </c>
      <c r="C561" s="3" t="inlineStr">
        <is>
          <t>RockyMountain</t>
        </is>
      </c>
    </row>
    <row collapsed="false" customFormat="false" customHeight="false" hidden="false" ht="12.1" outlineLevel="0" r="562">
      <c r="A562" s="3" t="s">
        <f>=HYPERLINK("https://mp39851918.megaplan.ua/deals/83812/card/","13846")</f>
      </c>
      <c r="B562" s="3" t="inlineStr">
        <is>
          <t>112-4386870-9216226</t>
        </is>
      </c>
      <c r="C562" s="3" t="inlineStr">
        <is>
          <t>RockyMountain</t>
        </is>
      </c>
    </row>
    <row collapsed="false" customFormat="false" customHeight="false" hidden="false" ht="12.1" outlineLevel="0" r="563">
      <c r="A563" s="3" t="s">
        <f>=HYPERLINK("https://mp39851918.megaplan.ua/deals/83820/card/","13847")</f>
      </c>
      <c r="B563" s="3" t="inlineStr">
        <is>
          <t>114-1061386-1701011</t>
        </is>
      </c>
      <c r="C563" s="3" t="inlineStr">
        <is>
          <t>Autodist</t>
        </is>
      </c>
    </row>
    <row collapsed="false" customFormat="false" customHeight="false" hidden="false" ht="12.1" outlineLevel="0" r="564">
      <c r="A564" s="3" t="s">
        <f>=HYPERLINK("https://mp39851918.megaplan.ua/deals/83824/card/","13849")</f>
      </c>
      <c r="B564" s="3" t="inlineStr">
        <is>
          <t>114-5621939-3789010</t>
        </is>
      </c>
      <c r="C564" s="3" t="inlineStr">
        <is>
          <t>RockyMountain</t>
        </is>
      </c>
    </row>
    <row collapsed="false" customFormat="false" customHeight="false" hidden="false" ht="12.1" outlineLevel="0" r="565">
      <c r="A565" s="3" t="s">
        <f>=HYPERLINK("https://mp39851918.megaplan.ua/deals/83828/card/","13850")</f>
      </c>
      <c r="B565" s="3" t="inlineStr">
        <is>
          <t>112-1234057-1140256</t>
        </is>
      </c>
      <c r="C565" s="3" t="inlineStr">
        <is>
          <t>RockyMountain</t>
        </is>
      </c>
    </row>
    <row collapsed="false" customFormat="false" customHeight="false" hidden="false" ht="12.1" outlineLevel="0" r="566">
      <c r="A566" s="3" t="s">
        <f>=HYPERLINK("https://mp39851918.megaplan.ua/deals/83835/card/","13851")</f>
      </c>
      <c r="B566" s="3" t="inlineStr">
        <is>
          <t>111-4685515-5228226</t>
        </is>
      </c>
      <c r="C566" s="3" t="inlineStr">
        <is>
          <t>RockyMountain</t>
        </is>
      </c>
    </row>
    <row collapsed="false" customFormat="false" customHeight="false" hidden="false" ht="12.1" outlineLevel="0" r="567">
      <c r="A567" s="3" t="s">
        <f>=HYPERLINK("https://mp39851918.megaplan.ua/deals/83844/card/","13852")</f>
      </c>
      <c r="B567" s="3" t="inlineStr">
        <is>
          <t>111-9201774-0278627</t>
        </is>
      </c>
      <c r="C567" s="3" t="inlineStr">
        <is>
          <t>RockyMountain</t>
        </is>
      </c>
    </row>
    <row collapsed="false" customFormat="false" customHeight="false" hidden="false" ht="12.1" outlineLevel="0" r="568">
      <c r="A568" s="3" t="s">
        <f>=HYPERLINK("https://mp39851918.megaplan.ua/deals/83845/card/","13853")</f>
      </c>
      <c r="B568" s="3" t="inlineStr">
        <is>
          <t>113-6175180-3829816</t>
        </is>
      </c>
      <c r="C568" s="3" t="inlineStr">
        <is>
          <t>Autodist</t>
        </is>
      </c>
    </row>
    <row collapsed="false" customFormat="false" customHeight="false" hidden="false" ht="12.1" outlineLevel="0" r="569">
      <c r="A569" s="3" t="s">
        <f>=HYPERLINK("https://mp39851918.megaplan.ua/deals/83846/card/","13854")</f>
      </c>
      <c r="B569" s="3" t="inlineStr">
        <is>
          <t>113-2079339-0969066</t>
        </is>
      </c>
      <c r="C569" s="3" t="inlineStr">
        <is>
          <t>RockyMountain</t>
        </is>
      </c>
    </row>
    <row collapsed="false" customFormat="false" customHeight="false" hidden="false" ht="12.1" outlineLevel="0" r="570">
      <c r="A570" s="3" t="s">
        <f>=HYPERLINK("https://mp39851918.megaplan.ua/deals/83855/card/","13855")</f>
      </c>
      <c r="B570" s="3" t="inlineStr">
        <is>
          <t>112-3235707-8301834</t>
        </is>
      </c>
      <c r="C570" s="3" t="inlineStr">
        <is>
          <t>RockyMountain</t>
        </is>
      </c>
    </row>
    <row collapsed="false" customFormat="false" customHeight="false" hidden="false" ht="12.1" outlineLevel="0" r="571">
      <c r="A571" s="3" t="s">
        <f>=HYPERLINK("https://mp39851918.megaplan.ua/deals/83864/card/","13856")</f>
      </c>
      <c r="B571" s="3" t="inlineStr">
        <is>
          <t>111-3658058-5936221</t>
        </is>
      </c>
      <c r="C571" s="3" t="inlineStr">
        <is>
          <t>RockyMountain</t>
        </is>
      </c>
    </row>
    <row collapsed="false" customFormat="false" customHeight="false" hidden="false" ht="12.1" outlineLevel="0" r="572">
      <c r="A572" s="3" t="s">
        <f>=HYPERLINK("https://mp39851918.megaplan.ua/deals/83865/card/","13857")</f>
      </c>
      <c r="B572" s="3" t="inlineStr">
        <is>
          <t>112-9271919-9390613</t>
        </is>
      </c>
      <c r="C572" s="3" t="inlineStr">
        <is>
          <t>Autodist</t>
        </is>
      </c>
    </row>
    <row collapsed="false" customFormat="false" customHeight="false" hidden="false" ht="12.1" outlineLevel="0" r="573">
      <c r="A573" s="3" t="s">
        <f>=HYPERLINK("https://mp39851918.megaplan.ua/deals/83880/card/","13860")</f>
      </c>
      <c r="B573" s="3" t="inlineStr">
        <is>
          <t>113-9438264-8961010</t>
        </is>
      </c>
      <c r="C573" s="3" t="inlineStr">
        <is>
          <t>RockyMountain</t>
        </is>
      </c>
    </row>
    <row collapsed="false" customFormat="false" customHeight="false" hidden="false" ht="12.1" outlineLevel="0" r="574">
      <c r="A574" s="3" t="s">
        <f>=HYPERLINK("https://mp39851918.megaplan.ua/deals/83881/card/","13861")</f>
      </c>
      <c r="B574" s="3" t="inlineStr">
        <is>
          <t>113-0202548-8863402</t>
        </is>
      </c>
      <c r="C574" s="3" t="inlineStr">
        <is>
          <t>RockyMountain</t>
        </is>
      </c>
    </row>
    <row collapsed="false" customFormat="false" customHeight="false" hidden="false" ht="12.1" outlineLevel="0" r="575">
      <c r="A575" s="3" t="s">
        <f>=HYPERLINK("https://mp39851918.megaplan.ua/deals/83901/card/","13862")</f>
      </c>
      <c r="B575" s="3" t="inlineStr">
        <is>
          <t>112-0592131-6388229</t>
        </is>
      </c>
      <c r="C575" s="3" t="inlineStr">
        <is>
          <t>RockyMountain</t>
        </is>
      </c>
    </row>
    <row collapsed="false" customFormat="false" customHeight="false" hidden="false" ht="12.1" outlineLevel="0" r="576">
      <c r="A576" s="3" t="s">
        <f>=HYPERLINK("https://mp39851918.megaplan.ua/deals/83902/card/","13863")</f>
      </c>
      <c r="B576" s="3" t="inlineStr">
        <is>
          <t>111-9351365-8674603</t>
        </is>
      </c>
      <c r="C576" s="3" t="inlineStr">
        <is>
          <t>RockyMountain</t>
        </is>
      </c>
    </row>
    <row collapsed="false" customFormat="false" customHeight="false" hidden="false" ht="12.1" outlineLevel="0" r="577">
      <c r="A577" s="3" t="s">
        <f>=HYPERLINK("https://mp39851918.megaplan.ua/deals/83908/card/","13864")</f>
      </c>
      <c r="B577" s="3" t="inlineStr">
        <is>
          <t>114-6786411-8245029</t>
        </is>
      </c>
      <c r="C577" s="3" t="inlineStr">
        <is>
          <t>RockyMountain</t>
        </is>
      </c>
    </row>
    <row collapsed="false" customFormat="false" customHeight="false" hidden="false" ht="12.1" outlineLevel="0" r="578">
      <c r="A578" s="3" t="s">
        <f>=HYPERLINK("https://mp39851918.megaplan.ua/deals/83918/card/","13865")</f>
      </c>
      <c r="B578" s="3" t="inlineStr">
        <is>
          <t>111-9571467-8121045</t>
        </is>
      </c>
      <c r="C578" s="3" t="inlineStr">
        <is>
          <t>PartsUnlimited</t>
        </is>
      </c>
    </row>
    <row collapsed="false" customFormat="false" customHeight="false" hidden="false" ht="12.1" outlineLevel="0" r="579">
      <c r="A579" s="3" t="s">
        <f>=HYPERLINK("https://mp39851918.megaplan.ua/deals/83939/card/","13866")</f>
      </c>
      <c r="B579" s="3" t="inlineStr">
        <is>
          <t>113-4340091-3269061</t>
        </is>
      </c>
      <c r="C579" s="3" t="inlineStr">
        <is>
          <t>RockyMountain</t>
        </is>
      </c>
    </row>
    <row collapsed="false" customFormat="false" customHeight="false" hidden="false" ht="12.1" outlineLevel="0" r="580">
      <c r="A580" s="3" t="s">
        <f>=HYPERLINK("https://mp39851918.megaplan.ua/deals/83952/card/","13868")</f>
      </c>
      <c r="B580" s="3" t="inlineStr">
        <is>
          <t>114-6028283-0328236</t>
        </is>
      </c>
      <c r="C580" s="3" t="inlineStr">
        <is>
          <t>RockyMountain</t>
        </is>
      </c>
    </row>
    <row collapsed="false" customFormat="false" customHeight="false" hidden="false" ht="12.1" outlineLevel="0" r="581">
      <c r="A581" s="3" t="s">
        <f>=HYPERLINK("https://mp39851918.megaplan.ua/deals/83954/card/","13869")</f>
      </c>
      <c r="B581" s="3" t="inlineStr">
        <is>
          <t>113-2527920-7193811</t>
        </is>
      </c>
      <c r="C581" s="3" t="inlineStr">
        <is>
          <t>Autodist</t>
        </is>
      </c>
    </row>
    <row collapsed="false" customFormat="false" customHeight="false" hidden="false" ht="12.1" outlineLevel="0" r="582">
      <c r="A582" s="3" t="s">
        <f>=HYPERLINK("https://mp39851918.megaplan.ua/deals/83998/card/","13873")</f>
      </c>
      <c r="B582" s="3" t="inlineStr">
        <is>
          <t>113-8846306-7823461</t>
        </is>
      </c>
      <c r="C582" s="3" t="inlineStr">
        <is>
          <t>RockyMountain</t>
        </is>
      </c>
    </row>
    <row collapsed="false" customFormat="false" customHeight="false" hidden="false" ht="12.1" outlineLevel="0" r="583">
      <c r="A583" s="3" t="s">
        <f>=HYPERLINK("https://mp39851918.megaplan.ua/deals/84010/card/","13875")</f>
      </c>
      <c r="B583" s="3" t="inlineStr">
        <is>
          <t>112-4915531-7553811</t>
        </is>
      </c>
      <c r="C583" s="3" t="inlineStr">
        <is>
          <t>Autodist</t>
        </is>
      </c>
    </row>
    <row collapsed="false" customFormat="false" customHeight="false" hidden="false" ht="12.1" outlineLevel="0" r="584">
      <c r="A584" s="3" t="s">
        <f>=HYPERLINK("https://mp39851918.megaplan.ua/deals/84015/card/","13876")</f>
      </c>
      <c r="B584" s="3" t="inlineStr">
        <is>
          <t>113-7836182-6825056</t>
        </is>
      </c>
      <c r="C584" s="3" t="inlineStr">
        <is>
          <t>RockyMountain</t>
        </is>
      </c>
    </row>
    <row collapsed="false" customFormat="false" customHeight="false" hidden="false" ht="12.1" outlineLevel="0" r="585">
      <c r="A585" s="3" t="s">
        <f>=HYPERLINK("https://mp39851918.megaplan.ua/deals/84025/card/","13877")</f>
      </c>
      <c r="B585" s="3" t="inlineStr">
        <is>
          <t>114-8350568-9835444</t>
        </is>
      </c>
      <c r="C585" s="3" t="inlineStr">
        <is>
          <t>Autodist</t>
        </is>
      </c>
    </row>
    <row collapsed="false" customFormat="false" customHeight="false" hidden="false" ht="12.1" outlineLevel="0" r="586">
      <c r="A586" s="3" t="s">
        <f>=HYPERLINK("https://mp39851918.megaplan.ua/deals/84026/card/","13878")</f>
      </c>
      <c r="B586" s="3" t="inlineStr">
        <is>
          <t>111-4087095-5106619</t>
        </is>
      </c>
      <c r="C586" s="3" t="inlineStr">
        <is>
          <t>RockyMountain</t>
        </is>
      </c>
    </row>
    <row collapsed="false" customFormat="false" customHeight="false" hidden="false" ht="12.1" outlineLevel="0" r="587">
      <c r="A587" s="3" t="s">
        <f>=HYPERLINK("https://mp39851918.megaplan.ua/deals/84045/card/","13881")</f>
      </c>
      <c r="B587" s="3" t="inlineStr">
        <is>
          <t>112-2718084-7948201</t>
        </is>
      </c>
      <c r="C587" s="3" t="inlineStr">
        <is>
          <t>RockyMountain</t>
        </is>
      </c>
    </row>
    <row collapsed="false" customFormat="false" customHeight="false" hidden="false" ht="12.1" outlineLevel="0" r="588">
      <c r="A588" s="3" t="s">
        <f>=HYPERLINK("https://mp39851918.megaplan.ua/deals/84046/card/","13882")</f>
      </c>
      <c r="B588" s="3" t="inlineStr">
        <is>
          <t>114-8310502-7866647</t>
        </is>
      </c>
      <c r="C588" s="3" t="inlineStr">
        <is>
          <t>Autodist</t>
        </is>
      </c>
    </row>
    <row collapsed="false" customFormat="false" customHeight="false" hidden="false" ht="12.1" outlineLevel="0" r="589">
      <c r="A589" s="3" t="s">
        <f>=HYPERLINK("https://mp39851918.megaplan.ua/deals/84055/card/","13883")</f>
      </c>
      <c r="B589" s="3" t="inlineStr">
        <is>
          <t>114-1051570-8273813</t>
        </is>
      </c>
      <c r="C589" s="3" t="inlineStr">
        <is>
          <t>RockyMountain</t>
        </is>
      </c>
    </row>
    <row collapsed="false" customFormat="false" customHeight="false" hidden="false" ht="12.1" outlineLevel="0" r="590">
      <c r="A590" s="3" t="s">
        <f>=HYPERLINK("https://mp39851918.megaplan.ua/deals/84062/card/","13885")</f>
      </c>
      <c r="B590" s="3" t="inlineStr">
        <is>
          <t>111-3935426-7792205</t>
        </is>
      </c>
      <c r="C590" s="3" t="inlineStr">
        <is>
          <t>RockyMountain</t>
        </is>
      </c>
    </row>
    <row collapsed="false" customFormat="false" customHeight="false" hidden="false" ht="12.1" outlineLevel="0" r="591">
      <c r="A591" s="3" t="s">
        <f>=HYPERLINK("https://mp39851918.megaplan.ua/deals/84082/card/","13890")</f>
      </c>
      <c r="B591" s="3" t="inlineStr">
        <is>
          <t>111-4165944-7722651</t>
        </is>
      </c>
      <c r="C591" s="3" t="inlineStr">
        <is>
          <t>RockyMountain</t>
        </is>
      </c>
    </row>
    <row collapsed="false" customFormat="false" customHeight="false" hidden="false" ht="12.1" outlineLevel="0" r="592">
      <c r="A592" s="3" t="s">
        <f>=HYPERLINK("https://mp39851918.megaplan.ua/deals/84090/card/","13891")</f>
      </c>
      <c r="B592" s="3" t="inlineStr">
        <is>
          <t>112-3115265-3125054</t>
        </is>
      </c>
      <c r="C592" s="3" t="inlineStr">
        <is>
          <t>RockyMountain</t>
        </is>
      </c>
    </row>
    <row collapsed="false" customFormat="false" customHeight="false" hidden="false" ht="12.1" outlineLevel="0" r="593">
      <c r="A593" s="3" t="s">
        <f>=HYPERLINK("https://mp39851918.megaplan.ua/deals/84091/card/","13892")</f>
      </c>
      <c r="B593" s="3" t="inlineStr">
        <is>
          <t>111-0431441-4703446</t>
        </is>
      </c>
      <c r="C593" s="3" t="inlineStr">
        <is>
          <t>RockyMountain</t>
        </is>
      </c>
    </row>
    <row collapsed="false" customFormat="false" customHeight="false" hidden="false" ht="12.1" outlineLevel="0" r="594">
      <c r="A594" s="3" t="s">
        <f>=HYPERLINK("https://mp39851918.megaplan.ua/deals/84094/card/","13893")</f>
      </c>
      <c r="B594" s="3" t="inlineStr">
        <is>
          <t>113-5468107-0171447</t>
        </is>
      </c>
      <c r="C594" s="3" t="inlineStr">
        <is>
          <t>RockyMountain</t>
        </is>
      </c>
    </row>
    <row collapsed="false" customFormat="false" customHeight="false" hidden="false" ht="12.1" outlineLevel="0" r="595">
      <c r="A595" s="3" t="s">
        <f>=HYPERLINK("https://mp39851918.megaplan.ua/deals/84099/card/","13894")</f>
      </c>
      <c r="B595" s="3" t="inlineStr">
        <is>
          <t>112-0542990-5969856</t>
        </is>
      </c>
      <c r="C595" s="3" t="inlineStr">
        <is>
          <t>RockyMountain</t>
        </is>
      </c>
    </row>
    <row collapsed="false" customFormat="false" customHeight="false" hidden="false" ht="12.1" outlineLevel="0" r="596">
      <c r="A596" s="3" t="s">
        <f>=HYPERLINK("https://mp39851918.megaplan.ua/deals/84108/card/","13895")</f>
      </c>
      <c r="B596" s="3" t="inlineStr">
        <is>
          <t>112-6092904-4997821</t>
        </is>
      </c>
      <c r="C596" s="3" t="inlineStr">
        <is>
          <t>RockyMountain</t>
        </is>
      </c>
    </row>
    <row collapsed="false" customFormat="false" customHeight="false" hidden="false" ht="12.1" outlineLevel="0" r="597">
      <c r="A597" s="3" t="s">
        <f>=HYPERLINK("https://mp39851918.megaplan.ua/deals/84111/card/","13897")</f>
      </c>
      <c r="B597" s="3" t="inlineStr">
        <is>
          <t>113-0239303-7902655</t>
        </is>
      </c>
      <c r="C597" s="3" t="inlineStr">
        <is>
          <t>RockyMountain</t>
        </is>
      </c>
    </row>
    <row collapsed="false" customFormat="false" customHeight="false" hidden="false" ht="12.1" outlineLevel="0" r="598">
      <c r="A598" s="3" t="s">
        <f>=HYPERLINK("https://mp39851918.megaplan.ua/deals/84113/card/","13898")</f>
      </c>
      <c r="B598" s="3" t="inlineStr">
        <is>
          <t>112-8595485-7386651</t>
        </is>
      </c>
      <c r="C598" s="3" t="inlineStr">
        <is>
          <t>RockyMountain</t>
        </is>
      </c>
    </row>
    <row collapsed="false" customFormat="false" customHeight="false" hidden="false" ht="12.1" outlineLevel="0" r="599">
      <c r="A599" s="3" t="s">
        <f>=HYPERLINK("https://mp39851918.megaplan.ua/deals/84129/card/","13901")</f>
      </c>
      <c r="B599" s="3" t="inlineStr">
        <is>
          <t>111-5011265-0731425</t>
        </is>
      </c>
      <c r="C599" s="3" t="inlineStr">
        <is>
          <t>RockyMountain</t>
        </is>
      </c>
    </row>
    <row collapsed="false" customFormat="false" customHeight="false" hidden="false" ht="12.1" outlineLevel="0" r="600">
      <c r="A600" s="3" t="s">
        <f>=HYPERLINK("https://mp39851918.megaplan.ua/deals/84142/card/","13903")</f>
      </c>
      <c r="B600" s="3" t="inlineStr">
        <is>
          <t>112-7753710-7448231</t>
        </is>
      </c>
      <c r="C600" s="3" t="inlineStr">
        <is>
          <t>RockyMountain</t>
        </is>
      </c>
    </row>
    <row collapsed="false" customFormat="false" customHeight="false" hidden="false" ht="12.1" outlineLevel="0" r="601">
      <c r="A601" s="3" t="s">
        <f>=HYPERLINK("https://mp39851918.megaplan.ua/deals/84145/card/","13904")</f>
      </c>
      <c r="B601" s="3" t="inlineStr">
        <is>
          <t>113-3543663-0678612</t>
        </is>
      </c>
      <c r="C601" s="3" t="inlineStr">
        <is>
          <t>RockyMountain</t>
        </is>
      </c>
    </row>
    <row collapsed="false" customFormat="false" customHeight="false" hidden="false" ht="12.1" outlineLevel="0" r="602">
      <c r="A602" s="3" t="s">
        <f>=HYPERLINK("https://mp39851918.megaplan.ua/deals/84147/card/","13906")</f>
      </c>
      <c r="B602" s="3" t="inlineStr">
        <is>
          <t>112-0643035-8148204</t>
        </is>
      </c>
      <c r="C602" s="3" t="inlineStr">
        <is>
          <t>RockyMountain</t>
        </is>
      </c>
    </row>
    <row collapsed="false" customFormat="false" customHeight="false" hidden="false" ht="12.1" outlineLevel="0" r="603">
      <c r="A603" s="3" t="s">
        <f>=HYPERLINK("https://mp39851918.megaplan.ua/deals/84151/card/","13907")</f>
      </c>
      <c r="B603" s="3" t="inlineStr">
        <is>
          <t>114-0009897-2870634</t>
        </is>
      </c>
      <c r="C603" s="3" t="inlineStr">
        <is>
          <t>RockyMountain</t>
        </is>
      </c>
    </row>
    <row collapsed="false" customFormat="false" customHeight="false" hidden="false" ht="12.1" outlineLevel="0" r="604">
      <c r="A604" s="3" t="s">
        <f>=HYPERLINK("https://mp39851918.megaplan.ua/deals/84160/card/","13909")</f>
      </c>
      <c r="B604" s="3" t="inlineStr">
        <is>
          <t>111-6927673-9387417</t>
        </is>
      </c>
      <c r="C604" s="3" t="inlineStr">
        <is>
          <t>Autodist</t>
        </is>
      </c>
    </row>
    <row collapsed="false" customFormat="false" customHeight="false" hidden="false" ht="12.1" outlineLevel="0" r="605">
      <c r="A605" s="3" t="s">
        <f>=HYPERLINK("https://mp39851918.megaplan.ua/deals/84193/card/","13916")</f>
      </c>
      <c r="B605" s="3" t="inlineStr">
        <is>
          <t>113-7359024-4793020</t>
        </is>
      </c>
      <c r="C605" s="3" t="inlineStr">
        <is>
          <t>RockyMountain</t>
        </is>
      </c>
    </row>
    <row collapsed="false" customFormat="false" customHeight="false" hidden="false" ht="12.1" outlineLevel="0" r="606">
      <c r="A606" s="3" t="s">
        <f>=HYPERLINK("https://mp39851918.megaplan.ua/deals/84199/card/","13918")</f>
      </c>
      <c r="B606" s="3" t="inlineStr">
        <is>
          <t>111-0055773-7613834</t>
        </is>
      </c>
      <c r="C606" s="3" t="inlineStr">
        <is>
          <t>RockyMountain</t>
        </is>
      </c>
    </row>
    <row collapsed="false" customFormat="false" customHeight="false" hidden="false" ht="12.1" outlineLevel="0" r="607">
      <c r="A607" s="3" t="s">
        <f>=HYPERLINK("https://mp39851918.megaplan.ua/deals/84207/card/","13921")</f>
      </c>
      <c r="B607" s="3" t="inlineStr">
        <is>
          <t>111-9430359-2562648</t>
        </is>
      </c>
      <c r="C607" s="3" t="inlineStr">
        <is>
          <t>RockyMountain</t>
        </is>
      </c>
    </row>
    <row collapsed="false" customFormat="false" customHeight="false" hidden="false" ht="12.1" outlineLevel="0" r="608">
      <c r="A608" s="3" t="s">
        <f>=HYPERLINK("https://mp39851918.megaplan.ua/deals/84214/card/","13922")</f>
      </c>
      <c r="B608" s="3" t="inlineStr">
        <is>
          <t>113-7056716-1869015</t>
        </is>
      </c>
      <c r="C608" s="3" t="inlineStr">
        <is>
          <t>Autodist</t>
        </is>
      </c>
    </row>
    <row collapsed="false" customFormat="false" customHeight="false" hidden="false" ht="12.1" outlineLevel="0" r="609">
      <c r="A609" s="3" t="s">
        <f>=HYPERLINK("https://mp39851918.megaplan.ua/deals/84218/card/","13923")</f>
      </c>
      <c r="B609" s="3" t="inlineStr">
        <is>
          <t>112-9334944-9092208</t>
        </is>
      </c>
      <c r="C609" s="3" t="inlineStr">
        <is>
          <t>Autodist</t>
        </is>
      </c>
    </row>
    <row collapsed="false" customFormat="false" customHeight="false" hidden="false" ht="12.1" outlineLevel="0" r="610">
      <c r="A610" s="3" t="s">
        <f>=HYPERLINK("https://mp39851918.megaplan.ua/deals/84224/card/","13926")</f>
      </c>
      <c r="B610" s="3" t="inlineStr">
        <is>
          <t>114-4291759-6112265</t>
        </is>
      </c>
      <c r="C610" s="3" t="inlineStr">
        <is>
          <t>RockyMountain</t>
        </is>
      </c>
    </row>
    <row collapsed="false" customFormat="false" customHeight="false" hidden="false" ht="12.1" outlineLevel="0" r="611">
      <c r="A611" s="3" t="s">
        <f>=HYPERLINK("https://mp39851918.megaplan.ua/deals/84241/card/","13932")</f>
      </c>
      <c r="B611" s="3" t="inlineStr">
        <is>
          <t>112-5509506-9813068</t>
        </is>
      </c>
      <c r="C611" s="3" t="inlineStr">
        <is>
          <t>RockyMountain</t>
        </is>
      </c>
    </row>
    <row collapsed="false" customFormat="false" customHeight="false" hidden="false" ht="12.1" outlineLevel="0" r="612">
      <c r="A612" s="3" t="s">
        <f>=HYPERLINK("https://mp39851918.megaplan.ua/deals/84243/card/","13933")</f>
      </c>
      <c r="B612" s="3" t="inlineStr">
        <is>
          <t>111-7232056-4091451</t>
        </is>
      </c>
      <c r="C612" s="3" t="inlineStr">
        <is>
          <t>RockyMountain</t>
        </is>
      </c>
    </row>
    <row collapsed="false" customFormat="false" customHeight="false" hidden="false" ht="12.1" outlineLevel="0" r="613">
      <c r="A613" s="3" t="s">
        <f>=HYPERLINK("https://mp39851918.megaplan.ua/deals/84244/card/","13934")</f>
      </c>
      <c r="B613" s="3" t="inlineStr">
        <is>
          <t>114-8510078-4824247</t>
        </is>
      </c>
      <c r="C613" s="3" t="inlineStr">
        <is>
          <t>RockyMountain</t>
        </is>
      </c>
    </row>
    <row collapsed="false" customFormat="false" customHeight="false" hidden="false" ht="12.1" outlineLevel="0" r="614">
      <c r="A614" s="3" t="s">
        <f>=HYPERLINK("https://mp39851918.megaplan.ua/deals/84245/card/","13935")</f>
      </c>
      <c r="B614" s="3" t="inlineStr">
        <is>
          <t>111-5917630-4331440</t>
        </is>
      </c>
      <c r="C614" s="3" t="inlineStr">
        <is>
          <t>RockyMountain</t>
        </is>
      </c>
    </row>
    <row collapsed="false" customFormat="false" customHeight="false" hidden="false" ht="12.1" outlineLevel="0" r="615">
      <c r="A615" s="3" t="s">
        <f>=HYPERLINK("https://mp39851918.megaplan.ua/deals/84247/card/","13936")</f>
      </c>
      <c r="B615" s="3" t="inlineStr">
        <is>
          <t>112-7867696-1472235</t>
        </is>
      </c>
      <c r="C615" s="3" t="inlineStr">
        <is>
          <t>Autodist</t>
        </is>
      </c>
    </row>
    <row collapsed="false" customFormat="false" customHeight="false" hidden="false" ht="12.1" outlineLevel="0" r="616">
      <c r="A616" s="3" t="s">
        <f>=HYPERLINK("https://mp39851918.megaplan.ua/deals/84249/card/","13937")</f>
      </c>
      <c r="B616" s="3" t="inlineStr">
        <is>
          <t>112-1573341-1797858</t>
        </is>
      </c>
      <c r="C616" s="3" t="inlineStr">
        <is>
          <t>Autodist</t>
        </is>
      </c>
    </row>
    <row collapsed="false" customFormat="false" customHeight="false" hidden="false" ht="12.1" outlineLevel="0" r="617">
      <c r="A617" s="3" t="s">
        <f>=HYPERLINK("https://mp39851918.megaplan.ua/deals/84250/card/","13938")</f>
      </c>
      <c r="B617" s="3" t="inlineStr">
        <is>
          <t>112-9111602-3597849</t>
        </is>
      </c>
      <c r="C617" s="3" t="inlineStr">
        <is>
          <t>RockyMountain</t>
        </is>
      </c>
    </row>
    <row collapsed="false" customFormat="false" customHeight="false" hidden="false" ht="12.1" outlineLevel="0" r="618">
      <c r="A618" s="3" t="s">
        <f>=HYPERLINK("https://mp39851918.megaplan.ua/deals/84261/card/","13940")</f>
      </c>
      <c r="B618" s="3" t="inlineStr">
        <is>
          <t>111-5141547-8843460</t>
        </is>
      </c>
      <c r="C618" s="3" t="inlineStr">
        <is>
          <t>RockyMountain</t>
        </is>
      </c>
    </row>
    <row collapsed="false" customFormat="false" customHeight="false" hidden="false" ht="12.1" outlineLevel="0" r="619">
      <c r="A619" s="3" t="s">
        <f>=HYPERLINK("https://mp39851918.megaplan.ua/deals/84264/card/","13941")</f>
      </c>
      <c r="B619" s="3" t="inlineStr">
        <is>
          <t>112-4699466-2166631</t>
        </is>
      </c>
      <c r="C619" s="3" t="inlineStr">
        <is>
          <t>RockyMountain</t>
        </is>
      </c>
    </row>
    <row collapsed="false" customFormat="false" customHeight="false" hidden="false" ht="12.1" outlineLevel="0" r="620">
      <c r="A620" s="3" t="s">
        <f>=HYPERLINK("https://mp39851918.megaplan.ua/deals/84265/card/","13942")</f>
      </c>
      <c r="B620" s="3" t="inlineStr">
        <is>
          <t>112-0912694-7649827</t>
        </is>
      </c>
      <c r="C620" s="3" t="inlineStr">
        <is>
          <t>RockyMountain</t>
        </is>
      </c>
    </row>
    <row collapsed="false" customFormat="false" customHeight="false" hidden="false" ht="12.1" outlineLevel="0" r="621">
      <c r="A621" s="3" t="s">
        <f>=HYPERLINK("https://mp39851918.megaplan.ua/deals/84266/card/","13943")</f>
      </c>
      <c r="B621" s="3" t="inlineStr">
        <is>
          <t>113-4159929-8015456</t>
        </is>
      </c>
      <c r="C621" s="3" t="inlineStr">
        <is>
          <t>RockyMountain</t>
        </is>
      </c>
    </row>
    <row collapsed="false" customFormat="false" customHeight="false" hidden="false" ht="12.1" outlineLevel="0" r="622">
      <c r="A622" s="3" t="s">
        <f>=HYPERLINK("https://mp39851918.megaplan.ua/deals/84267/card/","13944")</f>
      </c>
      <c r="B622" s="3" t="inlineStr">
        <is>
          <t>113-5054855-9757808</t>
        </is>
      </c>
      <c r="C622" s="3" t="inlineStr">
        <is>
          <t>RockyMountain</t>
        </is>
      </c>
    </row>
    <row collapsed="false" customFormat="false" customHeight="false" hidden="false" ht="12.1" outlineLevel="0" r="623">
      <c r="A623" s="3" t="s">
        <f>=HYPERLINK("https://mp39851918.megaplan.ua/deals/84272/card/","13946")</f>
      </c>
      <c r="B623" s="3" t="inlineStr">
        <is>
          <t>114-7470536-0119441</t>
        </is>
      </c>
      <c r="C623" s="3" t="inlineStr">
        <is>
          <t>Autodist</t>
        </is>
      </c>
    </row>
    <row collapsed="false" customFormat="false" customHeight="false" hidden="false" ht="12.1" outlineLevel="0" r="624">
      <c r="A624" s="3" t="s">
        <f>=HYPERLINK("https://mp39851918.megaplan.ua/deals/84276/card/","13947")</f>
      </c>
      <c r="B624" s="3" t="inlineStr">
        <is>
          <t>113-7087739-9275446</t>
        </is>
      </c>
      <c r="C624" s="3" t="inlineStr">
        <is>
          <t>PartsUnlimited</t>
        </is>
      </c>
    </row>
    <row collapsed="false" customFormat="false" customHeight="false" hidden="false" ht="12.1" outlineLevel="0" r="625">
      <c r="A625" s="3" t="s">
        <f>=HYPERLINK("https://mp39851918.megaplan.ua/deals/84283/card/","13949")</f>
      </c>
      <c r="B625" s="3" t="inlineStr">
        <is>
          <t>113-0429430-0762637</t>
        </is>
      </c>
      <c r="C625" s="3" t="inlineStr">
        <is>
          <t>RockyMountain</t>
        </is>
      </c>
    </row>
    <row collapsed="false" customFormat="false" customHeight="false" hidden="false" ht="12.1" outlineLevel="0" r="626">
      <c r="A626" s="3" t="s">
        <f>=HYPERLINK("https://mp39851918.megaplan.ua/deals/84289/card/","13950")</f>
      </c>
      <c r="B626" s="3" t="inlineStr">
        <is>
          <t>112-7987281-7357009</t>
        </is>
      </c>
      <c r="C626" s="3" t="inlineStr">
        <is>
          <t>RockyMountain</t>
        </is>
      </c>
    </row>
    <row collapsed="false" customFormat="false" customHeight="false" hidden="false" ht="12.1" outlineLevel="0" r="627">
      <c r="A627" s="3" t="s">
        <f>=HYPERLINK("https://mp39851918.megaplan.ua/deals/84301/card/","13951")</f>
      </c>
      <c r="B627" s="3" t="inlineStr">
        <is>
          <t>113-3565336-3114625</t>
        </is>
      </c>
      <c r="C627" s="3" t="inlineStr">
        <is>
          <t>Autodist</t>
        </is>
      </c>
    </row>
    <row collapsed="false" customFormat="false" customHeight="false" hidden="false" ht="12.1" outlineLevel="0" r="628">
      <c r="A628" s="3" t="s">
        <f>=HYPERLINK("https://mp39851918.megaplan.ua/deals/84321/card/","13953")</f>
      </c>
      <c r="B628" s="3" t="inlineStr">
        <is>
          <t>111-7274761-0309001</t>
        </is>
      </c>
      <c r="C628" s="3" t="inlineStr">
        <is>
          <t>Autodist</t>
        </is>
      </c>
    </row>
    <row collapsed="false" customFormat="false" customHeight="false" hidden="false" ht="12.1" outlineLevel="0" r="629">
      <c r="A629" s="3" t="s">
        <f>=HYPERLINK("https://mp39851918.megaplan.ua/deals/84368/card/","13956")</f>
      </c>
      <c r="B629" s="3" t="inlineStr">
        <is>
          <t>113-4639677-6155416</t>
        </is>
      </c>
      <c r="C629" s="3" t="inlineStr">
        <is>
          <t>RockyMountain</t>
        </is>
      </c>
    </row>
    <row collapsed="false" customFormat="false" customHeight="false" hidden="false" ht="12.1" outlineLevel="0" r="630">
      <c r="A630" s="3" t="s">
        <f>=HYPERLINK("https://mp39851918.megaplan.ua/deals/84373/card/","13958")</f>
      </c>
      <c r="B630" s="3" t="inlineStr">
        <is>
          <t>114-8395652-8939400</t>
        </is>
      </c>
      <c r="C630" s="3" t="inlineStr">
        <is>
          <t>RockyMountain</t>
        </is>
      </c>
    </row>
    <row collapsed="false" customFormat="false" customHeight="false" hidden="false" ht="12.1" outlineLevel="0" r="631">
      <c r="A631" s="3" t="s">
        <f>=HYPERLINK("https://mp39851918.megaplan.ua/deals/84380/card/","13960")</f>
      </c>
      <c r="B631" s="3" t="inlineStr">
        <is>
          <t>114-0378848-2855415</t>
        </is>
      </c>
      <c r="C631" s="3" t="inlineStr">
        <is>
          <t>RockyMountain</t>
        </is>
      </c>
    </row>
    <row collapsed="false" customFormat="false" customHeight="false" hidden="false" ht="12.1" outlineLevel="0" r="632">
      <c r="A632" s="3" t="s">
        <f>=HYPERLINK("https://mp39851918.megaplan.ua/deals/84381/card/","13961")</f>
      </c>
      <c r="B632" s="3" t="inlineStr">
        <is>
          <t>113-8452198-2825010</t>
        </is>
      </c>
      <c r="C632" s="3" t="inlineStr">
        <is>
          <t>Autodist</t>
        </is>
      </c>
    </row>
    <row collapsed="false" customFormat="false" customHeight="false" hidden="false" ht="12.1" outlineLevel="0" r="633">
      <c r="A633" s="3" t="s">
        <f>=HYPERLINK("https://mp39851918.megaplan.ua/deals/84389/card/","13962")</f>
      </c>
      <c r="B633" s="3" t="inlineStr">
        <is>
          <t>114-9097603-5092237</t>
        </is>
      </c>
      <c r="C633" s="3" t="inlineStr">
        <is>
          <t>RockyMountain</t>
        </is>
      </c>
    </row>
    <row collapsed="false" customFormat="false" customHeight="false" hidden="false" ht="12.1" outlineLevel="0" r="634">
      <c r="A634" s="3" t="s">
        <f>=HYPERLINK("https://mp39851918.megaplan.ua/deals/84394/card/","13963")</f>
      </c>
      <c r="B634" s="3" t="inlineStr">
        <is>
          <t>113-4409327-3429032</t>
        </is>
      </c>
      <c r="C634" s="3" t="inlineStr">
        <is>
          <t>PartsUnlimited</t>
        </is>
      </c>
    </row>
    <row collapsed="false" customFormat="false" customHeight="false" hidden="false" ht="12.1" outlineLevel="0" r="635">
      <c r="A635" s="3" t="s">
        <f>=HYPERLINK("https://mp39851918.megaplan.ua/deals/84403/card/","13965")</f>
      </c>
      <c r="B635" s="3" t="inlineStr">
        <is>
          <t>114-6281251-3635414</t>
        </is>
      </c>
      <c r="C635" s="3" t="inlineStr">
        <is>
          <t>RockyMountain</t>
        </is>
      </c>
    </row>
    <row collapsed="false" customFormat="false" customHeight="false" hidden="false" ht="12.1" outlineLevel="0" r="636">
      <c r="A636" s="3" t="s">
        <f>=HYPERLINK("https://mp39851918.megaplan.ua/deals/84404/card/","13966")</f>
      </c>
      <c r="B636" s="3" t="inlineStr">
        <is>
          <t>113-5433484-6997814</t>
        </is>
      </c>
      <c r="C636" s="3" t="inlineStr">
        <is>
          <t>Autodist</t>
        </is>
      </c>
    </row>
    <row collapsed="false" customFormat="false" customHeight="false" hidden="false" ht="12.1" outlineLevel="0" r="637">
      <c r="A637" s="3" t="s">
        <f>=HYPERLINK("https://mp39851918.megaplan.ua/deals/84405/card/","13967")</f>
      </c>
      <c r="B637" s="3" t="inlineStr">
        <is>
          <t>111-8750579-3021040</t>
        </is>
      </c>
      <c r="C637" s="3" t="inlineStr">
        <is>
          <t>RockyMountain</t>
        </is>
      </c>
    </row>
    <row collapsed="false" customFormat="false" customHeight="false" hidden="false" ht="12.1" outlineLevel="0" r="638">
      <c r="A638" s="3" t="s">
        <f>=HYPERLINK("https://mp39851918.megaplan.ua/deals/84406/card/","13968")</f>
      </c>
      <c r="B638" s="3" t="inlineStr">
        <is>
          <t>111-9265546-8794635</t>
        </is>
      </c>
      <c r="C638" s="3" t="inlineStr">
        <is>
          <t>PartsUnlimited</t>
        </is>
      </c>
    </row>
    <row collapsed="false" customFormat="false" customHeight="false" hidden="false" ht="12.1" outlineLevel="0" r="639">
      <c r="A639" s="3" t="s">
        <f>=HYPERLINK("https://mp39851918.megaplan.ua/deals/84412/card/","13969")</f>
      </c>
      <c r="B639" s="3" t="inlineStr">
        <is>
          <t>113-5433484-6997814</t>
        </is>
      </c>
      <c r="C639" s="3" t="inlineStr">
        <is>
          <t>PartsUnlimited</t>
        </is>
      </c>
    </row>
    <row collapsed="false" customFormat="false" customHeight="false" hidden="false" ht="12.1" outlineLevel="0" r="640">
      <c r="A640" s="3" t="s">
        <f>=HYPERLINK("https://mp39851918.megaplan.ua/deals/84435/card/","13971")</f>
      </c>
      <c r="B640" s="3" t="inlineStr">
        <is>
          <t>114-5254640-4116254</t>
        </is>
      </c>
      <c r="C640" s="3" t="inlineStr">
        <is>
          <t>RockyMountain</t>
        </is>
      </c>
    </row>
    <row collapsed="false" customFormat="false" customHeight="false" hidden="false" ht="12.1" outlineLevel="0" r="641">
      <c r="A641" s="3" t="s">
        <f>=HYPERLINK("https://mp39851918.megaplan.ua/deals/84437/card/","13972")</f>
      </c>
      <c r="B641" s="3" t="inlineStr">
        <is>
          <t>114-7539163-2682630</t>
        </is>
      </c>
      <c r="C641" s="3" t="inlineStr">
        <is>
          <t>RockyMountainRetail</t>
        </is>
      </c>
    </row>
    <row collapsed="false" customFormat="false" customHeight="false" hidden="false" ht="12.1" outlineLevel="0" r="642">
      <c r="A642" s="3" t="s">
        <f>=HYPERLINK("https://mp39851918.megaplan.ua/deals/84445/card/","13973")</f>
      </c>
      <c r="B642" s="3" t="inlineStr">
        <is>
          <t>113-7972461-3122648</t>
        </is>
      </c>
      <c r="C642" s="3" t="inlineStr">
        <is>
          <t>Autodist</t>
        </is>
      </c>
    </row>
    <row collapsed="false" customFormat="false" customHeight="false" hidden="false" ht="12.1" outlineLevel="0" r="643">
      <c r="A643" s="3" t="s">
        <f>=HYPERLINK("https://mp39851918.megaplan.ua/deals/84449/card/","13974")</f>
      </c>
      <c r="B643" s="3" t="inlineStr">
        <is>
          <t>113-3240433-7836236</t>
        </is>
      </c>
      <c r="C643" s="3" t="inlineStr">
        <is>
          <t>RockyMountain</t>
        </is>
      </c>
    </row>
    <row collapsed="false" customFormat="false" customHeight="false" hidden="false" ht="12.1" outlineLevel="0" r="644">
      <c r="A644" s="3" t="s">
        <f>=HYPERLINK("https://mp39851918.megaplan.ua/deals/84457/card/","13976")</f>
      </c>
      <c r="B644" s="3" t="inlineStr">
        <is>
          <t>111-4599853-1646628</t>
        </is>
      </c>
      <c r="C644" s="3" t="inlineStr">
        <is>
          <t>RockyMountain</t>
        </is>
      </c>
    </row>
    <row collapsed="false" customFormat="false" customHeight="false" hidden="false" ht="12.1" outlineLevel="0" r="645">
      <c r="A645" s="3" t="s">
        <f>=HYPERLINK("https://mp39851918.megaplan.ua/deals/84461/card/","13977")</f>
      </c>
      <c r="B645" s="3" t="inlineStr">
        <is>
          <t>111-4937636-9013069</t>
        </is>
      </c>
      <c r="C645" s="3" t="inlineStr">
        <is>
          <t>Autodist</t>
        </is>
      </c>
    </row>
    <row collapsed="false" customFormat="false" customHeight="false" hidden="false" ht="12.1" outlineLevel="0" r="646">
      <c r="A646" s="3" t="s">
        <f>=HYPERLINK("https://mp39851918.megaplan.ua/deals/84466/card/","13978")</f>
      </c>
      <c r="B646" s="3" t="inlineStr">
        <is>
          <t>111-5793598-7029861</t>
        </is>
      </c>
      <c r="C646" s="3" t="inlineStr">
        <is>
          <t>Autodist</t>
        </is>
      </c>
    </row>
    <row collapsed="false" customFormat="false" customHeight="false" hidden="false" ht="12.1" outlineLevel="0" r="647">
      <c r="A647" s="3" t="s">
        <f>=HYPERLINK("https://mp39851918.megaplan.ua/deals/84470/card/","13980")</f>
      </c>
      <c r="B647" s="3" t="inlineStr">
        <is>
          <t>114-3395622-9069851</t>
        </is>
      </c>
      <c r="C647" s="3" t="inlineStr">
        <is>
          <t>PartsUnlimited</t>
        </is>
      </c>
    </row>
    <row collapsed="false" customFormat="false" customHeight="false" hidden="false" ht="12.1" outlineLevel="0" r="648">
      <c r="A648" s="3" t="s">
        <f>=HYPERLINK("https://mp39851918.megaplan.ua/deals/84490/card/","13982")</f>
      </c>
      <c r="B648" s="3" t="inlineStr">
        <is>
          <t>111-6296380-7124260</t>
        </is>
      </c>
      <c r="C648" s="3" t="inlineStr">
        <is>
          <t>Autodist</t>
        </is>
      </c>
    </row>
    <row collapsed="false" customFormat="false" customHeight="false" hidden="false" ht="12.1" outlineLevel="0" r="649">
      <c r="A649" s="3" t="s">
        <f>=HYPERLINK("https://mp39851918.megaplan.ua/deals/84494/card/","13983")</f>
      </c>
      <c r="B649" s="3" t="inlineStr">
        <is>
          <t>111-8943426-5937001</t>
        </is>
      </c>
      <c r="C649" s="3" t="inlineStr">
        <is>
          <t>RockyMountain</t>
        </is>
      </c>
    </row>
    <row collapsed="false" customFormat="false" customHeight="false" hidden="false" ht="12.1" outlineLevel="0" r="650">
      <c r="A650" s="3" t="s">
        <f>=HYPERLINK("https://mp39851918.megaplan.ua/deals/84495/card/","13984")</f>
      </c>
      <c r="B650" s="3" t="inlineStr">
        <is>
          <t>114-0593028-6056267</t>
        </is>
      </c>
      <c r="C650" s="3" t="inlineStr">
        <is>
          <t>Autodist</t>
        </is>
      </c>
    </row>
    <row collapsed="false" customFormat="false" customHeight="false" hidden="false" ht="12.1" outlineLevel="0" r="651">
      <c r="A651" s="3" t="s">
        <f>=HYPERLINK("https://mp39851918.megaplan.ua/deals/84496/card/","13985")</f>
      </c>
      <c r="B651" s="3" t="inlineStr">
        <is>
          <t>112-5633843-7333009</t>
        </is>
      </c>
      <c r="C651" s="3" t="inlineStr">
        <is>
          <t>RockyMountain</t>
        </is>
      </c>
    </row>
    <row collapsed="false" customFormat="false" customHeight="false" hidden="false" ht="12.1" outlineLevel="0" r="652">
      <c r="A652" s="3" t="s">
        <f>=HYPERLINK("https://mp39851918.megaplan.ua/deals/84497/card/","13986")</f>
      </c>
      <c r="B652" s="3" t="inlineStr">
        <is>
          <t>114-2519409-1160207</t>
        </is>
      </c>
      <c r="C652" s="3" t="inlineStr">
        <is>
          <t>RockyMountain</t>
        </is>
      </c>
    </row>
    <row collapsed="false" customFormat="false" customHeight="false" hidden="false" ht="12.1" outlineLevel="0" r="653">
      <c r="A653" s="3" t="s">
        <f>=HYPERLINK("https://mp39851918.megaplan.ua/deals/84499/card/","13987")</f>
      </c>
      <c r="B653" s="3" t="inlineStr">
        <is>
          <t>114-4008072-4605800</t>
        </is>
      </c>
      <c r="C653" s="3" t="inlineStr">
        <is>
          <t>RockyMountain</t>
        </is>
      </c>
    </row>
    <row collapsed="false" customFormat="false" customHeight="false" hidden="false" ht="12.1" outlineLevel="0" r="654">
      <c r="A654" s="3" t="s">
        <f>=HYPERLINK("https://mp39851918.megaplan.ua/deals/84505/card/","13988")</f>
      </c>
      <c r="B654" s="3" t="inlineStr">
        <is>
          <t>113-7842057-5601027</t>
        </is>
      </c>
      <c r="C654" s="3" t="inlineStr">
        <is>
          <t>RockyMountain</t>
        </is>
      </c>
    </row>
    <row collapsed="false" customFormat="false" customHeight="false" hidden="false" ht="12.1" outlineLevel="0" r="655">
      <c r="A655" s="3" t="s">
        <f>=HYPERLINK("https://mp39851918.megaplan.ua/deals/84517/card/","13990")</f>
      </c>
      <c r="B655" s="3" t="inlineStr">
        <is>
          <t>114-5983768-8632202</t>
        </is>
      </c>
      <c r="C655" s="3" t="inlineStr">
        <is>
          <t>RockyMountain</t>
        </is>
      </c>
    </row>
    <row collapsed="false" customFormat="false" customHeight="false" hidden="false" ht="12.1" outlineLevel="0" r="656">
      <c r="A656" s="3" t="s">
        <f>=HYPERLINK("https://mp39851918.megaplan.ua/deals/84518/card/","13991")</f>
      </c>
      <c r="B656" s="3" t="inlineStr">
        <is>
          <t>114-0435620-3949061</t>
        </is>
      </c>
      <c r="C656" s="3" t="inlineStr">
        <is>
          <t>PartsUnlimited</t>
        </is>
      </c>
    </row>
    <row collapsed="false" customFormat="false" customHeight="false" hidden="false" ht="12.1" outlineLevel="0" r="657">
      <c r="A657" s="3" t="s">
        <f>=HYPERLINK("https://mp39851918.megaplan.ua/deals/84523/card/","13992")</f>
      </c>
      <c r="B657" s="3" t="inlineStr">
        <is>
          <t>114-9870155-7112222</t>
        </is>
      </c>
      <c r="C657" s="3" t="inlineStr">
        <is>
          <t>RockyMountain</t>
        </is>
      </c>
    </row>
    <row collapsed="false" customFormat="false" customHeight="false" hidden="false" ht="12.1" outlineLevel="0" r="658">
      <c r="A658" s="3" t="s">
        <f>=HYPERLINK("https://mp39851918.megaplan.ua/deals/84524/card/","13993")</f>
      </c>
      <c r="B658" s="3" t="inlineStr">
        <is>
          <t>111-2095361-7950664</t>
        </is>
      </c>
      <c r="C658" s="3" t="inlineStr">
        <is>
          <t>RockyMountain</t>
        </is>
      </c>
    </row>
    <row collapsed="false" customFormat="false" customHeight="false" hidden="false" ht="12.1" outlineLevel="0" r="659">
      <c r="A659" s="3" t="s">
        <f>=HYPERLINK("https://mp39851918.megaplan.ua/deals/84548/card/","13997")</f>
      </c>
      <c r="B659" s="3" t="inlineStr">
        <is>
          <t>113-0459611-4568230</t>
        </is>
      </c>
      <c r="C659" s="3" t="inlineStr">
        <is>
          <t>RockyMountain</t>
        </is>
      </c>
    </row>
    <row collapsed="false" customFormat="false" customHeight="false" hidden="false" ht="12.1" outlineLevel="0" r="660">
      <c r="A660" s="3" t="s">
        <f>=HYPERLINK("https://mp39851918.megaplan.ua/deals/84550/card/","13998")</f>
      </c>
      <c r="B660" s="3" t="inlineStr">
        <is>
          <t>112-3637057-9275408</t>
        </is>
      </c>
      <c r="C660" s="3" t="inlineStr">
        <is>
          <t>PartsUnlimited</t>
        </is>
      </c>
    </row>
    <row collapsed="false" customFormat="false" customHeight="false" hidden="false" ht="12.1" outlineLevel="0" r="661">
      <c r="A661" s="3" t="s">
        <f>=HYPERLINK("https://mp39851918.megaplan.ua/deals/84553/card/","13999")</f>
      </c>
      <c r="B661" s="3" t="inlineStr">
        <is>
          <t>113-6527501-4411429</t>
        </is>
      </c>
      <c r="C661" s="3" t="inlineStr">
        <is>
          <t>RockyMountain</t>
        </is>
      </c>
    </row>
    <row collapsed="false" customFormat="false" customHeight="false" hidden="false" ht="12.1" outlineLevel="0" r="662">
      <c r="A662" s="3" t="s">
        <f>=HYPERLINK("https://mp39851918.megaplan.ua/deals/84574/card/","14000")</f>
      </c>
      <c r="B662" s="3" t="inlineStr">
        <is>
          <t>113-7132636-4944238</t>
        </is>
      </c>
      <c r="C662" s="3" t="inlineStr">
        <is>
          <t>PartsUnlimited</t>
        </is>
      </c>
    </row>
    <row collapsed="false" customFormat="false" customHeight="false" hidden="false" ht="12.1" outlineLevel="0" r="663">
      <c r="A663" s="3" t="s">
        <f>=HYPERLINK("https://mp39851918.megaplan.ua/deals/84575/card/","14001")</f>
      </c>
      <c r="B663" s="3" t="inlineStr">
        <is>
          <t>111-2527821-6316214</t>
        </is>
      </c>
      <c r="C663" s="3" t="inlineStr">
        <is>
          <t>RockyMountain</t>
        </is>
      </c>
    </row>
    <row collapsed="false" customFormat="false" customHeight="false" hidden="false" ht="12.1" outlineLevel="0" r="664">
      <c r="A664" s="3" t="s">
        <f>=HYPERLINK("https://mp39851918.megaplan.ua/deals/84580/card/","14003")</f>
      </c>
      <c r="B664" s="3" t="inlineStr">
        <is>
          <t>112-8341671-3158652</t>
        </is>
      </c>
      <c r="C664" s="3" t="inlineStr">
        <is>
          <t>PartsUnlimited</t>
        </is>
      </c>
    </row>
    <row collapsed="false" customFormat="false" customHeight="false" hidden="false" ht="12.1" outlineLevel="0" r="665">
      <c r="A665" s="3" t="s">
        <f>=HYPERLINK("https://mp39851918.megaplan.ua/deals/84593/card/","14004")</f>
      </c>
      <c r="B665" s="3" t="inlineStr">
        <is>
          <t>114-7997960-3824204</t>
        </is>
      </c>
      <c r="C665" s="3" t="inlineStr">
        <is>
          <t>RockyMountain</t>
        </is>
      </c>
    </row>
    <row collapsed="false" customFormat="false" customHeight="false" hidden="false" ht="12.1" outlineLevel="0" r="666">
      <c r="A666" s="3" t="s">
        <f>=HYPERLINK("https://mp39851918.megaplan.ua/deals/84595/card/","14005")</f>
      </c>
      <c r="B666" s="3" t="inlineStr">
        <is>
          <t>114-3300800-0117846</t>
        </is>
      </c>
      <c r="C666" s="3" t="inlineStr">
        <is>
          <t>PartsUnlimited</t>
        </is>
      </c>
    </row>
    <row collapsed="false" customFormat="false" customHeight="false" hidden="false" ht="12.1" outlineLevel="0" r="667">
      <c r="A667" s="3" t="s">
        <f>=HYPERLINK("https://mp39851918.megaplan.ua/deals/84604/card/","14006")</f>
      </c>
      <c r="B667" s="3" t="inlineStr">
        <is>
          <t>111-7421118-5888208</t>
        </is>
      </c>
      <c r="C667" s="3" t="inlineStr">
        <is>
          <t>RockyMountain</t>
        </is>
      </c>
    </row>
    <row collapsed="false" customFormat="false" customHeight="false" hidden="false" ht="12.1" outlineLevel="0" r="668">
      <c r="A668" s="3" t="s">
        <f>=HYPERLINK("https://mp39851918.megaplan.ua/deals/84605/card/","14007")</f>
      </c>
      <c r="B668" s="3" t="inlineStr">
        <is>
          <t>113-1434754-1436217</t>
        </is>
      </c>
      <c r="C668" s="3" t="inlineStr">
        <is>
          <t>PartsUnlimited</t>
        </is>
      </c>
    </row>
    <row collapsed="false" customFormat="false" customHeight="false" hidden="false" ht="12.1" outlineLevel="0" r="669">
      <c r="A669" s="3" t="s">
        <f>=HYPERLINK("https://mp39851918.megaplan.ua/deals/84618/card/","14008")</f>
      </c>
      <c r="B669" s="3" t="inlineStr">
        <is>
          <t>111-2043980-6417843</t>
        </is>
      </c>
      <c r="C669" s="3" t="inlineStr">
        <is>
          <t>RockyMountain</t>
        </is>
      </c>
    </row>
    <row collapsed="false" customFormat="false" customHeight="false" hidden="false" ht="12.1" outlineLevel="0" r="670">
      <c r="A670" s="3" t="s">
        <f>=HYPERLINK("https://mp39851918.megaplan.ua/deals/84645/card/","14009")</f>
      </c>
      <c r="B670" s="3" t="inlineStr">
        <is>
          <t>111-9099668-0328217</t>
        </is>
      </c>
      <c r="C670" s="3" t="inlineStr">
        <is>
          <t>RockyMountain</t>
        </is>
      </c>
    </row>
    <row collapsed="false" customFormat="false" customHeight="false" hidden="false" ht="12.1" outlineLevel="0" r="671">
      <c r="A671" s="3" t="s">
        <f>=HYPERLINK("https://mp39851918.megaplan.ua/deals/84661/card/","14011")</f>
      </c>
      <c r="B671" s="3" t="inlineStr">
        <is>
          <t>114-9978619-9747411</t>
        </is>
      </c>
      <c r="C671" s="3" t="inlineStr">
        <is>
          <t>Autodist</t>
        </is>
      </c>
    </row>
    <row collapsed="false" customFormat="false" customHeight="false" hidden="false" ht="12.1" outlineLevel="0" r="672">
      <c r="A672" s="3" t="s">
        <f>=HYPERLINK("https://mp39851918.megaplan.ua/deals/84676/card/","14012")</f>
      </c>
      <c r="B672" s="3" t="inlineStr">
        <is>
          <t>112-8209647-2618668</t>
        </is>
      </c>
      <c r="C672" s="3" t="inlineStr">
        <is>
          <t>RockyMountain</t>
        </is>
      </c>
    </row>
    <row collapsed="false" customFormat="false" customHeight="false" hidden="false" ht="12.1" outlineLevel="0" r="673">
      <c r="A673" s="3" t="s">
        <f>=HYPERLINK("https://mp39851918.megaplan.ua/deals/84679/card/","14013")</f>
      </c>
      <c r="B673" s="3" t="inlineStr">
        <is>
          <t>111-1445310-3338655</t>
        </is>
      </c>
      <c r="C673" s="3" t="inlineStr">
        <is>
          <t>PartsUnlimited</t>
        </is>
      </c>
    </row>
    <row collapsed="false" customFormat="false" customHeight="false" hidden="false" ht="12.1" outlineLevel="0" r="674">
      <c r="A674" s="3" t="s">
        <f>=HYPERLINK("https://mp39851918.megaplan.ua/deals/84688/card/","14014")</f>
      </c>
      <c r="B674" s="3" t="inlineStr">
        <is>
          <t>112-0104837-2132257</t>
        </is>
      </c>
      <c r="C674" s="3" t="inlineStr">
        <is>
          <t>RockyMountain</t>
        </is>
      </c>
    </row>
    <row collapsed="false" customFormat="false" customHeight="false" hidden="false" ht="12.1" outlineLevel="0" r="675">
      <c r="A675" s="3" t="s">
        <f>=HYPERLINK("https://mp39851918.megaplan.ua/deals/84718/card/","14016")</f>
      </c>
      <c r="B675" s="3" t="inlineStr">
        <is>
          <t>114-2672587-1020234</t>
        </is>
      </c>
      <c r="C675" s="3" t="inlineStr">
        <is>
          <t>RockyMountain</t>
        </is>
      </c>
    </row>
    <row collapsed="false" customFormat="false" customHeight="false" hidden="false" ht="12.1" outlineLevel="0" r="676">
      <c r="A676" s="3" t="s">
        <f>=HYPERLINK("https://mp39851918.megaplan.ua/deals/84719/card/","14017")</f>
      </c>
      <c r="B676" s="3" t="inlineStr">
        <is>
          <t>114-1943622-5375455</t>
        </is>
      </c>
      <c r="C676" s="3" t="inlineStr">
        <is>
          <t>PartsUnlimited</t>
        </is>
      </c>
    </row>
    <row collapsed="false" customFormat="false" customHeight="false" hidden="false" ht="12.1" outlineLevel="0" r="677">
      <c r="A677" s="3" t="s">
        <f>=HYPERLINK("https://mp39851918.megaplan.ua/deals/84725/card/","14018")</f>
      </c>
      <c r="B677" s="3" t="inlineStr">
        <is>
          <t>113-5640660-8252254</t>
        </is>
      </c>
      <c r="C677" s="3" t="inlineStr">
        <is>
          <t>RockyMountain</t>
        </is>
      </c>
    </row>
    <row collapsed="false" customFormat="false" customHeight="false" hidden="false" ht="12.1" outlineLevel="0" r="678">
      <c r="A678" s="3" t="s">
        <f>=HYPERLINK("https://mp39851918.megaplan.ua/deals/84736/card/","14019")</f>
      </c>
      <c r="B678" s="3" t="inlineStr">
        <is>
          <t>114-1682613-1766650</t>
        </is>
      </c>
      <c r="C678" s="3" t="inlineStr">
        <is>
          <t>RockyMountain</t>
        </is>
      </c>
    </row>
    <row collapsed="false" customFormat="false" customHeight="false" hidden="false" ht="12.1" outlineLevel="0" r="679">
      <c r="A679" s="3" t="s">
        <f>=HYPERLINK("https://mp39851918.megaplan.ua/deals/84737/card/","14020")</f>
      </c>
      <c r="B679" s="3" t="inlineStr">
        <is>
          <t>114-0787697-7607438</t>
        </is>
      </c>
      <c r="C679" s="3" t="inlineStr">
        <is>
          <t>RockyMountain</t>
        </is>
      </c>
    </row>
    <row collapsed="false" customFormat="false" customHeight="false" hidden="false" ht="12.1" outlineLevel="0" r="680">
      <c r="A680" s="3" t="s">
        <f>=HYPERLINK("https://mp39851918.megaplan.ua/deals/84739/card/","14021")</f>
      </c>
      <c r="B680" s="3" t="inlineStr">
        <is>
          <t>114-5690504-8082629</t>
        </is>
      </c>
      <c r="C680" s="3" t="inlineStr">
        <is>
          <t>RockyMountain</t>
        </is>
      </c>
    </row>
    <row collapsed="false" customFormat="false" customHeight="false" hidden="false" ht="12.1" outlineLevel="0" r="681">
      <c r="A681" s="3" t="s">
        <f>=HYPERLINK("https://mp39851918.megaplan.ua/deals/84740/card/","14022")</f>
      </c>
      <c r="B681" s="3" t="inlineStr">
        <is>
          <t>113-8530475-1786627</t>
        </is>
      </c>
      <c r="C681" s="3" t="inlineStr">
        <is>
          <t>RockyMountain</t>
        </is>
      </c>
    </row>
    <row collapsed="false" customFormat="false" customHeight="false" hidden="false" ht="12.1" outlineLevel="0" r="682">
      <c r="A682" s="3" t="s">
        <f>=HYPERLINK("https://mp39851918.megaplan.ua/deals/84741/card/","14023")</f>
      </c>
      <c r="B682" s="3" t="inlineStr">
        <is>
          <t>114-6400674-3036214</t>
        </is>
      </c>
      <c r="C682" s="3" t="inlineStr">
        <is>
          <t>PartsUnlimited</t>
        </is>
      </c>
    </row>
    <row collapsed="false" customFormat="false" customHeight="false" hidden="false" ht="12.1" outlineLevel="0" r="683">
      <c r="A683" s="3" t="s">
        <f>=HYPERLINK("https://mp39851918.megaplan.ua/deals/84742/card/","14024")</f>
      </c>
      <c r="B683" s="3" t="inlineStr">
        <is>
          <t>111-5359189-8591455</t>
        </is>
      </c>
      <c r="C683" s="3" t="inlineStr">
        <is>
          <t>PartsUnlimited</t>
        </is>
      </c>
    </row>
    <row collapsed="false" customFormat="false" customHeight="false" hidden="false" ht="12.1" outlineLevel="0" r="684">
      <c r="A684" s="3" t="s">
        <f>=HYPERLINK("https://mp39851918.megaplan.ua/deals/84745/card/","14025")</f>
      </c>
      <c r="B684" s="3" t="inlineStr">
        <is>
          <t>114-3916827-4174662</t>
        </is>
      </c>
      <c r="C684" s="3" t="inlineStr">
        <is>
          <t>Autodist</t>
        </is>
      </c>
    </row>
    <row collapsed="false" customFormat="false" customHeight="false" hidden="false" ht="12.1" outlineLevel="0" r="685">
      <c r="A685" s="3" t="s">
        <f>=HYPERLINK("https://mp39851918.megaplan.ua/deals/84746/card/","14026")</f>
      </c>
      <c r="B685" s="3" t="inlineStr">
        <is>
          <t>113-5740632-0143406</t>
        </is>
      </c>
      <c r="C685" s="3" t="inlineStr">
        <is>
          <t>PartsUnlimited</t>
        </is>
      </c>
    </row>
    <row collapsed="false" customFormat="false" customHeight="false" hidden="false" ht="12.1" outlineLevel="0" r="686">
      <c r="A686" s="3" t="s">
        <f>=HYPERLINK("https://mp39851918.megaplan.ua/deals/84748/card/","14027")</f>
      </c>
      <c r="B686" s="3" t="inlineStr">
        <is>
          <t>113-3536307-7062648</t>
        </is>
      </c>
      <c r="C686" s="3" t="inlineStr">
        <is>
          <t>RockyMountain</t>
        </is>
      </c>
    </row>
    <row collapsed="false" customFormat="false" customHeight="false" hidden="false" ht="12.1" outlineLevel="0" r="687">
      <c r="A687" s="3" t="s">
        <f>=HYPERLINK("https://mp39851918.megaplan.ua/deals/84749/card/","14028")</f>
      </c>
      <c r="B687" s="3" t="inlineStr">
        <is>
          <t>112-6487347-9948225</t>
        </is>
      </c>
      <c r="C687" s="3" t="inlineStr">
        <is>
          <t>RockyMountain</t>
        </is>
      </c>
    </row>
    <row collapsed="false" customFormat="false" customHeight="false" hidden="false" ht="12.1" outlineLevel="0" r="688">
      <c r="A688" s="3" t="s">
        <f>=HYPERLINK("https://mp39851918.megaplan.ua/deals/84753/card/","14029")</f>
      </c>
      <c r="B688" s="3" t="inlineStr">
        <is>
          <t>114-8780316-2339435</t>
        </is>
      </c>
      <c r="C688" s="3" t="inlineStr">
        <is>
          <t>RockyMountain</t>
        </is>
      </c>
    </row>
    <row collapsed="false" customFormat="false" customHeight="false" hidden="false" ht="12.1" outlineLevel="0" r="689">
      <c r="A689" s="3" t="s">
        <f>=HYPERLINK("https://mp39851918.megaplan.ua/deals/84758/card/","14030")</f>
      </c>
      <c r="B689" s="3" t="inlineStr">
        <is>
          <t>112-9021006-0808206</t>
        </is>
      </c>
      <c r="C689" s="3" t="inlineStr">
        <is>
          <t>RockyMountain</t>
        </is>
      </c>
    </row>
    <row collapsed="false" customFormat="false" customHeight="false" hidden="false" ht="12.1" outlineLevel="0" r="690">
      <c r="A690" s="3" t="s">
        <f>=HYPERLINK("https://mp39851918.megaplan.ua/deals/84765/card/","14032")</f>
      </c>
      <c r="B690" s="3" t="inlineStr">
        <is>
          <t>113-5468829-8731442</t>
        </is>
      </c>
      <c r="C690" s="3" t="inlineStr">
        <is>
          <t>Autodist</t>
        </is>
      </c>
    </row>
    <row collapsed="false" customFormat="false" customHeight="false" hidden="false" ht="12.1" outlineLevel="0" r="691">
      <c r="A691" s="3" t="s">
        <f>=HYPERLINK("https://mp39851918.megaplan.ua/deals/84768/card/","14033")</f>
      </c>
      <c r="B691" s="3" t="inlineStr">
        <is>
          <t>112-4080617-7809843</t>
        </is>
      </c>
      <c r="C691" s="3" t="inlineStr">
        <is>
          <t>RockyMountain</t>
        </is>
      </c>
    </row>
    <row collapsed="false" customFormat="false" customHeight="false" hidden="false" ht="12.1" outlineLevel="0" r="692">
      <c r="A692" s="3" t="s">
        <f>=HYPERLINK("https://mp39851918.megaplan.ua/deals/84776/card/","14036")</f>
      </c>
      <c r="B692" s="3" t="inlineStr">
        <is>
          <t>111-2177920-6285858</t>
        </is>
      </c>
      <c r="C692" s="3" t="inlineStr">
        <is>
          <t>RockyMountain</t>
        </is>
      </c>
    </row>
    <row collapsed="false" customFormat="false" customHeight="false" hidden="false" ht="12.1" outlineLevel="0" r="693">
      <c r="A693" s="3" t="s">
        <f>=HYPERLINK("https://mp39851918.megaplan.ua/deals/84798/card/","14037")</f>
      </c>
      <c r="B693" s="3" t="inlineStr">
        <is>
          <t>112-1465282-9777022</t>
        </is>
      </c>
      <c r="C693" s="3" t="inlineStr">
        <is>
          <t>RockyMountain</t>
        </is>
      </c>
    </row>
    <row collapsed="false" customFormat="false" customHeight="false" hidden="false" ht="12.1" outlineLevel="0" r="694">
      <c r="A694" s="3" t="s">
        <f>=HYPERLINK("https://mp39851918.megaplan.ua/deals/84800/card/","14038")</f>
      </c>
      <c r="B694" s="3" t="inlineStr">
        <is>
          <t>114-9716884-3136257</t>
        </is>
      </c>
      <c r="C694" s="3" t="inlineStr">
        <is>
          <t>RockyMountain</t>
        </is>
      </c>
    </row>
    <row collapsed="false" customFormat="false" customHeight="false" hidden="false" ht="12.1" outlineLevel="0" r="695">
      <c r="A695" s="3" t="s">
        <f>=HYPERLINK("https://mp39851918.megaplan.ua/deals/84811/card/","14039")</f>
      </c>
      <c r="B695" s="3" t="inlineStr">
        <is>
          <t>113-5791274-8156218</t>
        </is>
      </c>
      <c r="C695" s="3" t="inlineStr">
        <is>
          <t>RockyMountain</t>
        </is>
      </c>
    </row>
    <row collapsed="false" customFormat="false" customHeight="false" hidden="false" ht="12.1" outlineLevel="0" r="696">
      <c r="A696" s="3" t="s">
        <f>=HYPERLINK("https://mp39851918.megaplan.ua/deals/84833/card/","14041")</f>
      </c>
      <c r="B696" s="3" t="inlineStr">
        <is>
          <t>113-2786556-6481019</t>
        </is>
      </c>
      <c r="C696" s="3" t="inlineStr">
        <is>
          <t>RockyMountain</t>
        </is>
      </c>
    </row>
    <row collapsed="false" customFormat="false" customHeight="false" hidden="false" ht="12.1" outlineLevel="0" r="697">
      <c r="A697" s="3" t="s">
        <f>=HYPERLINK("https://mp39851918.megaplan.ua/deals/84836/card/","14042")</f>
      </c>
      <c r="B697" s="3" t="inlineStr">
        <is>
          <t>111-9949828-1715441</t>
        </is>
      </c>
      <c r="C697" s="3" t="inlineStr">
        <is>
          <t>RockyMountain</t>
        </is>
      </c>
    </row>
    <row collapsed="false" customFormat="false" customHeight="false" hidden="false" ht="12.1" outlineLevel="0" r="698">
      <c r="A698" s="3" t="s">
        <f>=HYPERLINK("https://mp39851918.megaplan.ua/deals/84837/card/","14043")</f>
      </c>
      <c r="B698" s="3" t="inlineStr">
        <is>
          <t>112-4166980-2344202</t>
        </is>
      </c>
      <c r="C698" s="3" t="inlineStr">
        <is>
          <t>RockyMountain</t>
        </is>
      </c>
    </row>
    <row collapsed="false" customFormat="false" customHeight="false" hidden="false" ht="12.1" outlineLevel="0" r="699">
      <c r="A699" s="3" t="s">
        <f>=HYPERLINK("https://mp39851918.megaplan.ua/deals/84838/card/","14044")</f>
      </c>
      <c r="B699" s="3" t="inlineStr">
        <is>
          <t>113-5454491-3613863</t>
        </is>
      </c>
      <c r="C699" s="3" t="inlineStr">
        <is>
          <t>PartsUnlimited</t>
        </is>
      </c>
    </row>
    <row collapsed="false" customFormat="false" customHeight="false" hidden="false" ht="12.1" outlineLevel="0" r="700">
      <c r="A700" s="3" t="s">
        <f>=HYPERLINK("https://mp39851918.megaplan.ua/deals/84854/card/","14045")</f>
      </c>
      <c r="B700" s="3" t="inlineStr">
        <is>
          <t>112-6420930-8821815</t>
        </is>
      </c>
      <c r="C700" s="3" t="inlineStr">
        <is>
          <t>RockyMountain</t>
        </is>
      </c>
    </row>
    <row collapsed="false" customFormat="false" customHeight="false" hidden="false" ht="12.1" outlineLevel="0" r="701">
      <c r="A701" s="3" t="s">
        <f>=HYPERLINK("https://mp39851918.megaplan.ua/deals/84856/card/","14046")</f>
      </c>
      <c r="B701" s="3" t="inlineStr">
        <is>
          <t>112-6714467-6741825</t>
        </is>
      </c>
      <c r="C701" s="3" t="inlineStr">
        <is>
          <t>RockyMountain</t>
        </is>
      </c>
    </row>
    <row collapsed="false" customFormat="false" customHeight="false" hidden="false" ht="12.1" outlineLevel="0" r="702">
      <c r="A702" s="3" t="s">
        <f>=HYPERLINK("https://mp39851918.megaplan.ua/deals/84872/card/","14048")</f>
      </c>
      <c r="B702" s="3" t="inlineStr">
        <is>
          <t>114-2825835-9011400</t>
        </is>
      </c>
      <c r="C702" s="3" t="inlineStr">
        <is>
          <t>RockyMountain</t>
        </is>
      </c>
    </row>
    <row collapsed="false" customFormat="false" customHeight="false" hidden="false" ht="12.1" outlineLevel="0" r="703">
      <c r="A703" s="3" t="s">
        <f>=HYPERLINK("https://mp39851918.megaplan.ua/deals/84889/card/","14049")</f>
      </c>
      <c r="B703" s="3" t="inlineStr">
        <is>
          <t>112-5774472-7265852</t>
        </is>
      </c>
      <c r="C703" s="3" t="inlineStr">
        <is>
          <t>RockyMountain</t>
        </is>
      </c>
    </row>
    <row collapsed="false" customFormat="false" customHeight="false" hidden="false" ht="12.1" outlineLevel="0" r="704">
      <c r="A704" s="3" t="s">
        <f>=HYPERLINK("https://mp39851918.megaplan.ua/deals/84904/card/","14050")</f>
      </c>
      <c r="B704" s="3" t="inlineStr">
        <is>
          <t>111-0055021-8381856</t>
        </is>
      </c>
      <c r="C704" s="3" t="inlineStr">
        <is>
          <t>RockyMountain</t>
        </is>
      </c>
    </row>
    <row collapsed="false" customFormat="false" customHeight="false" hidden="false" ht="12.1" outlineLevel="0" r="705">
      <c r="A705" s="3" t="s">
        <f>=HYPERLINK("https://mp39851918.megaplan.ua/deals/84905/card/","14051")</f>
      </c>
      <c r="B705" s="3" t="inlineStr">
        <is>
          <t>112-5638904-6476252</t>
        </is>
      </c>
      <c r="C705" s="3" t="inlineStr">
        <is>
          <t>RockyMountain</t>
        </is>
      </c>
    </row>
    <row collapsed="false" customFormat="false" customHeight="false" hidden="false" ht="12.1" outlineLevel="0" r="706">
      <c r="A706" s="3" t="s">
        <f>=HYPERLINK("https://mp39851918.megaplan.ua/deals/84920/card/","14056")</f>
      </c>
      <c r="B706" s="3" t="inlineStr">
        <is>
          <t>111-9433552-0269823</t>
        </is>
      </c>
      <c r="C706" s="3" t="inlineStr">
        <is>
          <t>RockyMountain</t>
        </is>
      </c>
    </row>
    <row collapsed="false" customFormat="false" customHeight="false" hidden="false" ht="12.1" outlineLevel="0" r="707">
      <c r="A707" s="3" t="s">
        <f>=HYPERLINK("https://mp39851918.megaplan.ua/deals/84923/card/","14057")</f>
      </c>
      <c r="B707" s="3" t="inlineStr">
        <is>
          <t>112-2855737-2517013</t>
        </is>
      </c>
      <c r="C707" s="3" t="inlineStr">
        <is>
          <t>RockyMountain</t>
        </is>
      </c>
    </row>
    <row collapsed="false" customFormat="false" customHeight="false" hidden="false" ht="12.1" outlineLevel="0" r="708">
      <c r="A708" s="3" t="s">
        <f>=HYPERLINK("https://mp39851918.megaplan.ua/deals/84939/card/","14060")</f>
      </c>
      <c r="B708" s="3" t="inlineStr">
        <is>
          <t>111-8794589-2634664</t>
        </is>
      </c>
      <c r="C708" s="3" t="inlineStr">
        <is>
          <t>Autodist</t>
        </is>
      </c>
    </row>
    <row collapsed="false" customFormat="false" customHeight="false" hidden="false" ht="12.1" outlineLevel="0" r="709">
      <c r="A709" s="3" t="s">
        <f>=HYPERLINK("https://mp39851918.megaplan.ua/deals/84941/card/","14061")</f>
      </c>
      <c r="B709" s="3" t="inlineStr">
        <is>
          <t>114-2691189-0377067</t>
        </is>
      </c>
      <c r="C709" s="3" t="inlineStr">
        <is>
          <t>RockyMountain</t>
        </is>
      </c>
    </row>
    <row collapsed="false" customFormat="false" customHeight="false" hidden="false" ht="12.1" outlineLevel="0" r="710">
      <c r="A710" s="3" t="s">
        <f>=HYPERLINK("https://mp39851918.megaplan.ua/deals/84949/card/","14062")</f>
      </c>
      <c r="B710" s="3" t="inlineStr">
        <is>
          <t>111-2925998-6970611</t>
        </is>
      </c>
      <c r="C710" s="3" t="inlineStr">
        <is>
          <t>PartsUnlimited</t>
        </is>
      </c>
    </row>
    <row collapsed="false" customFormat="false" customHeight="false" hidden="false" ht="12.1" outlineLevel="0" r="711">
      <c r="A711" s="3" t="s">
        <f>=HYPERLINK("https://mp39851918.megaplan.ua/deals/84950/card/","14063")</f>
      </c>
      <c r="B711" s="3" t="inlineStr">
        <is>
          <t>111-4187074-0162607</t>
        </is>
      </c>
      <c r="C711" s="3" t="inlineStr">
        <is>
          <t>RockyMountain</t>
        </is>
      </c>
    </row>
    <row collapsed="false" customFormat="false" customHeight="false" hidden="false" ht="12.1" outlineLevel="0" r="712">
      <c r="A712" s="3" t="s">
        <f>=HYPERLINK("https://mp39851918.megaplan.ua/deals/84953/card/","14064")</f>
      </c>
      <c r="B712" s="3" t="inlineStr">
        <is>
          <t>113-5558342-6577027</t>
        </is>
      </c>
      <c r="C712" s="3" t="inlineStr">
        <is>
          <t>RockyMountain</t>
        </is>
      </c>
    </row>
    <row collapsed="false" customFormat="false" customHeight="false" hidden="false" ht="12.1" outlineLevel="0" r="713">
      <c r="A713" s="3" t="s">
        <f>=HYPERLINK("https://mp39851918.megaplan.ua/deals/84957/card/","14065")</f>
      </c>
      <c r="B713" s="3" t="inlineStr">
        <is>
          <t>112-2466400-7313816</t>
        </is>
      </c>
      <c r="C713" s="3" t="inlineStr">
        <is>
          <t>RockyMountain</t>
        </is>
      </c>
    </row>
    <row collapsed="false" customFormat="false" customHeight="false" hidden="false" ht="12.1" outlineLevel="0" r="714">
      <c r="A714" s="3" t="s">
        <f>=HYPERLINK("https://mp39851918.megaplan.ua/deals/84961/card/","14066")</f>
      </c>
      <c r="B714" s="3" t="inlineStr">
        <is>
          <t>113-7955611-0540228</t>
        </is>
      </c>
      <c r="C714" s="3" t="inlineStr">
        <is>
          <t>RockyMountain</t>
        </is>
      </c>
    </row>
    <row collapsed="false" customFormat="false" customHeight="false" hidden="false" ht="12.1" outlineLevel="0" r="715">
      <c r="A715" s="3" t="s">
        <f>=HYPERLINK("https://mp39851918.megaplan.ua/deals/84972/card/","14067")</f>
      </c>
      <c r="B715" s="3" t="inlineStr">
        <is>
          <t>111-6352567-5734633</t>
        </is>
      </c>
      <c r="C715" s="3" t="inlineStr">
        <is>
          <t>RockyMountain</t>
        </is>
      </c>
    </row>
    <row collapsed="false" customFormat="false" customHeight="false" hidden="false" ht="12.1" outlineLevel="0" r="716">
      <c r="A716" s="3" t="s">
        <f>=HYPERLINK("https://mp39851918.megaplan.ua/deals/84973/card/","14068")</f>
      </c>
      <c r="B716" s="3" t="inlineStr">
        <is>
          <t>111-8577414-0173021</t>
        </is>
      </c>
      <c r="C716" s="3" t="inlineStr">
        <is>
          <t>RockyMountain</t>
        </is>
      </c>
    </row>
    <row collapsed="false" customFormat="false" customHeight="false" hidden="false" ht="12.1" outlineLevel="0" r="717">
      <c r="A717" s="3" t="s">
        <f>=HYPERLINK("https://mp39851918.megaplan.ua/deals/84974/card/","14069")</f>
      </c>
      <c r="B717" s="3" t="inlineStr">
        <is>
          <t>111-9664048-6721820</t>
        </is>
      </c>
      <c r="C717" s="3" t="inlineStr">
        <is>
          <t>RockyMountain</t>
        </is>
      </c>
    </row>
    <row collapsed="false" customFormat="false" customHeight="false" hidden="false" ht="12.1" outlineLevel="0" r="718">
      <c r="A718" s="3" t="s">
        <f>=HYPERLINK("https://mp39851918.megaplan.ua/deals/84985/card/","14070")</f>
      </c>
      <c r="B718" s="3" t="inlineStr">
        <is>
          <t>111-0458409-2523440</t>
        </is>
      </c>
      <c r="C718" s="3" t="inlineStr">
        <is>
          <t>Autodist</t>
        </is>
      </c>
    </row>
    <row collapsed="false" customFormat="false" customHeight="false" hidden="false" ht="12.1" outlineLevel="0" r="719">
      <c r="A719" s="3" t="s">
        <f>=HYPERLINK("https://mp39851918.megaplan.ua/deals/84987/card/","14071")</f>
      </c>
      <c r="B719" s="3" t="inlineStr">
        <is>
          <t>112-4943055-9459433</t>
        </is>
      </c>
      <c r="C719" s="3" t="inlineStr">
        <is>
          <t>RockyMountain</t>
        </is>
      </c>
    </row>
    <row collapsed="false" customFormat="false" customHeight="false" hidden="false" ht="12.1" outlineLevel="0" r="720">
      <c r="A720" s="3" t="s">
        <f>=HYPERLINK("https://mp39851918.megaplan.ua/deals/84991/card/","14072")</f>
      </c>
      <c r="B720" s="3" t="inlineStr">
        <is>
          <t>111-8813397-2809019</t>
        </is>
      </c>
      <c r="C720" s="3" t="inlineStr">
        <is>
          <t>RockyMountain</t>
        </is>
      </c>
    </row>
    <row collapsed="false" customFormat="false" customHeight="false" hidden="false" ht="12.1" outlineLevel="0" r="721">
      <c r="A721" s="3" t="s">
        <f>=HYPERLINK("https://mp39851918.megaplan.ua/deals/84996/card/","14073")</f>
      </c>
      <c r="B721" s="3" t="inlineStr">
        <is>
          <t>111-9564870-4491451</t>
        </is>
      </c>
      <c r="C721" s="3" t="inlineStr">
        <is>
          <t>PartsUnlimited</t>
        </is>
      </c>
    </row>
    <row collapsed="false" customFormat="false" customHeight="false" hidden="false" ht="12.1" outlineLevel="0" r="722">
      <c r="A722" s="3" t="s">
        <f>=HYPERLINK("https://mp39851918.megaplan.ua/deals/84997/card/","14074")</f>
      </c>
      <c r="B722" s="3" t="inlineStr">
        <is>
          <t>114-0791986-3225835</t>
        </is>
      </c>
      <c r="C722" s="3" t="inlineStr">
        <is>
          <t>RockyMountain</t>
        </is>
      </c>
    </row>
    <row collapsed="false" customFormat="false" customHeight="false" hidden="false" ht="12.1" outlineLevel="0" r="723">
      <c r="A723" s="3" t="s">
        <f>=HYPERLINK("https://mp39851918.megaplan.ua/deals/85005/card/","14075")</f>
      </c>
      <c r="B723" s="3" t="inlineStr">
        <is>
          <t>112-8219692-1729044</t>
        </is>
      </c>
      <c r="C723" s="3" t="inlineStr">
        <is>
          <t>Autodist</t>
        </is>
      </c>
    </row>
    <row collapsed="false" customFormat="false" customHeight="false" hidden="false" ht="12.1" outlineLevel="0" r="724">
      <c r="A724" s="3" t="s">
        <f>=HYPERLINK("https://mp39851918.megaplan.ua/deals/85018/card/","14076")</f>
      </c>
      <c r="B724" s="3" t="inlineStr">
        <is>
          <t>113-9217922-2555437</t>
        </is>
      </c>
      <c r="C724" s="3" t="inlineStr">
        <is>
          <t>PartsUnlimited</t>
        </is>
      </c>
    </row>
    <row collapsed="false" customFormat="false" customHeight="false" hidden="false" ht="12.1" outlineLevel="0" r="725">
      <c r="A725" s="3" t="s">
        <f>=HYPERLINK("https://mp39851918.megaplan.ua/deals/85021/card/","14077")</f>
      </c>
      <c r="B725" s="3" t="inlineStr">
        <is>
          <t>112-0046449-4730626</t>
        </is>
      </c>
      <c r="C725" s="3" t="inlineStr">
        <is>
          <t>RockyMountain</t>
        </is>
      </c>
    </row>
    <row collapsed="false" customFormat="false" customHeight="false" hidden="false" ht="12.1" outlineLevel="0" r="726">
      <c r="A726" s="3" t="s">
        <f>=HYPERLINK("https://mp39851918.megaplan.ua/deals/85024/card/","14078")</f>
      </c>
      <c r="B726" s="3" t="inlineStr">
        <is>
          <t>114-5336761-1191449</t>
        </is>
      </c>
      <c r="C726" s="3" t="inlineStr">
        <is>
          <t>PartsUnlimited</t>
        </is>
      </c>
    </row>
    <row collapsed="false" customFormat="false" customHeight="false" hidden="false" ht="12.1" outlineLevel="0" r="727">
      <c r="A727" s="3" t="s">
        <f>=HYPERLINK("https://mp39851918.megaplan.ua/deals/85031/card/","14080")</f>
      </c>
      <c r="B727" s="3" t="inlineStr">
        <is>
          <t>111-4259097-7570624</t>
        </is>
      </c>
      <c r="C727" s="3" t="inlineStr">
        <is>
          <t>RockyMountain</t>
        </is>
      </c>
    </row>
    <row collapsed="false" customFormat="false" customHeight="false" hidden="false" ht="12.1" outlineLevel="0" r="728">
      <c r="A728" s="3" t="s">
        <f>=HYPERLINK("https://mp39851918.megaplan.ua/deals/85048/card/","14083")</f>
      </c>
      <c r="B728" s="3" t="inlineStr">
        <is>
          <t>113-7756197-9782657</t>
        </is>
      </c>
      <c r="C728" s="3" t="inlineStr">
        <is>
          <t>Autodist</t>
        </is>
      </c>
    </row>
    <row collapsed="false" customFormat="false" customHeight="false" hidden="false" ht="12.1" outlineLevel="0" r="729">
      <c r="A729" s="3" t="s">
        <f>=HYPERLINK("https://mp39851918.megaplan.ua/deals/85052/card/","14084")</f>
      </c>
      <c r="B729" s="3" t="inlineStr">
        <is>
          <t>114-8758568-7281002</t>
        </is>
      </c>
      <c r="C729" s="3" t="inlineStr">
        <is>
          <t>RockyMountain</t>
        </is>
      </c>
    </row>
    <row collapsed="false" customFormat="false" customHeight="false" hidden="false" ht="12.1" outlineLevel="0" r="730">
      <c r="A730" s="3" t="s">
        <f>=HYPERLINK("https://mp39851918.megaplan.ua/deals/85063/card/","14085")</f>
      </c>
      <c r="B730" s="3" t="inlineStr">
        <is>
          <t>111-8014169-7419450</t>
        </is>
      </c>
      <c r="C730" s="3" t="inlineStr">
        <is>
          <t>RockyMountain</t>
        </is>
      </c>
    </row>
    <row collapsed="false" customFormat="false" customHeight="false" hidden="false" ht="12.1" outlineLevel="0" r="731">
      <c r="A731" s="3" t="s">
        <f>=HYPERLINK("https://mp39851918.megaplan.ua/deals/85064/card/","14086")</f>
      </c>
      <c r="B731" s="3" t="inlineStr">
        <is>
          <t>112-3398802-5421062</t>
        </is>
      </c>
      <c r="C731" s="3" t="inlineStr">
        <is>
          <t>PartsUnlimited</t>
        </is>
      </c>
    </row>
    <row collapsed="false" customFormat="false" customHeight="false" hidden="false" ht="12.1" outlineLevel="0" r="732">
      <c r="A732" s="3" t="s">
        <f>=HYPERLINK("https://mp39851918.megaplan.ua/deals/85065/card/","14087")</f>
      </c>
      <c r="B732" s="3" t="inlineStr">
        <is>
          <t>114-4605253-3564213</t>
        </is>
      </c>
      <c r="C732" s="3" t="inlineStr">
        <is>
          <t>PartsUnlimited</t>
        </is>
      </c>
    </row>
    <row collapsed="false" customFormat="false" customHeight="false" hidden="false" ht="12.1" outlineLevel="0" r="733">
      <c r="A733" s="3" t="s">
        <f>=HYPERLINK("https://mp39851918.megaplan.ua/deals/85067/card/","14088")</f>
      </c>
      <c r="B733" s="3" t="inlineStr">
        <is>
          <t>113-7294653-9743422</t>
        </is>
      </c>
      <c r="C733" s="3" t="inlineStr">
        <is>
          <t>Autodist</t>
        </is>
      </c>
    </row>
    <row collapsed="false" customFormat="false" customHeight="false" hidden="false" ht="12.1" outlineLevel="0" r="734">
      <c r="A734" s="3" t="s">
        <f>=HYPERLINK("https://mp39851918.megaplan.ua/deals/85074/card/","14089")</f>
      </c>
      <c r="B734" s="3" t="inlineStr">
        <is>
          <t>112-2738768-8363461</t>
        </is>
      </c>
      <c r="C734" s="3" t="inlineStr">
        <is>
          <t>Autodist</t>
        </is>
      </c>
    </row>
    <row collapsed="false" customFormat="false" customHeight="false" hidden="false" ht="12.1" outlineLevel="0" r="735">
      <c r="A735" s="3" t="s">
        <f>=HYPERLINK("https://mp39851918.megaplan.ua/deals/85081/card/","14090")</f>
      </c>
      <c r="B735" s="3" t="inlineStr">
        <is>
          <t>112-7239038-9075429</t>
        </is>
      </c>
      <c r="C735" s="3" t="inlineStr">
        <is>
          <t>RockyMountain</t>
        </is>
      </c>
    </row>
    <row collapsed="false" customFormat="false" customHeight="false" hidden="false" ht="12.1" outlineLevel="0" r="736">
      <c r="A736" s="3" t="s">
        <f>=HYPERLINK("https://mp39851918.megaplan.ua/deals/85092/card/","14093")</f>
      </c>
      <c r="B736" s="3" t="inlineStr">
        <is>
          <t>112-6359165-8541014</t>
        </is>
      </c>
      <c r="C736" s="3" t="inlineStr">
        <is>
          <t>RockyMountain</t>
        </is>
      </c>
    </row>
    <row collapsed="false" customFormat="false" customHeight="false" hidden="false" ht="12.1" outlineLevel="0" r="737">
      <c r="A737" s="3" t="s">
        <f>=HYPERLINK("https://mp39851918.megaplan.ua/deals/85100/card/","14095")</f>
      </c>
      <c r="B737" s="3" t="inlineStr">
        <is>
          <t>114-1321391-7005869</t>
        </is>
      </c>
      <c r="C737" s="3" t="inlineStr">
        <is>
          <t>RockyMountain</t>
        </is>
      </c>
    </row>
    <row collapsed="false" customFormat="false" customHeight="false" hidden="false" ht="12.1" outlineLevel="0" r="738">
      <c r="A738" s="3" t="s">
        <f>=HYPERLINK("https://mp39851918.megaplan.ua/deals/85101/card/","14096")</f>
      </c>
      <c r="B738" s="3" t="inlineStr">
        <is>
          <t>112-0094670-8658649</t>
        </is>
      </c>
      <c r="C738" s="3" t="inlineStr">
        <is>
          <t>Autodist</t>
        </is>
      </c>
    </row>
    <row collapsed="false" customFormat="false" customHeight="false" hidden="false" ht="12.1" outlineLevel="0" r="739">
      <c r="A739" s="3" t="s">
        <f>=HYPERLINK("https://mp39851918.megaplan.ua/deals/85104/card/","14097")</f>
      </c>
      <c r="B739" s="3" t="inlineStr">
        <is>
          <t>114-2138692-1937862</t>
        </is>
      </c>
      <c r="C739" s="3" t="inlineStr">
        <is>
          <t>PartsUnlimited</t>
        </is>
      </c>
    </row>
    <row collapsed="false" customFormat="false" customHeight="false" hidden="false" ht="12.1" outlineLevel="0" r="740">
      <c r="A740" s="3" t="s">
        <f>=HYPERLINK("https://mp39851918.megaplan.ua/deals/85108/card/","14098")</f>
      </c>
      <c r="B740" s="3" t="inlineStr">
        <is>
          <t>111-3293136-9069008</t>
        </is>
      </c>
      <c r="C740" s="3" t="inlineStr">
        <is>
          <t>RockyMountain</t>
        </is>
      </c>
    </row>
    <row collapsed="false" customFormat="false" customHeight="false" hidden="false" ht="12.1" outlineLevel="0" r="741">
      <c r="A741" s="3" t="s">
        <f>=HYPERLINK("https://mp39851918.megaplan.ua/deals/85109/card/","14099")</f>
      </c>
      <c r="B741" s="3" t="inlineStr">
        <is>
          <t>111-4421436-2232206</t>
        </is>
      </c>
      <c r="C741" s="3" t="inlineStr">
        <is>
          <t>RockyMountain</t>
        </is>
      </c>
    </row>
    <row collapsed="false" customFormat="false" customHeight="false" hidden="false" ht="12.1" outlineLevel="0" r="742">
      <c r="A742" s="3" t="s">
        <f>=HYPERLINK("https://mp39851918.megaplan.ua/deals/85111/card/","14100")</f>
      </c>
      <c r="B742" s="3" t="inlineStr">
        <is>
          <t>112-8103341-1137859</t>
        </is>
      </c>
      <c r="C742" s="3" t="inlineStr">
        <is>
          <t>RockyMountain</t>
        </is>
      </c>
    </row>
    <row collapsed="false" customFormat="false" customHeight="false" hidden="false" ht="12.1" outlineLevel="0" r="743">
      <c r="A743" s="3" t="s">
        <f>=HYPERLINK("https://mp39851918.megaplan.ua/deals/85113/card/","14101")</f>
      </c>
      <c r="B743" s="3" t="inlineStr">
        <is>
          <t>114-1246716-7427458</t>
        </is>
      </c>
      <c r="C743" s="3" t="inlineStr">
        <is>
          <t>Autodist</t>
        </is>
      </c>
    </row>
    <row collapsed="false" customFormat="false" customHeight="false" hidden="false" ht="12.1" outlineLevel="0" r="744">
      <c r="A744" s="3" t="s">
        <f>=HYPERLINK("https://mp39851918.megaplan.ua/deals/85114/card/","14102")</f>
      </c>
      <c r="B744" s="3" t="inlineStr">
        <is>
          <t>113-4679356-3250607</t>
        </is>
      </c>
      <c r="C744" s="3" t="inlineStr">
        <is>
          <t>Autodist</t>
        </is>
      </c>
    </row>
    <row collapsed="false" customFormat="false" customHeight="false" hidden="false" ht="12.1" outlineLevel="0" r="745">
      <c r="A745" s="3" t="s">
        <f>=HYPERLINK("https://mp39851918.megaplan.ua/deals/85124/card/","14103")</f>
      </c>
      <c r="B745" s="3" t="inlineStr">
        <is>
          <t>113-7953069-6849842</t>
        </is>
      </c>
      <c r="C745" s="3" t="inlineStr">
        <is>
          <t>RockyMountain</t>
        </is>
      </c>
    </row>
    <row collapsed="false" customFormat="false" customHeight="false" hidden="false" ht="12.1" outlineLevel="0" r="746">
      <c r="A746" s="3" t="s">
        <f>=HYPERLINK("https://mp39851918.megaplan.ua/deals/85126/card/","14104")</f>
      </c>
      <c r="B746" s="3" t="inlineStr">
        <is>
          <t>113-6921664-0381036</t>
        </is>
      </c>
      <c r="C746" s="3" t="inlineStr">
        <is>
          <t>RockyMountain</t>
        </is>
      </c>
    </row>
    <row collapsed="false" customFormat="false" customHeight="false" hidden="false" ht="12.1" outlineLevel="0" r="747">
      <c r="A747" s="3" t="s">
        <f>=HYPERLINK("https://mp39851918.megaplan.ua/deals/85135/card/","14105")</f>
      </c>
      <c r="B747" s="3" t="inlineStr">
        <is>
          <t>114-8695959-6998642</t>
        </is>
      </c>
      <c r="C747" s="3" t="inlineStr">
        <is>
          <t>RockyMountain</t>
        </is>
      </c>
    </row>
    <row collapsed="false" customFormat="false" customHeight="false" hidden="false" ht="12.1" outlineLevel="0" r="748">
      <c r="A748" s="3" t="s">
        <f>=HYPERLINK("https://mp39851918.megaplan.ua/deals/85152/card/","14106")</f>
      </c>
      <c r="B748" s="3" t="inlineStr">
        <is>
          <t>112-7816002-7901003</t>
        </is>
      </c>
      <c r="C748" s="3" t="inlineStr">
        <is>
          <t>RockyMountain</t>
        </is>
      </c>
    </row>
    <row collapsed="false" customFormat="false" customHeight="false" hidden="false" ht="12.1" outlineLevel="0" r="749">
      <c r="A749" s="3" t="s">
        <f>=HYPERLINK("https://mp39851918.megaplan.ua/deals/85153/card/","14107")</f>
      </c>
      <c r="B749" s="3" t="inlineStr">
        <is>
          <t>112-3726202-5755409</t>
        </is>
      </c>
      <c r="C749" s="3" t="inlineStr">
        <is>
          <t>RockyMountain</t>
        </is>
      </c>
    </row>
    <row collapsed="false" customFormat="false" customHeight="false" hidden="false" ht="12.1" outlineLevel="0" r="750">
      <c r="A750" s="3" t="s">
        <f>=HYPERLINK("https://mp39851918.megaplan.ua/deals/85160/card/","14108")</f>
      </c>
      <c r="B750" s="3" t="inlineStr">
        <is>
          <t>111-6135201-2983459</t>
        </is>
      </c>
      <c r="C750" s="3" t="inlineStr">
        <is>
          <t>PartsUnlimited</t>
        </is>
      </c>
    </row>
    <row collapsed="false" customFormat="false" customHeight="false" hidden="false" ht="12.1" outlineLevel="0" r="751">
      <c r="A751" s="3" t="s">
        <f>=HYPERLINK("https://mp39851918.megaplan.ua/deals/85161/card/","14109")</f>
      </c>
      <c r="B751" s="3" t="inlineStr">
        <is>
          <t>114-1664745-4290667</t>
        </is>
      </c>
      <c r="C751" s="3" t="inlineStr">
        <is>
          <t>Autodist</t>
        </is>
      </c>
    </row>
    <row collapsed="false" customFormat="false" customHeight="false" hidden="false" ht="12.1" outlineLevel="0" r="752">
      <c r="A752" s="3" t="s">
        <f>=HYPERLINK("https://mp39851918.megaplan.ua/deals/85184/card/","14111")</f>
      </c>
      <c r="B752" s="3" t="inlineStr">
        <is>
          <t>114-6579700-1371418</t>
        </is>
      </c>
      <c r="C752" s="3" t="inlineStr">
        <is>
          <t>RockyMountain</t>
        </is>
      </c>
    </row>
    <row collapsed="false" customFormat="false" customHeight="false" hidden="false" ht="12.1" outlineLevel="0" r="753">
      <c r="A753" s="3" t="s">
        <f>=HYPERLINK("https://mp39851918.megaplan.ua/deals/85193/card/","14113")</f>
      </c>
      <c r="B753" s="3" t="inlineStr">
        <is>
          <t>113-7429632-3959409</t>
        </is>
      </c>
      <c r="C753" s="3" t="inlineStr">
        <is>
          <t>Autodist</t>
        </is>
      </c>
    </row>
    <row collapsed="false" customFormat="false" customHeight="false" hidden="false" ht="12.1" outlineLevel="0" r="754">
      <c r="A754" s="3" t="s">
        <f>=HYPERLINK("https://mp39851918.megaplan.ua/deals/85197/card/","14114")</f>
      </c>
      <c r="B754" s="3" t="inlineStr">
        <is>
          <t>113-5010628-2441019</t>
        </is>
      </c>
      <c r="C754" s="3" t="inlineStr">
        <is>
          <t>RockyMountain</t>
        </is>
      </c>
    </row>
    <row collapsed="false" customFormat="false" customHeight="false" hidden="false" ht="12.1" outlineLevel="0" r="755">
      <c r="A755" s="3" t="s">
        <f>=HYPERLINK("https://mp39851918.megaplan.ua/deals/85198/card/","14115")</f>
      </c>
      <c r="B755" s="3" t="inlineStr">
        <is>
          <t>112-0446658-9514664</t>
        </is>
      </c>
      <c r="C755" s="3" t="inlineStr">
        <is>
          <t>RockyMountain</t>
        </is>
      </c>
    </row>
    <row collapsed="false" customFormat="false" customHeight="false" hidden="false" ht="12.1" outlineLevel="0" r="756">
      <c r="A756" s="3" t="s">
        <f>=HYPERLINK("https://mp39851918.megaplan.ua/deals/85201/card/","14116")</f>
      </c>
      <c r="B756" s="3" t="inlineStr">
        <is>
          <t>112-9901833-5141804</t>
        </is>
      </c>
      <c r="C756" s="3" t="inlineStr">
        <is>
          <t>Autodist</t>
        </is>
      </c>
    </row>
    <row collapsed="false" customFormat="false" customHeight="false" hidden="false" ht="12.1" outlineLevel="0" r="757">
      <c r="A757" s="3" t="s">
        <f>=HYPERLINK("https://mp39851918.megaplan.ua/deals/85206/card/","14117")</f>
      </c>
      <c r="B757" s="3" t="inlineStr">
        <is>
          <t>114-1973599-8680211</t>
        </is>
      </c>
      <c r="C757" s="3" t="inlineStr">
        <is>
          <t>Autodist</t>
        </is>
      </c>
    </row>
    <row collapsed="false" customFormat="false" customHeight="false" hidden="false" ht="12.1" outlineLevel="0" r="758">
      <c r="A758" s="3" t="s">
        <f>=HYPERLINK("https://mp39851918.megaplan.ua/deals/85209/card/","14118")</f>
      </c>
      <c r="B758" s="3" t="inlineStr">
        <is>
          <t>114-4020083-7315426</t>
        </is>
      </c>
      <c r="C758" s="3" t="inlineStr">
        <is>
          <t>Autodist</t>
        </is>
      </c>
    </row>
    <row collapsed="false" customFormat="false" customHeight="false" hidden="false" ht="12.1" outlineLevel="0" r="759">
      <c r="A759" s="3" t="s">
        <f>=HYPERLINK("https://mp39851918.megaplan.ua/deals/85226/card/","14120")</f>
      </c>
      <c r="B759" s="3" t="inlineStr">
        <is>
          <t>113-5623649-5735444</t>
        </is>
      </c>
      <c r="C759" s="3" t="inlineStr">
        <is>
          <t>PartsUnlimited</t>
        </is>
      </c>
    </row>
    <row collapsed="false" customFormat="false" customHeight="false" hidden="false" ht="12.1" outlineLevel="0" r="760">
      <c r="A760" s="3" t="s">
        <f>=HYPERLINK("https://mp39851918.megaplan.ua/deals/85243/card/","14121")</f>
      </c>
      <c r="B760" s="3" t="inlineStr">
        <is>
          <t>111-2286571-1666623</t>
        </is>
      </c>
      <c r="C760" s="3" t="inlineStr">
        <is>
          <t>Autodist</t>
        </is>
      </c>
    </row>
    <row collapsed="false" customFormat="false" customHeight="false" hidden="false" ht="12.1" outlineLevel="0" r="761">
      <c r="A761" s="3" t="s">
        <f>=HYPERLINK("https://mp39851918.megaplan.ua/deals/85255/card/","14122")</f>
      </c>
      <c r="B761" s="3" t="inlineStr">
        <is>
          <t>112-3241110-6580249</t>
        </is>
      </c>
      <c r="C761" s="3" t="inlineStr">
        <is>
          <t>RockyMountain</t>
        </is>
      </c>
    </row>
    <row collapsed="false" customFormat="false" customHeight="false" hidden="false" ht="12.1" outlineLevel="0" r="762">
      <c r="A762" s="3" t="s">
        <f>=HYPERLINK("https://mp39851918.megaplan.ua/deals/85268/card/","14123")</f>
      </c>
      <c r="B762" s="3" t="inlineStr">
        <is>
          <t>113-8437732-3861056</t>
        </is>
      </c>
      <c r="C762" s="3" t="inlineStr">
        <is>
          <t>RockyMountain</t>
        </is>
      </c>
    </row>
    <row collapsed="false" customFormat="false" customHeight="false" hidden="false" ht="12.1" outlineLevel="0" r="763">
      <c r="A763" s="3" t="s">
        <f>=HYPERLINK("https://mp39851918.megaplan.ua/deals/85276/card/","14126")</f>
      </c>
      <c r="B763" s="3" t="inlineStr">
        <is>
          <t>114-1008717-5506655</t>
        </is>
      </c>
      <c r="C763" s="3" t="inlineStr">
        <is>
          <t>RockyMountain</t>
        </is>
      </c>
    </row>
    <row collapsed="false" customFormat="false" customHeight="false" hidden="false" ht="12.1" outlineLevel="0" r="764">
      <c r="A764" s="3" t="s">
        <f>=HYPERLINK("https://mp39851918.megaplan.ua/deals/85306/card/","14129")</f>
      </c>
      <c r="B764" s="3" t="inlineStr">
        <is>
          <t>111-9991022-0223416</t>
        </is>
      </c>
      <c r="C764" s="3" t="inlineStr">
        <is>
          <t>Autodist</t>
        </is>
      </c>
    </row>
    <row collapsed="false" customFormat="false" customHeight="false" hidden="false" ht="12.1" outlineLevel="0" r="765">
      <c r="A765" s="3" t="s">
        <f>=HYPERLINK("https://mp39851918.megaplan.ua/deals/85319/card/","14130")</f>
      </c>
      <c r="B765" s="3" t="inlineStr">
        <is>
          <t>112-9542311-5324247</t>
        </is>
      </c>
      <c r="C765" s="3" t="inlineStr">
        <is>
          <t>Autodist</t>
        </is>
      </c>
    </row>
    <row collapsed="false" customFormat="false" customHeight="false" hidden="false" ht="12.1" outlineLevel="0" r="766">
      <c r="A766" s="3" t="s">
        <f>=HYPERLINK("https://mp39851918.megaplan.ua/deals/85326/card/","14131")</f>
      </c>
      <c r="B766" s="3" t="inlineStr">
        <is>
          <t>113-0097191-3867443</t>
        </is>
      </c>
      <c r="C766" s="3" t="inlineStr">
        <is>
          <t>RockyMountain</t>
        </is>
      </c>
    </row>
    <row collapsed="false" customFormat="false" customHeight="false" hidden="false" ht="12.1" outlineLevel="0" r="767">
      <c r="A767" s="3" t="s">
        <f>=HYPERLINK("https://mp39851918.megaplan.ua/deals/85330/card/","14132")</f>
      </c>
      <c r="B767" s="3" t="inlineStr">
        <is>
          <t>113-2635574-2323432</t>
        </is>
      </c>
      <c r="C767" s="3" t="inlineStr">
        <is>
          <t>RockyMountain</t>
        </is>
      </c>
    </row>
    <row collapsed="false" customFormat="false" customHeight="false" hidden="false" ht="12.1" outlineLevel="0" r="768">
      <c r="A768" s="3" t="s">
        <f>=HYPERLINK("https://mp39851918.megaplan.ua/deals/85332/card/","14133")</f>
      </c>
      <c r="B768" s="3" t="inlineStr">
        <is>
          <t>114-4143444-2833013</t>
        </is>
      </c>
      <c r="C768" s="3" t="inlineStr">
        <is>
          <t>RockyMountain</t>
        </is>
      </c>
    </row>
    <row collapsed="false" customFormat="false" customHeight="false" hidden="false" ht="12.1" outlineLevel="0" r="769">
      <c r="A769" s="3" t="s">
        <f>=HYPERLINK("https://mp39851918.megaplan.ua/deals/85351/card/","14135")</f>
      </c>
      <c r="B769" s="3" t="inlineStr">
        <is>
          <t>112-1538460-6321063</t>
        </is>
      </c>
      <c r="C769" s="3" t="inlineStr">
        <is>
          <t>RockyMountain</t>
        </is>
      </c>
    </row>
    <row collapsed="false" customFormat="false" customHeight="false" hidden="false" ht="12.1" outlineLevel="0" r="770">
      <c r="A770" s="3" t="s">
        <f>=HYPERLINK("https://mp39851918.megaplan.ua/deals/85369/card/","14136")</f>
      </c>
      <c r="B770" s="3" t="inlineStr">
        <is>
          <t>114-1366922-8497042</t>
        </is>
      </c>
      <c r="C770" s="3" t="inlineStr">
        <is>
          <t>RockyMountain</t>
        </is>
      </c>
    </row>
    <row collapsed="false" customFormat="false" customHeight="false" hidden="false" ht="12.1" outlineLevel="0" r="771">
      <c r="A771" s="3" t="s">
        <f>=HYPERLINK("https://mp39851918.megaplan.ua/deals/85375/card/","14137")</f>
      </c>
      <c r="B771" s="3" t="inlineStr">
        <is>
          <t>111-3016202-7212250</t>
        </is>
      </c>
      <c r="C771" s="3" t="inlineStr">
        <is>
          <t>Autodist</t>
        </is>
      </c>
    </row>
    <row collapsed="false" customFormat="false" customHeight="false" hidden="false" ht="12.1" outlineLevel="0" r="772">
      <c r="A772" s="3" t="s">
        <f>=HYPERLINK("https://mp39851918.megaplan.ua/deals/85388/card/","14138")</f>
      </c>
      <c r="B772" s="3" t="inlineStr">
        <is>
          <t>111-3858638-5812227</t>
        </is>
      </c>
      <c r="C772" s="3" t="inlineStr">
        <is>
          <t>Autodist</t>
        </is>
      </c>
    </row>
    <row collapsed="false" customFormat="false" customHeight="false" hidden="false" ht="12.1" outlineLevel="0" r="773">
      <c r="A773" s="3" t="s">
        <f>=HYPERLINK("https://mp39851918.megaplan.ua/deals/85391/card/","14139")</f>
      </c>
      <c r="B773" s="3" t="inlineStr">
        <is>
          <t>111-2773843-0879434</t>
        </is>
      </c>
      <c r="C773" s="3" t="inlineStr">
        <is>
          <t>Autodist</t>
        </is>
      </c>
    </row>
    <row collapsed="false" customFormat="false" customHeight="false" hidden="false" ht="12.1" outlineLevel="0" r="774">
      <c r="A774" s="3" t="s">
        <f>=HYPERLINK("https://mp39851918.megaplan.ua/deals/85393/card/","14140")</f>
      </c>
      <c r="B774" s="3" t="inlineStr">
        <is>
          <t>112-3494891-1423447</t>
        </is>
      </c>
      <c r="C774" s="3" t="inlineStr">
        <is>
          <t>PartsUnlimited</t>
        </is>
      </c>
    </row>
    <row collapsed="false" customFormat="false" customHeight="false" hidden="false" ht="12.1" outlineLevel="0" r="775">
      <c r="A775" s="3" t="s">
        <f>=HYPERLINK("https://mp39851918.megaplan.ua/deals/85396/card/","14141")</f>
      </c>
      <c r="B775" s="3" t="inlineStr">
        <is>
          <t>112-3147396-0053027</t>
        </is>
      </c>
      <c r="C775" s="3" t="inlineStr">
        <is>
          <t>Autodist</t>
        </is>
      </c>
    </row>
    <row collapsed="false" customFormat="false" customHeight="false" hidden="false" ht="12.1" outlineLevel="0" r="776">
      <c r="A776" s="3" t="s">
        <f>=HYPERLINK("https://mp39851918.megaplan.ua/deals/85405/card/","14142")</f>
      </c>
      <c r="B776" s="3" t="inlineStr">
        <is>
          <t>111-0237281-6187447</t>
        </is>
      </c>
      <c r="C776" s="3" t="inlineStr">
        <is>
          <t>Autodist</t>
        </is>
      </c>
    </row>
    <row collapsed="false" customFormat="false" customHeight="false" hidden="false" ht="12.1" outlineLevel="0" r="777">
      <c r="A777" s="3" t="s">
        <f>=HYPERLINK("https://mp39851918.megaplan.ua/deals/85412/card/","14144")</f>
      </c>
      <c r="B777" s="3" t="inlineStr">
        <is>
          <t>114-4908768-6706648</t>
        </is>
      </c>
      <c r="C777" s="3" t="inlineStr">
        <is>
          <t>RockyMountain</t>
        </is>
      </c>
    </row>
    <row collapsed="false" customFormat="false" customHeight="false" hidden="false" ht="12.1" outlineLevel="0" r="778">
      <c r="A778" s="3" t="s">
        <f>=HYPERLINK("https://mp39851918.megaplan.ua/deals/85413/card/","14145")</f>
      </c>
      <c r="B778" s="3" t="inlineStr">
        <is>
          <t>112-5364059-1408222</t>
        </is>
      </c>
      <c r="C778" s="3" t="inlineStr">
        <is>
          <t>Autodist</t>
        </is>
      </c>
    </row>
    <row collapsed="false" customFormat="false" customHeight="false" hidden="false" ht="12.1" outlineLevel="0" r="779">
      <c r="A779" s="3" t="s">
        <f>=HYPERLINK("https://mp39851918.megaplan.ua/deals/85417/card/","14146")</f>
      </c>
      <c r="B779" s="3" t="inlineStr">
        <is>
          <t>114-2310746-2797826</t>
        </is>
      </c>
      <c r="C779" s="3" t="inlineStr">
        <is>
          <t>Autodist</t>
        </is>
      </c>
    </row>
    <row collapsed="false" customFormat="false" customHeight="false" hidden="false" ht="12.1" outlineLevel="0" r="780">
      <c r="A780" s="3" t="s">
        <f>=HYPERLINK("https://mp39851918.megaplan.ua/deals/85425/card/","14147")</f>
      </c>
      <c r="B780" s="3" t="inlineStr">
        <is>
          <t>112-3002728-3343459</t>
        </is>
      </c>
      <c r="C780" s="3" t="inlineStr">
        <is>
          <t>RockyMountain</t>
        </is>
      </c>
    </row>
    <row collapsed="false" customFormat="false" customHeight="false" hidden="false" ht="12.1" outlineLevel="0" r="781">
      <c r="A781" s="3" t="s">
        <f>=HYPERLINK("https://mp39851918.megaplan.ua/deals/85440/card/","14149")</f>
      </c>
      <c r="B781" s="3" t="inlineStr">
        <is>
          <t>111-8978912-1657800</t>
        </is>
      </c>
      <c r="C781" s="3" t="inlineStr">
        <is>
          <t>Autodist</t>
        </is>
      </c>
    </row>
    <row collapsed="false" customFormat="false" customHeight="false" hidden="false" ht="12.1" outlineLevel="0" r="782">
      <c r="A782" s="3" t="s">
        <f>=HYPERLINK("https://mp39851918.megaplan.ua/deals/85449/card/","14150")</f>
      </c>
      <c r="B782" s="3" t="inlineStr">
        <is>
          <t>114-8176891-7332217</t>
        </is>
      </c>
      <c r="C782" s="3" t="inlineStr">
        <is>
          <t>RockyMountain</t>
        </is>
      </c>
    </row>
    <row collapsed="false" customFormat="false" customHeight="false" hidden="false" ht="12.1" outlineLevel="0" r="783">
      <c r="A783" s="3" t="s">
        <f>=HYPERLINK("https://mp39851918.megaplan.ua/deals/85463/card/","14152")</f>
      </c>
      <c r="B783" s="3" t="inlineStr">
        <is>
          <t>114-0579968-2489839</t>
        </is>
      </c>
      <c r="C783" s="3" t="inlineStr">
        <is>
          <t>Autodist</t>
        </is>
      </c>
    </row>
    <row collapsed="false" customFormat="false" customHeight="false" hidden="false" ht="12.1" outlineLevel="0" r="784">
      <c r="A784" s="3" t="s">
        <f>=HYPERLINK("https://mp39851918.megaplan.ua/deals/85491/card/","14153")</f>
      </c>
      <c r="B784" s="3" t="inlineStr">
        <is>
          <t>111-4362480-8505848</t>
        </is>
      </c>
      <c r="C784" s="3" t="inlineStr">
        <is>
          <t>Autodist</t>
        </is>
      </c>
    </row>
    <row collapsed="false" customFormat="false" customHeight="false" hidden="false" ht="12.1" outlineLevel="0" r="785">
      <c r="A785" s="3" t="s">
        <f>=HYPERLINK("https://mp39851918.megaplan.ua/deals/85507/card/","14154")</f>
      </c>
      <c r="B785" s="3" t="inlineStr">
        <is>
          <t>113-3393223-6393865</t>
        </is>
      </c>
      <c r="C785" s="3" t="inlineStr">
        <is>
          <t>Autodist</t>
        </is>
      </c>
    </row>
    <row collapsed="false" customFormat="false" customHeight="false" hidden="false" ht="12.1" outlineLevel="0" r="786">
      <c r="A786" s="3" t="s">
        <f>=HYPERLINK("https://mp39851918.megaplan.ua/deals/85530/card/","14156")</f>
      </c>
      <c r="B786" s="3" t="inlineStr">
        <is>
          <t>114-6466687-1514625</t>
        </is>
      </c>
      <c r="C786" s="3" t="inlineStr">
        <is>
          <t>RockyMountain</t>
        </is>
      </c>
    </row>
    <row collapsed="false" customFormat="false" customHeight="false" hidden="false" ht="12.1" outlineLevel="0" r="787">
      <c r="A787" s="3" t="s">
        <f>=HYPERLINK("https://mp39851918.megaplan.ua/deals/85535/card/","14157")</f>
      </c>
      <c r="B787" s="3" t="inlineStr">
        <is>
          <t>112-7762158-4208209</t>
        </is>
      </c>
      <c r="C787" s="3" t="inlineStr">
        <is>
          <t>RockyMountain</t>
        </is>
      </c>
    </row>
    <row collapsed="false" customFormat="false" customHeight="false" hidden="false" ht="12.1" outlineLevel="0" r="788">
      <c r="A788" s="3" t="s">
        <f>=HYPERLINK("https://mp39851918.megaplan.ua/deals/85539/card/","14158")</f>
      </c>
      <c r="B788" s="3" t="inlineStr">
        <is>
          <t>112-1347708-5526606</t>
        </is>
      </c>
      <c r="C788" s="3" t="inlineStr">
        <is>
          <t>RockyMountain</t>
        </is>
      </c>
    </row>
    <row collapsed="false" customFormat="false" customHeight="false" hidden="false" ht="12.1" outlineLevel="0" r="789">
      <c r="A789" s="3" t="s">
        <f>=HYPERLINK("https://mp39851918.megaplan.ua/deals/85542/card/","14159")</f>
      </c>
      <c r="B789" s="3" t="inlineStr">
        <is>
          <t>114-8177072-7537021</t>
        </is>
      </c>
      <c r="C789" s="3" t="inlineStr">
        <is>
          <t>RockyMountain</t>
        </is>
      </c>
    </row>
    <row collapsed="false" customFormat="false" customHeight="false" hidden="false" ht="12.1" outlineLevel="0" r="790">
      <c r="A790" s="3" t="s">
        <f>=HYPERLINK("https://mp39851918.megaplan.ua/deals/85544/card/","14160")</f>
      </c>
      <c r="B790" s="3" t="inlineStr">
        <is>
          <t>114-7629248-9662650</t>
        </is>
      </c>
      <c r="C790" s="3" t="inlineStr">
        <is>
          <t>RockyMountain</t>
        </is>
      </c>
    </row>
    <row collapsed="false" customFormat="false" customHeight="false" hidden="false" ht="12.1" outlineLevel="0" r="791">
      <c r="A791" s="3" t="s">
        <f>=HYPERLINK("https://mp39851918.megaplan.ua/deals/85545/card/","14161")</f>
      </c>
      <c r="B791" s="3" t="inlineStr">
        <is>
          <t>113-7915152-7090628</t>
        </is>
      </c>
      <c r="C791" s="3" t="inlineStr">
        <is>
          <t>RockyMountain</t>
        </is>
      </c>
    </row>
    <row collapsed="false" customFormat="false" customHeight="false" hidden="false" ht="12.1" outlineLevel="0" r="792">
      <c r="A792" s="3" t="s">
        <f>=HYPERLINK("https://mp39851918.megaplan.ua/deals/85546/card/","14162")</f>
      </c>
      <c r="B792" s="3" t="inlineStr">
        <is>
          <t>112-6548829-4405062</t>
        </is>
      </c>
      <c r="C792" s="3" t="inlineStr">
        <is>
          <t>RockyMountain</t>
        </is>
      </c>
    </row>
    <row collapsed="false" customFormat="false" customHeight="false" hidden="false" ht="12.1" outlineLevel="0" r="793">
      <c r="A793" s="3" t="s">
        <f>=HYPERLINK("https://mp39851918.megaplan.ua/deals/85547/card/","14163")</f>
      </c>
      <c r="B793" s="3" t="inlineStr">
        <is>
          <t>114-5532555-7393835</t>
        </is>
      </c>
      <c r="C793" s="3" t="inlineStr">
        <is>
          <t>RockyMountain</t>
        </is>
      </c>
    </row>
    <row collapsed="false" customFormat="false" customHeight="false" hidden="false" ht="12.1" outlineLevel="0" r="794">
      <c r="A794" s="3" t="s">
        <f>=HYPERLINK("https://mp39851918.megaplan.ua/deals/85549/card/","14164")</f>
      </c>
      <c r="B794" s="3" t="inlineStr">
        <is>
          <t>114-6899510-5875435</t>
        </is>
      </c>
      <c r="C794" s="3" t="inlineStr">
        <is>
          <t>RockyMountain</t>
        </is>
      </c>
    </row>
    <row collapsed="false" customFormat="false" customHeight="false" hidden="false" ht="12.1" outlineLevel="0" r="795">
      <c r="A795" s="3" t="s">
        <f>=HYPERLINK("https://mp39851918.megaplan.ua/deals/85550/card/","14165")</f>
      </c>
      <c r="B795" s="3" t="inlineStr">
        <is>
          <t>113-4847499-8317840</t>
        </is>
      </c>
      <c r="C795" s="3" t="inlineStr">
        <is>
          <t>Autodist</t>
        </is>
      </c>
    </row>
    <row collapsed="false" customFormat="false" customHeight="false" hidden="false" ht="12.1" outlineLevel="0" r="796">
      <c r="A796" s="3" t="s">
        <f>=HYPERLINK("https://mp39851918.megaplan.ua/deals/85551/card/","14166")</f>
      </c>
      <c r="B796" s="3" t="inlineStr">
        <is>
          <t>111-3517715-0895457</t>
        </is>
      </c>
      <c r="C796" s="3" t="inlineStr">
        <is>
          <t>RockyMountain</t>
        </is>
      </c>
    </row>
    <row collapsed="false" customFormat="false" customHeight="false" hidden="false" ht="12.1" outlineLevel="0" r="797">
      <c r="A797" s="3" t="s">
        <f>=HYPERLINK("https://mp39851918.megaplan.ua/deals/85552/card/","14167")</f>
      </c>
      <c r="B797" s="3" t="inlineStr">
        <is>
          <t>114-5394430-8027443</t>
        </is>
      </c>
      <c r="C797" s="3" t="inlineStr">
        <is>
          <t>RockyMountain</t>
        </is>
      </c>
    </row>
    <row collapsed="false" customFormat="false" customHeight="false" hidden="false" ht="12.1" outlineLevel="0" r="798">
      <c r="A798" s="3" t="s">
        <f>=HYPERLINK("https://mp39851918.megaplan.ua/deals/85555/card/","14168")</f>
      </c>
      <c r="B798" s="3" t="inlineStr">
        <is>
          <t>114-0552557-4472200</t>
        </is>
      </c>
      <c r="C798" s="3" t="inlineStr">
        <is>
          <t>PartsUnlimited</t>
        </is>
      </c>
    </row>
    <row collapsed="false" customFormat="false" customHeight="false" hidden="false" ht="12.1" outlineLevel="0" r="799">
      <c r="A799" s="3" t="s">
        <f>=HYPERLINK("https://mp39851918.megaplan.ua/deals/85556/card/","14169")</f>
      </c>
      <c r="B799" s="3" t="inlineStr">
        <is>
          <t>113-5063818-2397856</t>
        </is>
      </c>
      <c r="C799" s="3" t="inlineStr">
        <is>
          <t>Autodist</t>
        </is>
      </c>
    </row>
    <row collapsed="false" customFormat="false" customHeight="false" hidden="false" ht="12.1" outlineLevel="0" r="800">
      <c r="A800" s="3" t="s">
        <f>=HYPERLINK("https://mp39851918.megaplan.ua/deals/85557/card/","14170")</f>
      </c>
      <c r="B800" s="3" t="inlineStr">
        <is>
          <t>112-8281306-6124262</t>
        </is>
      </c>
      <c r="C800" s="3" t="inlineStr">
        <is>
          <t>PartsUnlimited</t>
        </is>
      </c>
    </row>
    <row collapsed="false" customFormat="false" customHeight="false" hidden="false" ht="12.1" outlineLevel="0" r="801">
      <c r="A801" s="3" t="s">
        <f>=HYPERLINK("https://mp39851918.megaplan.ua/deals/85559/card/","14171")</f>
      </c>
      <c r="B801" s="3" t="inlineStr">
        <is>
          <t>113-4847499-8317840</t>
        </is>
      </c>
      <c r="C801" s="3" t="inlineStr">
        <is>
          <t>other</t>
        </is>
      </c>
    </row>
    <row collapsed="false" customFormat="false" customHeight="false" hidden="false" ht="12.1" outlineLevel="0" r="802">
      <c r="A802" s="3" t="s">
        <f>=HYPERLINK("https://mp39851918.megaplan.ua/deals/85583/card/","14174")</f>
      </c>
      <c r="B802" s="3" t="inlineStr">
        <is>
          <t>111-4195214-0809807</t>
        </is>
      </c>
      <c r="C802" s="3" t="inlineStr">
        <is>
          <t>Autodist</t>
        </is>
      </c>
    </row>
    <row collapsed="false" customFormat="false" customHeight="false" hidden="false" ht="12.1" outlineLevel="0" r="803">
      <c r="A803" s="3" t="s">
        <f>=HYPERLINK("https://mp39851918.megaplan.ua/deals/85591/card/","14175")</f>
      </c>
      <c r="B803" s="3" t="inlineStr">
        <is>
          <t>113-8998414-4850634</t>
        </is>
      </c>
      <c r="C803" s="3" t="inlineStr">
        <is>
          <t>RockyMountain</t>
        </is>
      </c>
    </row>
    <row collapsed="false" customFormat="false" customHeight="false" hidden="false" ht="12.1" outlineLevel="0" r="804">
      <c r="A804" s="3" t="s">
        <f>=HYPERLINK("https://mp39851918.megaplan.ua/deals/85608/card/","14177")</f>
      </c>
      <c r="B804" s="3" t="inlineStr">
        <is>
          <t>114-3963293-9092213</t>
        </is>
      </c>
      <c r="C804" s="3" t="inlineStr">
        <is>
          <t>RockyMountain</t>
        </is>
      </c>
    </row>
    <row collapsed="false" customFormat="false" customHeight="false" hidden="false" ht="12.1" outlineLevel="0" r="805">
      <c r="A805" s="3" t="s">
        <f>=HYPERLINK("https://mp39851918.megaplan.ua/deals/85610/card/","14178")</f>
      </c>
      <c r="B805" s="3" t="inlineStr">
        <is>
          <t>114-1142361-2625829</t>
        </is>
      </c>
      <c r="C805" s="3" t="inlineStr">
        <is>
          <t>RockyMountain</t>
        </is>
      </c>
    </row>
    <row collapsed="false" customFormat="false" customHeight="false" hidden="false" ht="12.1" outlineLevel="0" r="806">
      <c r="A806" s="3" t="s">
        <f>=HYPERLINK("https://mp39851918.megaplan.ua/deals/85632/card/","14181")</f>
      </c>
      <c r="B806" s="3" t="inlineStr">
        <is>
          <t>113-2648187-4479416</t>
        </is>
      </c>
      <c r="C806" s="3" t="inlineStr">
        <is>
          <t>RockyMountain</t>
        </is>
      </c>
    </row>
    <row collapsed="false" customFormat="false" customHeight="false" hidden="false" ht="12.1" outlineLevel="0" r="807">
      <c r="A807" s="3" t="s">
        <f>=HYPERLINK("https://mp39851918.megaplan.ua/deals/85633/card/","14182")</f>
      </c>
      <c r="B807" s="3" t="inlineStr">
        <is>
          <t>112-7533933-8847401</t>
        </is>
      </c>
      <c r="C807" s="3" t="inlineStr">
        <is>
          <t>RockyMountain</t>
        </is>
      </c>
    </row>
    <row collapsed="false" customFormat="false" customHeight="false" hidden="false" ht="12.1" outlineLevel="0" r="808">
      <c r="A808" s="3" t="s">
        <f>=HYPERLINK("https://mp39851918.megaplan.ua/deals/85640/card/","14183")</f>
      </c>
      <c r="B808" s="3" t="inlineStr">
        <is>
          <t>113-6978788-2406636</t>
        </is>
      </c>
      <c r="C808" s="3" t="inlineStr">
        <is>
          <t>RockyMountain</t>
        </is>
      </c>
    </row>
    <row collapsed="false" customFormat="false" customHeight="false" hidden="false" ht="12.1" outlineLevel="0" r="809">
      <c r="A809" s="3" t="s">
        <f>=HYPERLINK("https://mp39851918.megaplan.ua/deals/85665/card/","14184")</f>
      </c>
      <c r="B809" s="3" t="inlineStr">
        <is>
          <t>114-2089541-1799432</t>
        </is>
      </c>
      <c r="C809" s="3" t="inlineStr">
        <is>
          <t>Autodist</t>
        </is>
      </c>
    </row>
    <row collapsed="false" customFormat="false" customHeight="false" hidden="false" ht="12.1" outlineLevel="0" r="810">
      <c r="A810" s="3" t="s">
        <f>=HYPERLINK("https://mp39851918.megaplan.ua/deals/85669/card/","14186")</f>
      </c>
      <c r="B810" s="3" t="inlineStr">
        <is>
          <t>112-7057354-4921802</t>
        </is>
      </c>
      <c r="C810" s="3" t="inlineStr">
        <is>
          <t>RockyMountain</t>
        </is>
      </c>
    </row>
    <row collapsed="false" customFormat="false" customHeight="false" hidden="false" ht="12.1" outlineLevel="0" r="811">
      <c r="A811" s="3" t="s">
        <f>=HYPERLINK("https://mp39851918.megaplan.ua/deals/85681/card/","14187")</f>
      </c>
      <c r="B811" s="3" t="inlineStr">
        <is>
          <t>113-6374495-5449049</t>
        </is>
      </c>
      <c r="C811" s="3" t="inlineStr">
        <is>
          <t>Autodist</t>
        </is>
      </c>
    </row>
    <row collapsed="false" customFormat="false" customHeight="false" hidden="false" ht="12.1" outlineLevel="0" r="812">
      <c r="A812" s="3" t="s">
        <f>=HYPERLINK("https://mp39851918.megaplan.ua/deals/85691/card/","14188")</f>
      </c>
      <c r="B812" s="3" t="inlineStr">
        <is>
          <t>114-3201407-0762639</t>
        </is>
      </c>
      <c r="C812" s="3" t="inlineStr">
        <is>
          <t>RockyMountain</t>
        </is>
      </c>
    </row>
    <row collapsed="false" customFormat="false" customHeight="false" hidden="false" ht="12.1" outlineLevel="0" r="813">
      <c r="A813" s="3" t="s">
        <f>=HYPERLINK("https://mp39851918.megaplan.ua/deals/85715/card/","14190")</f>
      </c>
      <c r="B813" s="3" t="inlineStr">
        <is>
          <t>114-7637230-7708227</t>
        </is>
      </c>
      <c r="C813" s="3" t="inlineStr">
        <is>
          <t>PartsUnlimited</t>
        </is>
      </c>
    </row>
    <row collapsed="false" customFormat="false" customHeight="false" hidden="false" ht="12.1" outlineLevel="0" r="814">
      <c r="A814" s="3" t="s">
        <f>=HYPERLINK("https://mp39851918.megaplan.ua/deals/85716/card/","14191")</f>
      </c>
      <c r="B814" s="3" t="inlineStr">
        <is>
          <t>113-7215137-6220262</t>
        </is>
      </c>
      <c r="C814" s="3" t="inlineStr">
        <is>
          <t>Autodist</t>
        </is>
      </c>
    </row>
    <row collapsed="false" customFormat="false" customHeight="false" hidden="false" ht="12.1" outlineLevel="0" r="815">
      <c r="A815" s="3" t="s">
        <f>=HYPERLINK("https://mp39851918.megaplan.ua/deals/85717/card/","14192")</f>
      </c>
      <c r="B815" s="3" t="inlineStr">
        <is>
          <t>114-8481257-5215442</t>
        </is>
      </c>
      <c r="C815" s="3" t="inlineStr">
        <is>
          <t>RockyMountain</t>
        </is>
      </c>
    </row>
    <row collapsed="false" customFormat="false" customHeight="false" hidden="false" ht="12.1" outlineLevel="0" r="816">
      <c r="A816" s="3" t="s">
        <f>=HYPERLINK("https://mp39851918.megaplan.ua/deals/85720/card/","14194")</f>
      </c>
      <c r="B816" s="3" t="inlineStr">
        <is>
          <t>114-0705677-1815446</t>
        </is>
      </c>
      <c r="C816" s="3" t="inlineStr">
        <is>
          <t>other</t>
        </is>
      </c>
    </row>
    <row collapsed="false" customFormat="false" customHeight="false" hidden="false" ht="12.1" outlineLevel="0" r="817">
      <c r="A817" s="3" t="s">
        <f>=HYPERLINK("https://mp39851918.megaplan.ua/deals/85731/card/","14195")</f>
      </c>
      <c r="B817" s="3" t="inlineStr">
        <is>
          <t>111-3403380-4552250</t>
        </is>
      </c>
      <c r="C817" s="3" t="inlineStr">
        <is>
          <t>RockyMountain</t>
        </is>
      </c>
    </row>
    <row collapsed="false" customFormat="false" customHeight="false" hidden="false" ht="12.1" outlineLevel="0" r="818">
      <c r="A818" s="3" t="s">
        <f>=HYPERLINK("https://mp39851918.megaplan.ua/deals/85732/card/","14196")</f>
      </c>
      <c r="B818" s="3" t="inlineStr">
        <is>
          <t>114-8491589-0973827</t>
        </is>
      </c>
      <c r="C818" s="3" t="inlineStr">
        <is>
          <t>PartsUnlimited</t>
        </is>
      </c>
    </row>
    <row collapsed="false" customFormat="false" customHeight="false" hidden="false" ht="12.1" outlineLevel="0" r="819">
      <c r="A819" s="3" t="s">
        <f>=HYPERLINK("https://mp39851918.megaplan.ua/deals/85753/card/","14197")</f>
      </c>
      <c r="B819" s="3" t="inlineStr">
        <is>
          <t>114-0034548-1428236</t>
        </is>
      </c>
      <c r="C819" s="3" t="inlineStr">
        <is>
          <t>RockyMountain</t>
        </is>
      </c>
    </row>
    <row collapsed="false" customFormat="false" customHeight="false" hidden="false" ht="12.1" outlineLevel="0" r="820">
      <c r="A820" s="3" t="s">
        <f>=HYPERLINK("https://mp39851918.megaplan.ua/deals/85754/card/","14198")</f>
      </c>
      <c r="B820" s="3" t="inlineStr">
        <is>
          <t>114-9244585-1384226</t>
        </is>
      </c>
      <c r="C820" s="3" t="inlineStr">
        <is>
          <t>RockyMountain</t>
        </is>
      </c>
    </row>
    <row collapsed="false" customFormat="false" customHeight="false" hidden="false" ht="12.1" outlineLevel="0" r="821">
      <c r="A821" s="3" t="s">
        <f>=HYPERLINK("https://mp39851918.megaplan.ua/deals/85755/card/","14199")</f>
      </c>
      <c r="B821" s="3" t="inlineStr">
        <is>
          <t>111-4651360-4500242</t>
        </is>
      </c>
      <c r="C821" s="3" t="inlineStr">
        <is>
          <t>RockyMountain</t>
        </is>
      </c>
    </row>
    <row collapsed="false" customFormat="false" customHeight="false" hidden="false" ht="12.1" outlineLevel="0" r="822">
      <c r="A822" s="3" t="s">
        <f>=HYPERLINK("https://mp39851918.megaplan.ua/deals/85756/card/","14200")</f>
      </c>
      <c r="B822" s="3" t="inlineStr">
        <is>
          <t>112-6084576-1898653</t>
        </is>
      </c>
      <c r="C822" s="3" t="inlineStr">
        <is>
          <t>RockyMountain</t>
        </is>
      </c>
    </row>
    <row collapsed="false" customFormat="false" customHeight="false" hidden="false" ht="12.1" outlineLevel="0" r="823">
      <c r="A823" s="3" t="s">
        <f>=HYPERLINK("https://mp39851918.megaplan.ua/deals/85760/card/","14201")</f>
      </c>
      <c r="B823" s="3" t="inlineStr">
        <is>
          <t>111-0406319-5527442</t>
        </is>
      </c>
      <c r="C823" s="3" t="inlineStr">
        <is>
          <t>Autodist</t>
        </is>
      </c>
    </row>
    <row collapsed="false" customFormat="false" customHeight="false" hidden="false" ht="12.1" outlineLevel="0" r="824">
      <c r="A824" s="3" t="s">
        <f>=HYPERLINK("https://mp39851918.megaplan.ua/deals/85763/card/","14202")</f>
      </c>
      <c r="B824" s="3" t="inlineStr">
        <is>
          <t>111-4747984-5797054</t>
        </is>
      </c>
      <c r="C824" s="3" t="inlineStr">
        <is>
          <t>RockyMountain</t>
        </is>
      </c>
    </row>
    <row collapsed="false" customFormat="false" customHeight="false" hidden="false" ht="12.1" outlineLevel="0" r="825">
      <c r="A825" s="3" t="s">
        <f>=HYPERLINK("https://mp39851918.megaplan.ua/deals/85769/card/","14203")</f>
      </c>
      <c r="B825" s="3" t="inlineStr">
        <is>
          <t>113-0205925-8445064</t>
        </is>
      </c>
      <c r="C825" s="3" t="inlineStr">
        <is>
          <t>Autodist</t>
        </is>
      </c>
    </row>
    <row collapsed="false" customFormat="false" customHeight="false" hidden="false" ht="12.1" outlineLevel="0" r="826">
      <c r="A826" s="3" t="s">
        <f>=HYPERLINK("https://mp39851918.megaplan.ua/deals/85797/card/","14209")</f>
      </c>
      <c r="B826" s="3" t="inlineStr">
        <is>
          <t>112-4184850-6966648</t>
        </is>
      </c>
      <c r="C826" s="3" t="inlineStr">
        <is>
          <t>RockyMountain</t>
        </is>
      </c>
    </row>
    <row collapsed="false" customFormat="false" customHeight="false" hidden="false" ht="12.1" outlineLevel="0" r="827">
      <c r="A827" s="3" t="s">
        <f>=HYPERLINK("https://mp39851918.megaplan.ua/deals/85802/card/","14210")</f>
      </c>
      <c r="B827" s="3" t="inlineStr">
        <is>
          <t>113-7416478-7561061</t>
        </is>
      </c>
      <c r="C827" s="3" t="inlineStr">
        <is>
          <t>RockyMountain</t>
        </is>
      </c>
    </row>
    <row collapsed="false" customFormat="false" customHeight="false" hidden="false" ht="12.1" outlineLevel="0" r="828">
      <c r="A828" s="3" t="s">
        <f>=HYPERLINK("https://mp39851918.megaplan.ua/deals/85804/card/","14211")</f>
      </c>
      <c r="B828" s="3" t="inlineStr">
        <is>
          <t>113-7905582-6071411</t>
        </is>
      </c>
      <c r="C828" s="3" t="inlineStr">
        <is>
          <t>RockyMountain</t>
        </is>
      </c>
    </row>
    <row collapsed="false" customFormat="false" customHeight="false" hidden="false" ht="12.1" outlineLevel="0" r="829">
      <c r="A829" s="3" t="s">
        <f>=HYPERLINK("https://mp39851918.megaplan.ua/deals/85805/card/","14212")</f>
      </c>
      <c r="B829" s="3" t="inlineStr">
        <is>
          <t>114-4889083-1690667</t>
        </is>
      </c>
      <c r="C829" s="3" t="inlineStr">
        <is>
          <t>RockyMountain</t>
        </is>
      </c>
    </row>
    <row collapsed="false" customFormat="false" customHeight="false" hidden="false" ht="12.1" outlineLevel="0" r="830">
      <c r="A830" s="3" t="s">
        <f>=HYPERLINK("https://mp39851918.megaplan.ua/deals/85812/card/","14214")</f>
      </c>
      <c r="B830" s="3" t="inlineStr">
        <is>
          <t>112-4935268-9069824</t>
        </is>
      </c>
      <c r="C830" s="3" t="inlineStr">
        <is>
          <t>RockyMountain</t>
        </is>
      </c>
    </row>
    <row collapsed="false" customFormat="false" customHeight="false" hidden="false" ht="12.1" outlineLevel="0" r="831">
      <c r="A831" s="3" t="s">
        <f>=HYPERLINK("https://mp39851918.megaplan.ua/deals/85818/card/","14215")</f>
      </c>
      <c r="B831" s="3" t="inlineStr">
        <is>
          <t>113-5818966-5471432</t>
        </is>
      </c>
      <c r="C831" s="3" t="inlineStr">
        <is>
          <t>Autodist</t>
        </is>
      </c>
    </row>
    <row collapsed="false" customFormat="false" customHeight="false" hidden="false" ht="12.1" outlineLevel="0" r="832">
      <c r="A832" s="3" t="s">
        <f>=HYPERLINK("https://mp39851918.megaplan.ua/deals/85824/card/","14216")</f>
      </c>
      <c r="B832" s="3" t="inlineStr">
        <is>
          <t>111-8109048-4930627</t>
        </is>
      </c>
      <c r="C832" s="3" t="inlineStr">
        <is>
          <t>RockyMountain</t>
        </is>
      </c>
    </row>
    <row collapsed="false" customFormat="false" customHeight="false" hidden="false" ht="12.1" outlineLevel="0" r="833">
      <c r="A833" s="3" t="s">
        <f>=HYPERLINK("https://mp39851918.megaplan.ua/deals/85836/card/","14217")</f>
      </c>
      <c r="B833" s="3" t="inlineStr">
        <is>
          <t>111-5068566-4274600</t>
        </is>
      </c>
      <c r="C833" s="3" t="inlineStr">
        <is>
          <t>RockyMountain</t>
        </is>
      </c>
    </row>
    <row collapsed="false" customFormat="false" customHeight="false" hidden="false" ht="12.1" outlineLevel="0" r="834">
      <c r="A834" s="3" t="s">
        <f>=HYPERLINK("https://mp39851918.megaplan.ua/deals/85838/card/","14218")</f>
      </c>
      <c r="B834" s="3" t="inlineStr">
        <is>
          <t>113-5257422-0939428</t>
        </is>
      </c>
      <c r="C834" s="3" t="inlineStr">
        <is>
          <t>RockyMountain</t>
        </is>
      </c>
    </row>
    <row collapsed="false" customFormat="false" customHeight="false" hidden="false" ht="12.1" outlineLevel="0" r="835">
      <c r="A835" s="3" t="s">
        <f>=HYPERLINK("https://mp39851918.megaplan.ua/deals/85869/card/","14220")</f>
      </c>
      <c r="B835" s="3" t="inlineStr">
        <is>
          <t>113-1409958-1804203</t>
        </is>
      </c>
      <c r="C835" s="3" t="inlineStr">
        <is>
          <t>PartsUnlimited</t>
        </is>
      </c>
    </row>
    <row collapsed="false" customFormat="false" customHeight="false" hidden="false" ht="12.1" outlineLevel="0" r="836">
      <c r="A836" s="3" t="s">
        <f>=HYPERLINK("https://mp39851918.megaplan.ua/deals/85874/card/","14222")</f>
      </c>
      <c r="B836" s="3" t="inlineStr">
        <is>
          <t>111-3563545-1437038</t>
        </is>
      </c>
      <c r="C836" s="3" t="inlineStr">
        <is>
          <t>RockyMountain</t>
        </is>
      </c>
    </row>
    <row collapsed="false" customFormat="false" customHeight="false" hidden="false" ht="12.1" outlineLevel="0" r="837">
      <c r="A837" s="3" t="s">
        <f>=HYPERLINK("https://mp39851918.megaplan.ua/deals/85876/card/","14223")</f>
      </c>
      <c r="B837" s="3" t="inlineStr">
        <is>
          <t>114-5244555-5488216</t>
        </is>
      </c>
      <c r="C837" s="3" t="inlineStr">
        <is>
          <t>Autodist</t>
        </is>
      </c>
    </row>
    <row collapsed="false" customFormat="false" customHeight="false" hidden="false" ht="12.1" outlineLevel="0" r="838">
      <c r="A838" s="3" t="s">
        <f>=HYPERLINK("https://mp39851918.megaplan.ua/deals/85894/card/","14226")</f>
      </c>
      <c r="B838" s="3" t="inlineStr">
        <is>
          <t>112-0227027-4291413</t>
        </is>
      </c>
      <c r="C838" s="3" t="inlineStr">
        <is>
          <t>RockyMountain</t>
        </is>
      </c>
    </row>
    <row collapsed="false" customFormat="false" customHeight="false" hidden="false" ht="12.1" outlineLevel="0" r="839">
      <c r="A839" s="3" t="s">
        <f>=HYPERLINK("https://mp39851918.megaplan.ua/deals/85904/card/","14228")</f>
      </c>
      <c r="B839" s="3" t="inlineStr">
        <is>
          <t>113-9357904-8307439</t>
        </is>
      </c>
      <c r="C839" s="3" t="inlineStr">
        <is>
          <t>RockyMountain</t>
        </is>
      </c>
    </row>
    <row collapsed="false" customFormat="false" customHeight="false" hidden="false" ht="12.1" outlineLevel="0" r="840">
      <c r="A840" s="3" t="s">
        <f>=HYPERLINK("https://mp39851918.megaplan.ua/deals/85922/card/","14229")</f>
      </c>
      <c r="B840" s="3" t="inlineStr">
        <is>
          <t>112-2835818-5013055</t>
        </is>
      </c>
      <c r="C840" s="3" t="inlineStr">
        <is>
          <t>Autodist</t>
        </is>
      </c>
    </row>
    <row collapsed="false" customFormat="false" customHeight="false" hidden="false" ht="12.1" outlineLevel="0" r="841">
      <c r="A841" s="3" t="s">
        <f>=HYPERLINK("https://mp39851918.megaplan.ua/deals/85924/card/","14230")</f>
      </c>
      <c r="B841" s="3" t="inlineStr">
        <is>
          <t>112-6888763-1121023</t>
        </is>
      </c>
      <c r="C841" s="3" t="inlineStr">
        <is>
          <t>Autodist</t>
        </is>
      </c>
    </row>
    <row collapsed="false" customFormat="false" customHeight="false" hidden="false" ht="12.1" outlineLevel="0" r="842">
      <c r="A842" s="3" t="s">
        <f>=HYPERLINK("https://mp39851918.megaplan.ua/deals/85932/card/","14231")</f>
      </c>
      <c r="B842" s="3" t="inlineStr">
        <is>
          <t>114-0250017-1952268</t>
        </is>
      </c>
      <c r="C842" s="3" t="inlineStr">
        <is>
          <t>Autodist</t>
        </is>
      </c>
    </row>
    <row collapsed="false" customFormat="false" customHeight="false" hidden="false" ht="12.1" outlineLevel="0" r="843">
      <c r="A843" s="3" t="s">
        <f>=HYPERLINK("https://mp39851918.megaplan.ua/deals/85944/card/","14234")</f>
      </c>
      <c r="B843" s="3" t="inlineStr">
        <is>
          <t>111-5214861-3530635</t>
        </is>
      </c>
      <c r="C843" s="3" t="inlineStr">
        <is>
          <t>Autodist</t>
        </is>
      </c>
    </row>
    <row collapsed="false" customFormat="false" customHeight="false" hidden="false" ht="12.1" outlineLevel="0" r="844">
      <c r="A844" s="3" t="s">
        <f>=HYPERLINK("https://mp39851918.megaplan.ua/deals/85949/card/","14235")</f>
      </c>
      <c r="B844" s="3" t="inlineStr">
        <is>
          <t>114-0215828-2690638</t>
        </is>
      </c>
      <c r="C844" s="3" t="inlineStr">
        <is>
          <t>RockyMountain</t>
        </is>
      </c>
    </row>
    <row collapsed="false" customFormat="false" customHeight="false" hidden="false" ht="12.1" outlineLevel="0" r="845">
      <c r="A845" s="3" t="s">
        <f>=HYPERLINK("https://mp39851918.megaplan.ua/deals/85951/card/","14236")</f>
      </c>
      <c r="B845" s="3" t="inlineStr">
        <is>
          <t>113-8180795-4489808</t>
        </is>
      </c>
      <c r="C845" s="3" t="inlineStr">
        <is>
          <t>Autodist</t>
        </is>
      </c>
    </row>
    <row collapsed="false" customFormat="false" customHeight="false" hidden="false" ht="12.1" outlineLevel="0" r="846">
      <c r="A846" s="3" t="s">
        <f>=HYPERLINK("https://mp39851918.megaplan.ua/deals/85955/card/","14237")</f>
      </c>
      <c r="B846" s="3" t="inlineStr">
        <is>
          <t>111-4844250-9492247</t>
        </is>
      </c>
      <c r="C846" s="3" t="inlineStr">
        <is>
          <t>Autodist</t>
        </is>
      </c>
    </row>
    <row collapsed="false" customFormat="false" customHeight="false" hidden="false" ht="12.1" outlineLevel="0" r="847">
      <c r="A847" s="3" t="s">
        <f>=HYPERLINK("https://mp39851918.megaplan.ua/deals/85966/card/","14238")</f>
      </c>
      <c r="B847" s="3" t="inlineStr">
        <is>
          <t>114-0619885-2978636</t>
        </is>
      </c>
      <c r="C847" s="3" t="inlineStr">
        <is>
          <t>PartsUnlimited</t>
        </is>
      </c>
    </row>
    <row collapsed="false" customFormat="false" customHeight="false" hidden="false" ht="12.1" outlineLevel="0" r="848">
      <c r="A848" s="3" t="s">
        <f>=HYPERLINK("https://mp39851918.megaplan.ua/deals/85983/card/","14240")</f>
      </c>
      <c r="B848" s="3" t="inlineStr">
        <is>
          <t>112-8574134-1965027</t>
        </is>
      </c>
      <c r="C848" s="3" t="inlineStr">
        <is>
          <t>RockyMountain</t>
        </is>
      </c>
    </row>
    <row collapsed="false" customFormat="false" customHeight="false" hidden="false" ht="12.1" outlineLevel="0" r="849">
      <c r="A849" s="3" t="s">
        <f>=HYPERLINK("https://mp39851918.megaplan.ua/deals/86008/card/","14242")</f>
      </c>
      <c r="B849" s="3" t="inlineStr">
        <is>
          <t>112-1154419-3260233</t>
        </is>
      </c>
      <c r="C849" s="3" t="inlineStr">
        <is>
          <t>Autodist</t>
        </is>
      </c>
    </row>
    <row collapsed="false" customFormat="false" customHeight="false" hidden="false" ht="12.1" outlineLevel="0" r="850">
      <c r="A850" s="3" t="s">
        <f>=HYPERLINK("https://mp39851918.megaplan.ua/deals/86010/card/","14243")</f>
      </c>
      <c r="B850" s="3" t="inlineStr">
        <is>
          <t>111-3349837-2176234</t>
        </is>
      </c>
      <c r="C850" s="3" t="inlineStr">
        <is>
          <t>RockyMountain</t>
        </is>
      </c>
    </row>
    <row collapsed="false" customFormat="false" customHeight="false" hidden="false" ht="12.1" outlineLevel="0" r="851">
      <c r="A851" s="3" t="s">
        <f>=HYPERLINK("https://mp39851918.megaplan.ua/deals/86011/card/","14244")</f>
      </c>
      <c r="B851" s="3" t="inlineStr">
        <is>
          <t>113-7924770-2627419</t>
        </is>
      </c>
      <c r="C851" s="3" t="inlineStr">
        <is>
          <t>RockyMountain</t>
        </is>
      </c>
    </row>
    <row collapsed="false" customFormat="false" customHeight="false" hidden="false" ht="12.1" outlineLevel="0" r="852">
      <c r="A852" s="3" t="s">
        <f>=HYPERLINK("https://mp39851918.megaplan.ua/deals/86012/card/","14245")</f>
      </c>
      <c r="B852" s="3" t="inlineStr">
        <is>
          <t>112-3946795-9093028</t>
        </is>
      </c>
      <c r="C852" s="3" t="inlineStr">
        <is>
          <t>RockyMountain</t>
        </is>
      </c>
    </row>
    <row collapsed="false" customFormat="false" customHeight="false" hidden="false" ht="12.1" outlineLevel="0" r="853">
      <c r="A853" s="3" t="s">
        <f>=HYPERLINK("https://mp39851918.megaplan.ua/deals/86014/card/","14246")</f>
      </c>
      <c r="B853" s="3" t="inlineStr">
        <is>
          <t>112-5844215-1349069</t>
        </is>
      </c>
      <c r="C853" s="3" t="inlineStr">
        <is>
          <t>RockyMountain</t>
        </is>
      </c>
    </row>
    <row collapsed="false" customFormat="false" customHeight="false" hidden="false" ht="12.1" outlineLevel="0" r="854">
      <c r="A854" s="3" t="s">
        <f>=HYPERLINK("https://mp39851918.megaplan.ua/deals/86028/card/","14248")</f>
      </c>
      <c r="B854" s="3" t="inlineStr">
        <is>
          <t>112-5009473-2701032</t>
        </is>
      </c>
      <c r="C854" s="3" t="inlineStr">
        <is>
          <t>RockyMountain</t>
        </is>
      </c>
    </row>
    <row collapsed="false" customFormat="false" customHeight="false" hidden="false" ht="12.1" outlineLevel="0" r="855">
      <c r="A855" s="3" t="s">
        <f>=HYPERLINK("https://mp39851918.megaplan.ua/deals/86031/card/","14249")</f>
      </c>
      <c r="B855" s="3" t="inlineStr">
        <is>
          <t>111-5812085-7519461</t>
        </is>
      </c>
      <c r="C855" s="3" t="inlineStr">
        <is>
          <t>RockyMountain</t>
        </is>
      </c>
    </row>
    <row collapsed="false" customFormat="false" customHeight="false" hidden="false" ht="12.1" outlineLevel="0" r="856">
      <c r="A856" s="3" t="s">
        <f>=HYPERLINK("https://mp39851918.megaplan.ua/deals/86032/card/","14250")</f>
      </c>
      <c r="B856" s="3" t="inlineStr">
        <is>
          <t>112-0420736-2265828</t>
        </is>
      </c>
      <c r="C856" s="3" t="inlineStr">
        <is>
          <t>RockyMountain</t>
        </is>
      </c>
    </row>
    <row collapsed="false" customFormat="false" customHeight="false" hidden="false" ht="12.1" outlineLevel="0" r="857">
      <c r="A857" s="3" t="s">
        <f>=HYPERLINK("https://mp39851918.megaplan.ua/deals/86057/card/","14251")</f>
      </c>
      <c r="B857" s="3" t="inlineStr">
        <is>
          <t>113-6973093-1481821</t>
        </is>
      </c>
      <c r="C857" s="3" t="inlineStr">
        <is>
          <t>RockyMountain</t>
        </is>
      </c>
    </row>
    <row collapsed="false" customFormat="false" customHeight="false" hidden="false" ht="12.1" outlineLevel="0" r="858">
      <c r="A858" s="3" t="s">
        <f>=HYPERLINK("https://mp39851918.megaplan.ua/deals/86061/card/","14253")</f>
      </c>
      <c r="B858" s="3" t="inlineStr">
        <is>
          <t>114-6643029-6754669</t>
        </is>
      </c>
      <c r="C858" s="3" t="inlineStr">
        <is>
          <t>RockyMountain</t>
        </is>
      </c>
    </row>
    <row collapsed="false" customFormat="false" customHeight="false" hidden="false" ht="12.1" outlineLevel="0" r="859">
      <c r="A859" s="3" t="s">
        <f>=HYPERLINK("https://mp39851918.megaplan.ua/deals/86068/card/","14255")</f>
      </c>
      <c r="B859" s="3" t="inlineStr">
        <is>
          <t>111-5279001-0084205</t>
        </is>
      </c>
      <c r="C859" s="3" t="inlineStr">
        <is>
          <t>TuckerRocky</t>
        </is>
      </c>
    </row>
    <row collapsed="false" customFormat="false" customHeight="false" hidden="false" ht="12.1" outlineLevel="0" r="860">
      <c r="A860" s="3" t="s">
        <f>=HYPERLINK("https://mp39851918.megaplan.ua/deals/86078/card/","14256")</f>
      </c>
      <c r="B860" s="3" t="inlineStr">
        <is>
          <t>113-3340401-4811437</t>
        </is>
      </c>
      <c r="C860" s="3" t="inlineStr">
        <is>
          <t>RockyMountain</t>
        </is>
      </c>
    </row>
    <row collapsed="false" customFormat="false" customHeight="false" hidden="false" ht="12.1" outlineLevel="0" r="861">
      <c r="A861" s="3" t="s">
        <f>=HYPERLINK("https://mp39851918.megaplan.ua/deals/86079/card/","14257")</f>
      </c>
      <c r="B861" s="3" t="inlineStr">
        <is>
          <t>111-8155063-8719419</t>
        </is>
      </c>
      <c r="C861" s="3" t="inlineStr">
        <is>
          <t>Autodist</t>
        </is>
      </c>
    </row>
    <row collapsed="false" customFormat="false" customHeight="false" hidden="false" ht="12.1" outlineLevel="0" r="862">
      <c r="A862" s="3" t="s">
        <f>=HYPERLINK("https://mp39851918.megaplan.ua/deals/86081/card/","14258")</f>
      </c>
      <c r="B862" s="3" t="inlineStr">
        <is>
          <t>111-6384445-2213005</t>
        </is>
      </c>
      <c r="C862" s="3" t="inlineStr">
        <is>
          <t>RockyMountain</t>
        </is>
      </c>
    </row>
    <row collapsed="false" customFormat="false" customHeight="false" hidden="false" ht="12.1" outlineLevel="0" r="863">
      <c r="A863" s="3" t="s">
        <f>=HYPERLINK("https://mp39851918.megaplan.ua/deals/86082/card/","14259")</f>
      </c>
      <c r="B863" s="3" t="inlineStr">
        <is>
          <t>113-6539844-2233032</t>
        </is>
      </c>
      <c r="C863" s="3" t="inlineStr">
        <is>
          <t>Autodist</t>
        </is>
      </c>
    </row>
    <row collapsed="false" customFormat="false" customHeight="false" hidden="false" ht="12.1" outlineLevel="0" r="864">
      <c r="A864" s="3" t="s">
        <f>=HYPERLINK("https://mp39851918.megaplan.ua/deals/86100/card/","14260")</f>
      </c>
      <c r="B864" s="3" t="inlineStr">
        <is>
          <t>111-3988739-8488253</t>
        </is>
      </c>
      <c r="C864" s="3" t="inlineStr">
        <is>
          <t>Autodist</t>
        </is>
      </c>
    </row>
    <row collapsed="false" customFormat="false" customHeight="false" hidden="false" ht="12.1" outlineLevel="0" r="865">
      <c r="A865" s="3" t="s">
        <f>=HYPERLINK("https://mp39851918.megaplan.ua/deals/86109/card/","14261")</f>
      </c>
      <c r="B865" s="3" t="inlineStr">
        <is>
          <t>112-3333503-2492230</t>
        </is>
      </c>
      <c r="C865" s="3" t="inlineStr">
        <is>
          <t>RockyMountain</t>
        </is>
      </c>
    </row>
    <row collapsed="false" customFormat="false" customHeight="false" hidden="false" ht="12.1" outlineLevel="0" r="866">
      <c r="A866" s="3" t="s">
        <f>=HYPERLINK("https://mp39851918.megaplan.ua/deals/86110/card/","14262")</f>
      </c>
      <c r="B866" s="3" t="inlineStr">
        <is>
          <t>113-6472107-8658658</t>
        </is>
      </c>
      <c r="C866" s="3" t="inlineStr">
        <is>
          <t>RockyMountain</t>
        </is>
      </c>
    </row>
    <row collapsed="false" customFormat="false" customHeight="false" hidden="false" ht="12.1" outlineLevel="0" r="867">
      <c r="A867" s="3" t="s">
        <f>=HYPERLINK("https://mp39851918.megaplan.ua/deals/86116/card/","14264")</f>
      </c>
      <c r="B867" s="3" t="inlineStr">
        <is>
          <t>111-7603883-4444219</t>
        </is>
      </c>
      <c r="C867" s="3" t="inlineStr">
        <is>
          <t>Autodist</t>
        </is>
      </c>
    </row>
    <row collapsed="false" customFormat="false" customHeight="false" hidden="false" ht="12.1" outlineLevel="0" r="868">
      <c r="A868" s="3" t="s">
        <f>=HYPERLINK("https://mp39851918.megaplan.ua/deals/86129/card/","14266")</f>
      </c>
      <c r="B868" s="3" t="inlineStr">
        <is>
          <t>113-4776216-2017824</t>
        </is>
      </c>
      <c r="C868" s="3" t="inlineStr">
        <is>
          <t>RockyMountain</t>
        </is>
      </c>
    </row>
    <row collapsed="false" customFormat="false" customHeight="false" hidden="false" ht="12.1" outlineLevel="0" r="869">
      <c r="A869" s="3" t="s">
        <f>=HYPERLINK("https://mp39851918.megaplan.ua/deals/86135/card/","14267")</f>
      </c>
      <c r="B869" s="3" t="inlineStr">
        <is>
          <t>111-6853446-3682657</t>
        </is>
      </c>
      <c r="C869" s="3" t="inlineStr">
        <is>
          <t>RockyMountain</t>
        </is>
      </c>
    </row>
    <row collapsed="false" customFormat="false" customHeight="false" hidden="false" ht="12.1" outlineLevel="0" r="870">
      <c r="A870" s="3" t="s">
        <f>=HYPERLINK("https://mp39851918.megaplan.ua/deals/86141/card/","14268")</f>
      </c>
      <c r="B870" s="3" t="inlineStr">
        <is>
          <t>111-4020837-3343402</t>
        </is>
      </c>
      <c r="C870" s="3" t="inlineStr">
        <is>
          <t>RockyMountain</t>
        </is>
      </c>
    </row>
    <row collapsed="false" customFormat="false" customHeight="false" hidden="false" ht="12.1" outlineLevel="0" r="871">
      <c r="A871" s="3" t="s">
        <f>=HYPERLINK("https://mp39851918.megaplan.ua/deals/86167/card/","14269")</f>
      </c>
      <c r="B871" s="3" t="inlineStr">
        <is>
          <t>114-9245365-5195456</t>
        </is>
      </c>
      <c r="C871" s="3" t="inlineStr">
        <is>
          <t>Autodist</t>
        </is>
      </c>
    </row>
    <row collapsed="false" customFormat="false" customHeight="false" hidden="false" ht="12.1" outlineLevel="0" r="872">
      <c r="A872" s="3" t="s">
        <f>=HYPERLINK("https://mp39851918.megaplan.ua/deals/86169/card/","14270")</f>
      </c>
      <c r="B872" s="3" t="inlineStr">
        <is>
          <t>113-5089740-6178663</t>
        </is>
      </c>
      <c r="C872" s="3" t="inlineStr">
        <is>
          <t>RockyMountain</t>
        </is>
      </c>
    </row>
    <row collapsed="false" customFormat="false" customHeight="false" hidden="false" ht="12.1" outlineLevel="0" r="873">
      <c r="A873" s="3" t="s">
        <f>=HYPERLINK("https://mp39851918.megaplan.ua/deals/86172/card/","14271")</f>
      </c>
      <c r="B873" s="3" t="inlineStr">
        <is>
          <t>113-0686067-4202663</t>
        </is>
      </c>
      <c r="C873" s="3" t="inlineStr">
        <is>
          <t>RockyMountain</t>
        </is>
      </c>
    </row>
    <row collapsed="false" customFormat="false" customHeight="false" hidden="false" ht="12.1" outlineLevel="0" r="874">
      <c r="A874" s="3" t="s">
        <f>=HYPERLINK("https://mp39851918.megaplan.ua/deals/86186/card/","14272")</f>
      </c>
      <c r="B874" s="3" t="inlineStr">
        <is>
          <t>111-8626817-2840263</t>
        </is>
      </c>
      <c r="C874" s="3" t="inlineStr">
        <is>
          <t>RockyMountain</t>
        </is>
      </c>
    </row>
    <row collapsed="false" customFormat="false" customHeight="false" hidden="false" ht="12.1" outlineLevel="0" r="875">
      <c r="A875" s="3" t="s">
        <f>=HYPERLINK("https://mp39851918.megaplan.ua/deals/86191/card/","14273")</f>
      </c>
      <c r="B875" s="3" t="inlineStr">
        <is>
          <t>111-0166114-5423407</t>
        </is>
      </c>
      <c r="C875" s="3" t="inlineStr">
        <is>
          <t>RockyMountain</t>
        </is>
      </c>
    </row>
    <row collapsed="false" customFormat="false" customHeight="false" hidden="false" ht="12.1" outlineLevel="0" r="876">
      <c r="A876" s="3" t="s">
        <f>=HYPERLINK("https://mp39851918.megaplan.ua/deals/86193/card/","14274")</f>
      </c>
      <c r="B876" s="3" t="inlineStr">
        <is>
          <t>112-4076640-8613050</t>
        </is>
      </c>
      <c r="C876" s="3" t="inlineStr">
        <is>
          <t>RockyMountain</t>
        </is>
      </c>
    </row>
    <row collapsed="false" customFormat="false" customHeight="false" hidden="false" ht="12.1" outlineLevel="0" r="877">
      <c r="A877" s="3" t="s">
        <f>=HYPERLINK("https://mp39851918.megaplan.ua/deals/86200/card/","14277")</f>
      </c>
      <c r="B877" s="3" t="inlineStr">
        <is>
          <t>112-0859913-5616216</t>
        </is>
      </c>
      <c r="C877" s="3" t="inlineStr">
        <is>
          <t>Autodist</t>
        </is>
      </c>
    </row>
    <row collapsed="false" customFormat="false" customHeight="false" hidden="false" ht="12.1" outlineLevel="0" r="878">
      <c r="A878" s="3" t="s">
        <f>=HYPERLINK("https://mp39851918.megaplan.ua/deals/86203/card/","14278")</f>
      </c>
      <c r="B878" s="3" t="inlineStr">
        <is>
          <t>114-0742630-8021034</t>
        </is>
      </c>
      <c r="C878" s="3" t="inlineStr">
        <is>
          <t>RockyMountain</t>
        </is>
      </c>
    </row>
    <row collapsed="false" customFormat="false" customHeight="false" hidden="false" ht="12.1" outlineLevel="0" r="879">
      <c r="A879" s="3" t="s">
        <f>=HYPERLINK("https://mp39851918.megaplan.ua/deals/86204/card/","14279")</f>
      </c>
      <c r="B879" s="3" t="inlineStr">
        <is>
          <t>114-5361954-7286634</t>
        </is>
      </c>
      <c r="C879" s="3" t="inlineStr">
        <is>
          <t>RockyMountain</t>
        </is>
      </c>
    </row>
    <row collapsed="false" customFormat="false" customHeight="false" hidden="false" ht="12.1" outlineLevel="0" r="880">
      <c r="A880" s="3" t="s">
        <f>=HYPERLINK("https://mp39851918.megaplan.ua/deals/86205/card/","14280")</f>
      </c>
      <c r="B880" s="3" t="inlineStr">
        <is>
          <t>111-8164792-6386653</t>
        </is>
      </c>
      <c r="C880" s="3" t="inlineStr">
        <is>
          <t>RockyMountain</t>
        </is>
      </c>
    </row>
    <row collapsed="false" customFormat="false" customHeight="false" hidden="false" ht="12.1" outlineLevel="0" r="881">
      <c r="A881" s="3" t="s">
        <f>=HYPERLINK("https://mp39851918.megaplan.ua/deals/86206/card/","14281")</f>
      </c>
      <c r="B881" s="3" t="inlineStr">
        <is>
          <t>111-8224777-3071469</t>
        </is>
      </c>
      <c r="C881" s="3" t="inlineStr">
        <is>
          <t>Autodist</t>
        </is>
      </c>
    </row>
    <row collapsed="false" customFormat="false" customHeight="false" hidden="false" ht="12.1" outlineLevel="0" r="882">
      <c r="A882" s="3" t="s">
        <f>=HYPERLINK("https://mp39851918.megaplan.ua/deals/86207/card/","14282")</f>
      </c>
      <c r="B882" s="3" t="inlineStr">
        <is>
          <t>114-8962199-2121043</t>
        </is>
      </c>
      <c r="C882" s="3" t="inlineStr">
        <is>
          <t>RockyMountain</t>
        </is>
      </c>
    </row>
    <row collapsed="false" customFormat="false" customHeight="false" hidden="false" ht="12.1" outlineLevel="0" r="883">
      <c r="A883" s="3" t="s">
        <f>=HYPERLINK("https://mp39851918.megaplan.ua/deals/86214/card/","14284")</f>
      </c>
      <c r="B883" s="3" t="inlineStr">
        <is>
          <t>113-4977239-5272243</t>
        </is>
      </c>
      <c r="C883" s="3" t="inlineStr">
        <is>
          <t>RockyMountain</t>
        </is>
      </c>
    </row>
    <row collapsed="false" customFormat="false" customHeight="false" hidden="false" ht="12.1" outlineLevel="0" r="884">
      <c r="A884" s="3" t="s">
        <f>=HYPERLINK("https://mp39851918.megaplan.ua/deals/86239/card/","14287")</f>
      </c>
      <c r="B884" s="3" t="inlineStr">
        <is>
          <t>112-1260163-7886609</t>
        </is>
      </c>
      <c r="C884" s="3" t="inlineStr">
        <is>
          <t>RockyMountain</t>
        </is>
      </c>
    </row>
    <row collapsed="false" customFormat="false" customHeight="false" hidden="false" ht="12.1" outlineLevel="0" r="885">
      <c r="A885" s="3" t="s">
        <f>=HYPERLINK("https://mp39851918.megaplan.ua/deals/86240/card/","14288")</f>
      </c>
      <c r="B885" s="3" t="inlineStr">
        <is>
          <t>113-5650637-4797839</t>
        </is>
      </c>
      <c r="C885" s="3" t="inlineStr">
        <is>
          <t>Autodist</t>
        </is>
      </c>
    </row>
    <row collapsed="false" customFormat="false" customHeight="false" hidden="false" ht="12.1" outlineLevel="0" r="886">
      <c r="A886" s="3" t="s">
        <f>=HYPERLINK("https://mp39851918.megaplan.ua/deals/86260/card/","14289")</f>
      </c>
      <c r="B886" s="3" t="inlineStr">
        <is>
          <t>113-4406699-4885805</t>
        </is>
      </c>
      <c r="C886" s="3" t="inlineStr">
        <is>
          <t>RockyMountain</t>
        </is>
      </c>
    </row>
    <row collapsed="false" customFormat="false" customHeight="false" hidden="false" ht="12.1" outlineLevel="0" r="887">
      <c r="A887" s="3" t="s">
        <f>=HYPERLINK("https://mp39851918.megaplan.ua/deals/86268/card/","14290")</f>
      </c>
      <c r="B887" s="3" t="inlineStr">
        <is>
          <t>111-6097425-9321000</t>
        </is>
      </c>
      <c r="C887" s="3" t="inlineStr">
        <is>
          <t>Autodist</t>
        </is>
      </c>
    </row>
    <row collapsed="false" customFormat="false" customHeight="false" hidden="false" ht="12.1" outlineLevel="0" r="888">
      <c r="A888" s="3" t="s">
        <f>=HYPERLINK("https://mp39851918.megaplan.ua/deals/86269/card/","14291")</f>
      </c>
      <c r="B888" s="3" t="inlineStr">
        <is>
          <t>111-8133397-5273831</t>
        </is>
      </c>
      <c r="C888" s="3" t="inlineStr">
        <is>
          <t>RockyMountain</t>
        </is>
      </c>
    </row>
    <row collapsed="false" customFormat="false" customHeight="false" hidden="false" ht="12.1" outlineLevel="0" r="889">
      <c r="A889" s="3" t="s">
        <f>=HYPERLINK("https://mp39851918.megaplan.ua/deals/86274/card/","14292")</f>
      </c>
      <c r="B889" s="3" t="inlineStr">
        <is>
          <t>113-6156118-1579463</t>
        </is>
      </c>
      <c r="C889" s="3" t="inlineStr">
        <is>
          <t>Autodist</t>
        </is>
      </c>
    </row>
    <row collapsed="false" customFormat="false" customHeight="false" hidden="false" ht="12.1" outlineLevel="0" r="890">
      <c r="A890" s="3" t="s">
        <f>=HYPERLINK("https://mp39851918.megaplan.ua/deals/86275/card/","14293")</f>
      </c>
      <c r="B890" s="3" t="inlineStr">
        <is>
          <t>114-7183643-5671411</t>
        </is>
      </c>
      <c r="C890" s="3" t="inlineStr">
        <is>
          <t>Autodist</t>
        </is>
      </c>
    </row>
    <row collapsed="false" customFormat="false" customHeight="false" hidden="false" ht="12.1" outlineLevel="0" r="891">
      <c r="A891" s="3" t="s">
        <f>=HYPERLINK("https://mp39851918.megaplan.ua/deals/86298/card/","14295")</f>
      </c>
      <c r="B891" s="3" t="inlineStr">
        <is>
          <t>111-6319710-0994624</t>
        </is>
      </c>
      <c r="C891" s="3" t="inlineStr">
        <is>
          <t>RockyMountain</t>
        </is>
      </c>
    </row>
    <row collapsed="false" customFormat="false" customHeight="false" hidden="false" ht="12.1" outlineLevel="0" r="892">
      <c r="A892" s="3" t="s">
        <f>=HYPERLINK("https://mp39851918.megaplan.ua/deals/86304/card/","14296")</f>
      </c>
      <c r="B892" s="3" t="inlineStr">
        <is>
          <t>114-7584567-6345842</t>
        </is>
      </c>
      <c r="C892" s="3" t="inlineStr">
        <is>
          <t>RockyMountain</t>
        </is>
      </c>
    </row>
    <row collapsed="false" customFormat="false" customHeight="false" hidden="false" ht="12.1" outlineLevel="0" r="893">
      <c r="A893" s="3" t="s">
        <f>=HYPERLINK("https://mp39851918.megaplan.ua/deals/86320/card/","14298")</f>
      </c>
      <c r="B893" s="3" t="inlineStr">
        <is>
          <t>111-1986180-4157019</t>
        </is>
      </c>
      <c r="C893" s="3" t="inlineStr">
        <is>
          <t>RockyMountain</t>
        </is>
      </c>
    </row>
    <row collapsed="false" customFormat="false" customHeight="false" hidden="false" ht="12.1" outlineLevel="0" r="894">
      <c r="A894" s="3" t="s">
        <f>=HYPERLINK("https://mp39851918.megaplan.ua/deals/86331/card/","14299")</f>
      </c>
      <c r="B894" s="3" t="inlineStr">
        <is>
          <t>111-4844031-6100236</t>
        </is>
      </c>
      <c r="C894" s="3" t="inlineStr">
        <is>
          <t>RockyMountain</t>
        </is>
      </c>
    </row>
    <row collapsed="false" customFormat="false" customHeight="false" hidden="false" ht="12.1" outlineLevel="0" r="895">
      <c r="A895" s="3" t="s">
        <f>=HYPERLINK("https://mp39851918.megaplan.ua/deals/86332/card/","14300")</f>
      </c>
      <c r="B895" s="3" t="inlineStr">
        <is>
          <t>113-7137358-2757029</t>
        </is>
      </c>
      <c r="C895" s="3" t="inlineStr">
        <is>
          <t>Autodist</t>
        </is>
      </c>
    </row>
    <row collapsed="false" customFormat="false" customHeight="false" hidden="false" ht="12.1" outlineLevel="0" r="896">
      <c r="A896" s="3" t="s">
        <f>=HYPERLINK("https://mp39851918.megaplan.ua/deals/86356/card/","14302")</f>
      </c>
      <c r="B896" s="3" t="inlineStr">
        <is>
          <t>114-8999453-5765060</t>
        </is>
      </c>
      <c r="C896" s="3" t="inlineStr">
        <is>
          <t>PartsUnlimited</t>
        </is>
      </c>
    </row>
    <row collapsed="false" customFormat="false" customHeight="false" hidden="false" ht="12.1" outlineLevel="0" r="897">
      <c r="A897" s="3" t="s">
        <f>=HYPERLINK("https://mp39851918.megaplan.ua/deals/86357/card/","14303")</f>
      </c>
      <c r="B897" s="3" t="inlineStr">
        <is>
          <t>113-7727747-6538662</t>
        </is>
      </c>
      <c r="C897" s="3" t="inlineStr">
        <is>
          <t>RockyMountain</t>
        </is>
      </c>
    </row>
    <row collapsed="false" customFormat="false" customHeight="false" hidden="false" ht="12.1" outlineLevel="0" r="898">
      <c r="A898" s="3" t="s">
        <f>=HYPERLINK("https://mp39851918.megaplan.ua/deals/86361/card/","14304")</f>
      </c>
      <c r="B898" s="3" t="inlineStr">
        <is>
          <t>114-7422302-2397838</t>
        </is>
      </c>
      <c r="C898" s="3" t="inlineStr">
        <is>
          <t>RockyMountain</t>
        </is>
      </c>
    </row>
    <row collapsed="false" customFormat="false" customHeight="false" hidden="false" ht="12.1" outlineLevel="0" r="899">
      <c r="A899" s="3" t="s">
        <f>=HYPERLINK("https://mp39851918.megaplan.ua/deals/86377/card/","14308")</f>
      </c>
      <c r="B899" s="3" t="inlineStr">
        <is>
          <t>111-1313094-8089008</t>
        </is>
      </c>
      <c r="C899" s="3" t="inlineStr">
        <is>
          <t>Autodist</t>
        </is>
      </c>
    </row>
    <row collapsed="false" customFormat="false" customHeight="false" hidden="false" ht="12.1" outlineLevel="0" r="900">
      <c r="A900" s="3" t="s">
        <f>=HYPERLINK("https://mp39851918.megaplan.ua/deals/86398/card/","14311")</f>
      </c>
      <c r="B900" s="3" t="inlineStr">
        <is>
          <t>112-3611394-1319418</t>
        </is>
      </c>
      <c r="C900" s="3" t="inlineStr">
        <is>
          <t>Autodist</t>
        </is>
      </c>
    </row>
    <row collapsed="false" customFormat="false" customHeight="false" hidden="false" ht="12.1" outlineLevel="0" r="901">
      <c r="A901" s="3" t="s">
        <f>=HYPERLINK("https://mp39851918.megaplan.ua/deals/86405/card/","14312")</f>
      </c>
      <c r="B901" s="3" t="inlineStr">
        <is>
          <t>112-4423437-7017047</t>
        </is>
      </c>
      <c r="C901" s="3" t="inlineStr">
        <is>
          <t>RockyMountain</t>
        </is>
      </c>
    </row>
    <row collapsed="false" customFormat="false" customHeight="false" hidden="false" ht="12.1" outlineLevel="0" r="902">
      <c r="A902" s="3" t="s">
        <f>=HYPERLINK("https://mp39851918.megaplan.ua/deals/86406/card/","14313")</f>
      </c>
      <c r="B902" s="3" t="inlineStr">
        <is>
          <t>111-0379992-4706605</t>
        </is>
      </c>
      <c r="C902" s="3" t="inlineStr">
        <is>
          <t>RockyMountain</t>
        </is>
      </c>
    </row>
    <row collapsed="false" customFormat="false" customHeight="false" hidden="false" ht="12.1" outlineLevel="0" r="903">
      <c r="A903" s="3" t="s">
        <f>=HYPERLINK("https://mp39851918.megaplan.ua/deals/86407/card/","14314")</f>
      </c>
      <c r="B903" s="3" t="inlineStr">
        <is>
          <t>113-3147552-2596253</t>
        </is>
      </c>
      <c r="C903" s="3" t="inlineStr">
        <is>
          <t>PartsUnlimited</t>
        </is>
      </c>
    </row>
    <row collapsed="false" customFormat="false" customHeight="false" hidden="false" ht="12.1" outlineLevel="0" r="904">
      <c r="A904" s="3" t="s">
        <f>=HYPERLINK("https://mp39851918.megaplan.ua/deals/86408/card/","14315")</f>
      </c>
      <c r="B904" s="3" t="inlineStr">
        <is>
          <t>113-6650591-8530627</t>
        </is>
      </c>
      <c r="C904" s="3" t="inlineStr">
        <is>
          <t>RockyMountain</t>
        </is>
      </c>
    </row>
    <row collapsed="false" customFormat="false" customHeight="false" hidden="false" ht="12.1" outlineLevel="0" r="905">
      <c r="A905" s="3" t="s">
        <f>=HYPERLINK("https://mp39851918.megaplan.ua/deals/86413/card/","14316")</f>
      </c>
      <c r="B905" s="3" t="inlineStr">
        <is>
          <t>112-3839844-2994642</t>
        </is>
      </c>
      <c r="C905" s="3" t="inlineStr">
        <is>
          <t>PartsUnlimited</t>
        </is>
      </c>
    </row>
    <row collapsed="false" customFormat="false" customHeight="false" hidden="false" ht="12.1" outlineLevel="0" r="906">
      <c r="A906" s="3" t="s">
        <f>=HYPERLINK("https://mp39851918.megaplan.ua/deals/86430/card/","14318")</f>
      </c>
      <c r="B906" s="3" t="inlineStr">
        <is>
          <t>114-5178071-6506657</t>
        </is>
      </c>
      <c r="C906" s="3" t="inlineStr">
        <is>
          <t>Autodist</t>
        </is>
      </c>
    </row>
    <row collapsed="false" customFormat="false" customHeight="false" hidden="false" ht="12.1" outlineLevel="0" r="907">
      <c r="A907" s="3" t="s">
        <f>=HYPERLINK("https://mp39851918.megaplan.ua/deals/86438/card/","14319")</f>
      </c>
      <c r="B907" s="3" t="inlineStr">
        <is>
          <t>111-0768061-1676227</t>
        </is>
      </c>
      <c r="C907" s="3" t="inlineStr">
        <is>
          <t>RockyMountain</t>
        </is>
      </c>
    </row>
    <row collapsed="false" customFormat="false" customHeight="false" hidden="false" ht="12.1" outlineLevel="0" r="908">
      <c r="A908" s="3" t="s">
        <f>=HYPERLINK("https://mp39851918.megaplan.ua/deals/86441/card/","14320")</f>
      </c>
      <c r="B908" s="3" t="inlineStr">
        <is>
          <t>112-8388921-1418634</t>
        </is>
      </c>
      <c r="C908" s="3" t="inlineStr">
        <is>
          <t>Autodist</t>
        </is>
      </c>
    </row>
    <row collapsed="false" customFormat="false" customHeight="false" hidden="false" ht="12.1" outlineLevel="0" r="909">
      <c r="A909" s="3" t="s">
        <f>=HYPERLINK("https://mp39851918.megaplan.ua/deals/86444/card/","14322")</f>
      </c>
      <c r="B909" s="3" t="inlineStr">
        <is>
          <t>112-2771515-0768210</t>
        </is>
      </c>
      <c r="C909" s="3" t="inlineStr">
        <is>
          <t>PartsUnlimited</t>
        </is>
      </c>
    </row>
    <row collapsed="false" customFormat="false" customHeight="false" hidden="false" ht="12.1" outlineLevel="0" r="910">
      <c r="A910" s="3" t="s">
        <f>=HYPERLINK("https://mp39851918.megaplan.ua/deals/86465/card/","14323")</f>
      </c>
      <c r="B910" s="3" t="inlineStr">
        <is>
          <t>112-0794058-9337041</t>
        </is>
      </c>
      <c r="C910" s="3" t="inlineStr">
        <is>
          <t>RockyMountain</t>
        </is>
      </c>
    </row>
    <row collapsed="false" customFormat="false" customHeight="false" hidden="false" ht="12.1" outlineLevel="0" r="911">
      <c r="A911" s="3" t="s">
        <f>=HYPERLINK("https://mp39851918.megaplan.ua/deals/86490/card/","14324")</f>
      </c>
      <c r="B911" s="3" t="inlineStr">
        <is>
          <t>112-6251605-9164250</t>
        </is>
      </c>
      <c r="C911" s="3" t="inlineStr">
        <is>
          <t>RockyMountain</t>
        </is>
      </c>
    </row>
    <row collapsed="false" customFormat="false" customHeight="false" hidden="false" ht="12.1" outlineLevel="0" r="912">
      <c r="A912" s="3" t="s">
        <f>=HYPERLINK("https://mp39851918.megaplan.ua/deals/86498/card/","14325")</f>
      </c>
      <c r="B912" s="3" t="inlineStr">
        <is>
          <t>114-7977159-9353004</t>
        </is>
      </c>
      <c r="C912" s="3" t="inlineStr">
        <is>
          <t>RockyMountain</t>
        </is>
      </c>
    </row>
    <row collapsed="false" customFormat="false" customHeight="false" hidden="false" ht="12.1" outlineLevel="0" r="913">
      <c r="A913" s="3" t="s">
        <f>=HYPERLINK("https://mp39851918.megaplan.ua/deals/86514/card/","14326")</f>
      </c>
      <c r="B913" s="3" t="inlineStr">
        <is>
          <t>114-6677466-0669039</t>
        </is>
      </c>
      <c r="C913" s="3" t="inlineStr">
        <is>
          <t>PartsUnlimited</t>
        </is>
      </c>
    </row>
    <row collapsed="false" customFormat="false" customHeight="false" hidden="false" ht="12.1" outlineLevel="0" r="914">
      <c r="A914" s="3" t="s">
        <f>=HYPERLINK("https://mp39851918.megaplan.ua/deals/86521/card/","14327")</f>
      </c>
      <c r="B914" s="3" t="inlineStr">
        <is>
          <t>114-3762295-1842657</t>
        </is>
      </c>
      <c r="C914" s="3" t="inlineStr">
        <is>
          <t>RockyMountain</t>
        </is>
      </c>
    </row>
    <row collapsed="false" customFormat="false" customHeight="false" hidden="false" ht="12.1" outlineLevel="0" r="915">
      <c r="A915" s="3" t="s">
        <f>=HYPERLINK("https://mp39851918.megaplan.ua/deals/86531/card/","14330")</f>
      </c>
      <c r="B915" s="3" t="inlineStr">
        <is>
          <t>113-9108403-9327458</t>
        </is>
      </c>
      <c r="C915" s="3" t="inlineStr">
        <is>
          <t>RockyMountain</t>
        </is>
      </c>
    </row>
    <row collapsed="false" customFormat="false" customHeight="false" hidden="false" ht="12.1" outlineLevel="0" r="916">
      <c r="A916" s="3" t="s">
        <f>=HYPERLINK("https://mp39851918.megaplan.ua/deals/86532/card/","14331")</f>
      </c>
      <c r="B916" s="3" t="inlineStr">
        <is>
          <t>114-3351028-4124252</t>
        </is>
      </c>
      <c r="C916" s="3" t="inlineStr">
        <is>
          <t>PartsUnlimited</t>
        </is>
      </c>
    </row>
    <row collapsed="false" customFormat="false" customHeight="false" hidden="false" ht="12.1" outlineLevel="0" r="917">
      <c r="A917" s="3" t="s">
        <f>=HYPERLINK("https://mp39851918.megaplan.ua/deals/86535/card/","14332")</f>
      </c>
      <c r="B917" s="3" t="inlineStr">
        <is>
          <t>112-6034123-6337862</t>
        </is>
      </c>
      <c r="C917" s="3" t="inlineStr">
        <is>
          <t>RockyMountain</t>
        </is>
      </c>
    </row>
    <row collapsed="false" customFormat="false" customHeight="false" hidden="false" ht="12.1" outlineLevel="0" r="918">
      <c r="A918" s="3" t="s">
        <f>=HYPERLINK("https://mp39851918.megaplan.ua/deals/86540/card/","14333")</f>
      </c>
      <c r="B918" s="3" t="inlineStr">
        <is>
          <t>113-5465363-4493064</t>
        </is>
      </c>
      <c r="C918" s="3" t="inlineStr">
        <is>
          <t>RockyMountain</t>
        </is>
      </c>
    </row>
    <row collapsed="false" customFormat="false" customHeight="false" hidden="false" ht="12.1" outlineLevel="0" r="919">
      <c r="A919" s="3" t="s">
        <f>=HYPERLINK("https://mp39851918.megaplan.ua/deals/86542/card/","14334")</f>
      </c>
      <c r="B919" s="3" t="inlineStr">
        <is>
          <t>114-8780385-3724259</t>
        </is>
      </c>
      <c r="C919" s="3" t="inlineStr">
        <is>
          <t>RockyMountain</t>
        </is>
      </c>
    </row>
    <row collapsed="false" customFormat="false" customHeight="false" hidden="false" ht="12.1" outlineLevel="0" r="920">
      <c r="A920" s="3" t="s">
        <f>=HYPERLINK("https://mp39851918.megaplan.ua/deals/86547/card/","14335")</f>
      </c>
      <c r="B920" s="3" t="inlineStr">
        <is>
          <t>113-3894437-2260240</t>
        </is>
      </c>
      <c r="C920" s="3" t="inlineStr">
        <is>
          <t>Autodist</t>
        </is>
      </c>
    </row>
    <row collapsed="false" customFormat="false" customHeight="false" hidden="false" ht="12.1" outlineLevel="0" r="921">
      <c r="A921" s="3" t="s">
        <f>=HYPERLINK("https://mp39851918.megaplan.ua/deals/86551/card/","14336")</f>
      </c>
      <c r="B921" s="3" t="inlineStr">
        <is>
          <t>113-6457461-5393832</t>
        </is>
      </c>
      <c r="C921" s="3" t="inlineStr">
        <is>
          <t>RockyMountain</t>
        </is>
      </c>
    </row>
    <row collapsed="false" customFormat="false" customHeight="false" hidden="false" ht="12.1" outlineLevel="0" r="922">
      <c r="A922" s="3" t="s">
        <f>=HYPERLINK("https://mp39851918.megaplan.ua/deals/86552/card/","14337")</f>
      </c>
      <c r="B922" s="3" t="inlineStr">
        <is>
          <t>112-7181674-2153056</t>
        </is>
      </c>
      <c r="C922" s="3" t="inlineStr">
        <is>
          <t>RockyMountain</t>
        </is>
      </c>
    </row>
    <row collapsed="false" customFormat="false" customHeight="false" hidden="false" ht="12.1" outlineLevel="0" r="923">
      <c r="A923" s="3" t="s">
        <f>=HYPERLINK("https://mp39851918.megaplan.ua/deals/86555/card/","14338")</f>
      </c>
      <c r="B923" s="3" t="inlineStr">
        <is>
          <t>114-4595021-1325832</t>
        </is>
      </c>
      <c r="C923" s="3" t="inlineStr">
        <is>
          <t>RockyMountain</t>
        </is>
      </c>
    </row>
    <row collapsed="false" customFormat="false" customHeight="false" hidden="false" ht="12.1" outlineLevel="0" r="924">
      <c r="A924" s="3" t="s">
        <f>=HYPERLINK("https://mp39851918.megaplan.ua/deals/86559/card/","14339")</f>
      </c>
      <c r="B924" s="3" t="inlineStr">
        <is>
          <t>113-5871233-4153062</t>
        </is>
      </c>
      <c r="C924" s="3" t="inlineStr">
        <is>
          <t>RockyMountain</t>
        </is>
      </c>
    </row>
    <row collapsed="false" customFormat="false" customHeight="false" hidden="false" ht="12.1" outlineLevel="0" r="925">
      <c r="A925" s="3" t="s">
        <f>=HYPERLINK("https://mp39851918.megaplan.ua/deals/86561/card/","14341")</f>
      </c>
      <c r="B925" s="3" t="inlineStr">
        <is>
          <t>111-8445293-0557863</t>
        </is>
      </c>
      <c r="C925" s="3" t="inlineStr">
        <is>
          <t>Autodist</t>
        </is>
      </c>
    </row>
    <row collapsed="false" customFormat="false" customHeight="false" hidden="false" ht="12.1" outlineLevel="0" r="926">
      <c r="A926" s="3" t="s">
        <f>=HYPERLINK("https://mp39851918.megaplan.ua/deals/86563/card/","14342")</f>
      </c>
      <c r="B926" s="3" t="inlineStr">
        <is>
          <t>114-6359144-5166663</t>
        </is>
      </c>
      <c r="C926" s="3" t="inlineStr">
        <is>
          <t>RockyMountain</t>
        </is>
      </c>
    </row>
    <row collapsed="false" customFormat="false" customHeight="false" hidden="false" ht="12.1" outlineLevel="0" r="927">
      <c r="A927" s="3" t="s">
        <f>=HYPERLINK("https://mp39851918.megaplan.ua/deals/86564/card/","14343")</f>
      </c>
      <c r="B927" s="3" t="inlineStr">
        <is>
          <t>113-7843005-2989023</t>
        </is>
      </c>
      <c r="C927" s="3" t="inlineStr">
        <is>
          <t>Autodist</t>
        </is>
      </c>
    </row>
    <row collapsed="false" customFormat="false" customHeight="false" hidden="false" ht="12.1" outlineLevel="0" r="928">
      <c r="A928" s="3" t="s">
        <f>=HYPERLINK("https://mp39851918.megaplan.ua/deals/86565/card/","14344")</f>
      </c>
      <c r="B928" s="3" t="inlineStr">
        <is>
          <t>113-2265810-6627417</t>
        </is>
      </c>
      <c r="C928" s="3" t="inlineStr">
        <is>
          <t>Autodist</t>
        </is>
      </c>
    </row>
    <row collapsed="false" customFormat="false" customHeight="false" hidden="false" ht="12.1" outlineLevel="0" r="929">
      <c r="A929" s="3" t="s">
        <f>=HYPERLINK("https://mp39851918.megaplan.ua/deals/86567/card/","14346")</f>
      </c>
      <c r="B929" s="3" t="inlineStr">
        <is>
          <t>113-1276397-7441060</t>
        </is>
      </c>
      <c r="C929" s="3" t="inlineStr">
        <is>
          <t>PartsUnlimited</t>
        </is>
      </c>
    </row>
    <row collapsed="false" customFormat="false" customHeight="false" hidden="false" ht="12.1" outlineLevel="0" r="930">
      <c r="A930" s="3" t="s">
        <f>=HYPERLINK("https://mp39851918.megaplan.ua/deals/86568/card/","14347")</f>
      </c>
      <c r="B930" s="3" t="inlineStr">
        <is>
          <t>112-8036303-4189840</t>
        </is>
      </c>
      <c r="C930" s="3" t="inlineStr">
        <is>
          <t>RockyMountain</t>
        </is>
      </c>
    </row>
    <row collapsed="false" customFormat="false" customHeight="false" hidden="false" ht="12.1" outlineLevel="0" r="931">
      <c r="A931" s="3" t="s">
        <f>=HYPERLINK("https://mp39851918.megaplan.ua/deals/86573/card/","14348")</f>
      </c>
      <c r="B931" s="3" t="inlineStr">
        <is>
          <t>113-7014343-1893017</t>
        </is>
      </c>
      <c r="C931" s="3" t="inlineStr">
        <is>
          <t>RockyMountain</t>
        </is>
      </c>
    </row>
    <row collapsed="false" customFormat="false" customHeight="false" hidden="false" ht="12.1" outlineLevel="0" r="932">
      <c r="A932" s="3" t="s">
        <f>=HYPERLINK("https://mp39851918.megaplan.ua/deals/86577/card/","14349")</f>
      </c>
      <c r="B932" s="3" t="inlineStr">
        <is>
          <t>111-8422733-1221041</t>
        </is>
      </c>
      <c r="C932" s="3" t="inlineStr">
        <is>
          <t>PartsUnlimited</t>
        </is>
      </c>
    </row>
    <row collapsed="false" customFormat="false" customHeight="false" hidden="false" ht="12.1" outlineLevel="0" r="933">
      <c r="A933" s="3" t="s">
        <f>=HYPERLINK("https://mp39851918.megaplan.ua/deals/86581/card/","14350")</f>
      </c>
      <c r="B933" s="3" t="inlineStr">
        <is>
          <t>112-7719162-6285042</t>
        </is>
      </c>
      <c r="C933" s="3" t="inlineStr">
        <is>
          <t>RockyMountain</t>
        </is>
      </c>
    </row>
    <row collapsed="false" customFormat="false" customHeight="false" hidden="false" ht="12.1" outlineLevel="0" r="934">
      <c r="A934" s="3" t="s">
        <f>=HYPERLINK("https://mp39851918.megaplan.ua/deals/86593/card/","14351")</f>
      </c>
      <c r="B934" s="3" t="inlineStr">
        <is>
          <t>113-7582610-9465813</t>
        </is>
      </c>
      <c r="C934" s="3" t="inlineStr">
        <is>
          <t>RockyMountain</t>
        </is>
      </c>
    </row>
    <row collapsed="false" customFormat="false" customHeight="false" hidden="false" ht="12.1" outlineLevel="0" r="935">
      <c r="A935" s="3" t="s">
        <f>=HYPERLINK("https://mp39851918.megaplan.ua/deals/86604/card/","14352")</f>
      </c>
      <c r="B935" s="3" t="inlineStr">
        <is>
          <t>114-5587867-8045053</t>
        </is>
      </c>
      <c r="C935" s="3" t="inlineStr">
        <is>
          <t>RockyMountain</t>
        </is>
      </c>
    </row>
    <row collapsed="false" customFormat="false" customHeight="false" hidden="false" ht="12.1" outlineLevel="0" r="936">
      <c r="A936" s="3" t="s">
        <f>=HYPERLINK("https://mp39851918.megaplan.ua/deals/86618/card/","14353")</f>
      </c>
      <c r="B936" s="3" t="inlineStr">
        <is>
          <t>113-6205688-7652239</t>
        </is>
      </c>
      <c r="C936" s="3" t="inlineStr">
        <is>
          <t>RockyMountain</t>
        </is>
      </c>
    </row>
    <row collapsed="false" customFormat="false" customHeight="false" hidden="false" ht="12.1" outlineLevel="0" r="937">
      <c r="A937" s="3" t="s">
        <f>=HYPERLINK("https://mp39851918.megaplan.ua/deals/86620/card/","14354")</f>
      </c>
      <c r="B937" s="3" t="inlineStr">
        <is>
          <t>112-3905711-1230604</t>
        </is>
      </c>
      <c r="C937" s="3" t="inlineStr">
        <is>
          <t>RockyMountain</t>
        </is>
      </c>
    </row>
    <row collapsed="false" customFormat="false" customHeight="false" hidden="false" ht="12.1" outlineLevel="0" r="938">
      <c r="A938" s="3" t="s">
        <f>=HYPERLINK("https://mp39851918.megaplan.ua/deals/86629/card/","14355")</f>
      </c>
      <c r="B938" s="3" t="inlineStr">
        <is>
          <t>111-1474131-8855430</t>
        </is>
      </c>
      <c r="C938" s="3" t="inlineStr">
        <is>
          <t>RockyMountain</t>
        </is>
      </c>
    </row>
    <row collapsed="false" customFormat="false" customHeight="false" hidden="false" ht="12.1" outlineLevel="0" r="939">
      <c r="A939" s="3" t="s">
        <f>=HYPERLINK("https://mp39851918.megaplan.ua/deals/86644/card/","14356")</f>
      </c>
      <c r="B939" s="3" t="inlineStr">
        <is>
          <t>113-3925098-1985026</t>
        </is>
      </c>
      <c r="C939" s="3" t="inlineStr">
        <is>
          <t>RockyMountain</t>
        </is>
      </c>
    </row>
    <row collapsed="false" customFormat="false" customHeight="false" hidden="false" ht="12.1" outlineLevel="0" r="940">
      <c r="A940" s="3" t="s">
        <f>=HYPERLINK("https://mp39851918.megaplan.ua/deals/86651/card/","14357")</f>
      </c>
      <c r="B940" s="3" t="inlineStr">
        <is>
          <t>114-4668761-7106654</t>
        </is>
      </c>
      <c r="C940" s="3" t="inlineStr">
        <is>
          <t>RockyMountain</t>
        </is>
      </c>
    </row>
    <row collapsed="false" customFormat="false" customHeight="false" hidden="false" ht="12.1" outlineLevel="0" r="941">
      <c r="A941" s="3" t="s">
        <f>=HYPERLINK("https://mp39851918.megaplan.ua/deals/86663/card/","14358")</f>
      </c>
      <c r="B941" s="3" t="inlineStr">
        <is>
          <t>114-3029813-3261857</t>
        </is>
      </c>
      <c r="C941" s="3" t="inlineStr">
        <is>
          <t>RockyMountain</t>
        </is>
      </c>
    </row>
    <row collapsed="false" customFormat="false" customHeight="false" hidden="false" ht="12.1" outlineLevel="0" r="942">
      <c r="A942" s="3" t="s">
        <f>=HYPERLINK("https://mp39851918.megaplan.ua/deals/86667/card/","14359")</f>
      </c>
      <c r="B942" s="3" t="inlineStr">
        <is>
          <t>113-1628167-0094643</t>
        </is>
      </c>
      <c r="C942" s="3" t="inlineStr">
        <is>
          <t>RockyMountain</t>
        </is>
      </c>
    </row>
    <row collapsed="false" customFormat="false" customHeight="false" hidden="false" ht="12.1" outlineLevel="0" r="943">
      <c r="A943" s="3" t="s">
        <f>=HYPERLINK("https://mp39851918.megaplan.ua/deals/86668/card/","14360")</f>
      </c>
      <c r="B943" s="3" t="inlineStr">
        <is>
          <t>114-1361532-9859448</t>
        </is>
      </c>
      <c r="C943" s="3" t="inlineStr">
        <is>
          <t>RockyMountain</t>
        </is>
      </c>
    </row>
    <row collapsed="false" customFormat="false" customHeight="false" hidden="false" ht="12.1" outlineLevel="0" r="944">
      <c r="A944" s="3" t="s">
        <f>=HYPERLINK("https://mp39851918.megaplan.ua/deals/86674/card/","14362")</f>
      </c>
      <c r="B944" s="3" t="inlineStr">
        <is>
          <t>111-4860251-2147436</t>
        </is>
      </c>
      <c r="C944" s="3" t="inlineStr">
        <is>
          <t>RockyMountain</t>
        </is>
      </c>
    </row>
    <row collapsed="false" customFormat="false" customHeight="false" hidden="false" ht="12.1" outlineLevel="0" r="945">
      <c r="A945" s="3" t="s">
        <f>=HYPERLINK("https://mp39851918.megaplan.ua/deals/86675/card/","14363")</f>
      </c>
      <c r="B945" s="3" t="inlineStr">
        <is>
          <t>113-1940074-4573032</t>
        </is>
      </c>
      <c r="C945" s="3" t="inlineStr">
        <is>
          <t>RockyMountain</t>
        </is>
      </c>
    </row>
    <row collapsed="false" customFormat="false" customHeight="false" hidden="false" ht="12.1" outlineLevel="0" r="946">
      <c r="A946" s="3" t="s">
        <f>=HYPERLINK("https://mp39851918.megaplan.ua/deals/86705/card/","14367")</f>
      </c>
      <c r="B946" s="3" t="inlineStr">
        <is>
          <t>111-3016510-5116208</t>
        </is>
      </c>
      <c r="C946" s="3" t="inlineStr">
        <is>
          <t>PartsUnlimited</t>
        </is>
      </c>
    </row>
    <row collapsed="false" customFormat="false" customHeight="false" hidden="false" ht="12.1" outlineLevel="0" r="947">
      <c r="A947" s="3" t="s">
        <f>=HYPERLINK("https://mp39851918.megaplan.ua/deals/86708/card/","14368")</f>
      </c>
      <c r="B947" s="3" t="inlineStr">
        <is>
          <t>112-0579369-1986661</t>
        </is>
      </c>
      <c r="C947" s="3" t="inlineStr">
        <is>
          <t>RockyMountain</t>
        </is>
      </c>
    </row>
    <row collapsed="false" customFormat="false" customHeight="false" hidden="false" ht="12.1" outlineLevel="0" r="948">
      <c r="A948" s="3" t="s">
        <f>=HYPERLINK("https://mp39851918.megaplan.ua/deals/86740/card/","14370")</f>
      </c>
      <c r="B948" s="3" t="inlineStr">
        <is>
          <t>113-8485411-8637003</t>
        </is>
      </c>
      <c r="C948" s="3" t="inlineStr">
        <is>
          <t>RockyMountain</t>
        </is>
      </c>
    </row>
    <row collapsed="false" customFormat="false" customHeight="false" hidden="false" ht="12.1" outlineLevel="0" r="949">
      <c r="A949" s="3" t="s">
        <f>=HYPERLINK("https://mp39851918.megaplan.ua/deals/86758/card/","14371")</f>
      </c>
      <c r="B949" s="3" t="inlineStr">
        <is>
          <t>111-4433052-2565859</t>
        </is>
      </c>
      <c r="C949" s="3" t="inlineStr">
        <is>
          <t>PartsUnlimited</t>
        </is>
      </c>
    </row>
    <row collapsed="false" customFormat="false" customHeight="false" hidden="false" ht="12.1" outlineLevel="0" r="950">
      <c r="A950" s="3" t="s">
        <f>=HYPERLINK("https://mp39851918.megaplan.ua/deals/86807/card/","14373")</f>
      </c>
      <c r="B950" s="3" t="inlineStr">
        <is>
          <t>111-6759881-8413822</t>
        </is>
      </c>
      <c r="C950" s="3" t="inlineStr">
        <is>
          <t>RockyMountain</t>
        </is>
      </c>
    </row>
    <row collapsed="false" customFormat="false" customHeight="false" hidden="false" ht="12.1" outlineLevel="0" r="951">
      <c r="A951" s="3" t="s">
        <f>=HYPERLINK("https://mp39851918.megaplan.ua/deals/86814/card/","14374")</f>
      </c>
      <c r="B951" s="3" t="inlineStr">
        <is>
          <t>112-5448518-8389020</t>
        </is>
      </c>
      <c r="C951" s="3" t="inlineStr">
        <is>
          <t>RockyMountain</t>
        </is>
      </c>
    </row>
    <row collapsed="false" customFormat="false" customHeight="false" hidden="false" ht="12.1" outlineLevel="0" r="952">
      <c r="A952" s="3" t="s">
        <f>=HYPERLINK("https://mp39851918.megaplan.ua/deals/86819/card/","14376")</f>
      </c>
      <c r="B952" s="3" t="inlineStr">
        <is>
          <t>112-2674750-3577030</t>
        </is>
      </c>
      <c r="C952" s="3" t="inlineStr">
        <is>
          <t>RockyMountain</t>
        </is>
      </c>
    </row>
    <row collapsed="false" customFormat="false" customHeight="false" hidden="false" ht="12.1" outlineLevel="0" r="953">
      <c r="A953" s="3" t="s">
        <f>=HYPERLINK("https://mp39851918.megaplan.ua/deals/86840/card/","14377")</f>
      </c>
      <c r="B953" s="3" t="inlineStr">
        <is>
          <t>114-5058756-4943406</t>
        </is>
      </c>
      <c r="C953" s="3" t="inlineStr">
        <is>
          <t>PartsUnlimited</t>
        </is>
      </c>
    </row>
    <row collapsed="false" customFormat="false" customHeight="false" hidden="false" ht="12.1" outlineLevel="0" r="954">
      <c r="A954" s="3" t="s">
        <f>=HYPERLINK("https://mp39851918.megaplan.ua/deals/86851/card/","14378")</f>
      </c>
      <c r="B954" s="3" t="inlineStr">
        <is>
          <t>111-2708704-7788215</t>
        </is>
      </c>
      <c r="C954" s="3" t="inlineStr">
        <is>
          <t>RockyMountain</t>
        </is>
      </c>
    </row>
    <row collapsed="false" customFormat="false" customHeight="false" hidden="false" ht="12.1" outlineLevel="0" r="955">
      <c r="A955" s="3" t="s">
        <f>=HYPERLINK("https://mp39851918.megaplan.ua/deals/86853/card/","14379")</f>
      </c>
      <c r="B955" s="3" t="inlineStr">
        <is>
          <t>113-7450653-1166600</t>
        </is>
      </c>
      <c r="C955" s="3" t="inlineStr">
        <is>
          <t>RockyMountain</t>
        </is>
      </c>
    </row>
    <row collapsed="false" customFormat="false" customHeight="false" hidden="false" ht="12.1" outlineLevel="0" r="956">
      <c r="A956" s="3" t="s">
        <f>=HYPERLINK("https://mp39851918.megaplan.ua/deals/86871/card/","14381")</f>
      </c>
      <c r="B956" s="3" t="inlineStr">
        <is>
          <t>112-4238671-8222657</t>
        </is>
      </c>
      <c r="C956" s="3" t="inlineStr">
        <is>
          <t>RockyMountain</t>
        </is>
      </c>
    </row>
    <row collapsed="false" customFormat="false" customHeight="false" hidden="false" ht="12.1" outlineLevel="0" r="957">
      <c r="A957" s="3" t="s">
        <f>=HYPERLINK("https://mp39851918.megaplan.ua/deals/86876/card/","14382")</f>
      </c>
      <c r="B957" s="3" t="inlineStr">
        <is>
          <t>114-3550534-4447436</t>
        </is>
      </c>
      <c r="C957" s="3" t="inlineStr">
        <is>
          <t>RockyMountain</t>
        </is>
      </c>
    </row>
    <row collapsed="false" customFormat="false" customHeight="false" hidden="false" ht="12.1" outlineLevel="0" r="958">
      <c r="A958" s="3" t="s">
        <f>=HYPERLINK("https://mp39851918.megaplan.ua/deals/86877/card/","14383")</f>
      </c>
      <c r="B958" s="3" t="inlineStr">
        <is>
          <t>111-3881797-0866639</t>
        </is>
      </c>
      <c r="C958" s="3" t="inlineStr">
        <is>
          <t>RockyMountain</t>
        </is>
      </c>
    </row>
    <row collapsed="false" customFormat="false" customHeight="false" hidden="false" ht="12.1" outlineLevel="0" r="959">
      <c r="A959" s="3" t="s">
        <f>=HYPERLINK("https://mp39851918.megaplan.ua/deals/86880/card/","14384")</f>
      </c>
      <c r="B959" s="3" t="inlineStr">
        <is>
          <t>112-1902157-5505809</t>
        </is>
      </c>
      <c r="C959" s="3" t="inlineStr">
        <is>
          <t>RockyMountain</t>
        </is>
      </c>
    </row>
    <row collapsed="false" customFormat="false" customHeight="false" hidden="false" ht="12.1" outlineLevel="0" r="960">
      <c r="A960" s="3" t="s">
        <f>=HYPERLINK("https://mp39851918.megaplan.ua/deals/86881/card/","14385")</f>
      </c>
      <c r="B960" s="3" t="inlineStr">
        <is>
          <t>114-6482160-1534645</t>
        </is>
      </c>
      <c r="C960" s="3" t="inlineStr">
        <is>
          <t>PartsUnlimited</t>
        </is>
      </c>
    </row>
    <row collapsed="false" customFormat="false" customHeight="false" hidden="false" ht="12.1" outlineLevel="0" r="961">
      <c r="A961" s="3" t="s">
        <f>=HYPERLINK("https://mp39851918.megaplan.ua/deals/86882/card/","14386")</f>
      </c>
      <c r="B961" s="3" t="inlineStr">
        <is>
          <t>113-1956707-7549032</t>
        </is>
      </c>
      <c r="C961" s="3" t="inlineStr">
        <is>
          <t>RockyMountain</t>
        </is>
      </c>
    </row>
    <row collapsed="false" customFormat="false" customHeight="false" hidden="false" ht="12.1" outlineLevel="0" r="962">
      <c r="A962" s="3" t="s">
        <f>=HYPERLINK("https://mp39851918.megaplan.ua/deals/86883/card/","14387")</f>
      </c>
      <c r="B962" s="3" t="inlineStr">
        <is>
          <t>113-6688525-8949831</t>
        </is>
      </c>
      <c r="C962" s="3" t="inlineStr">
        <is>
          <t>RockyMountain</t>
        </is>
      </c>
    </row>
    <row collapsed="false" customFormat="false" customHeight="false" hidden="false" ht="12.1" outlineLevel="0" r="963">
      <c r="A963" s="3" t="s">
        <f>=HYPERLINK("https://mp39851918.megaplan.ua/deals/86884/card/","14388")</f>
      </c>
      <c r="B963" s="3" t="inlineStr">
        <is>
          <t>112-7768755-0617019</t>
        </is>
      </c>
      <c r="C963" s="3" t="inlineStr">
        <is>
          <t>RockyMountain</t>
        </is>
      </c>
    </row>
    <row collapsed="false" customFormat="false" customHeight="false" hidden="false" ht="12.1" outlineLevel="0" r="964">
      <c r="A964" s="3" t="s">
        <f>=HYPERLINK("https://mp39851918.megaplan.ua/deals/86886/card/","14389")</f>
      </c>
      <c r="B964" s="3" t="inlineStr">
        <is>
          <t>113-5193479-7740230</t>
        </is>
      </c>
      <c r="C964" s="3" t="inlineStr">
        <is>
          <t>RockyMountain</t>
        </is>
      </c>
    </row>
    <row collapsed="false" customFormat="false" customHeight="false" hidden="false" ht="12.1" outlineLevel="0" r="965">
      <c r="A965" s="3" t="s">
        <f>=HYPERLINK("https://mp39851918.megaplan.ua/deals/86888/card/","14390")</f>
      </c>
      <c r="B965" s="3" t="inlineStr">
        <is>
          <t>111-9722576-2965825</t>
        </is>
      </c>
      <c r="C965" s="3" t="inlineStr">
        <is>
          <t>RockyMountain</t>
        </is>
      </c>
    </row>
    <row collapsed="false" customFormat="false" customHeight="false" hidden="false" ht="12.1" outlineLevel="0" r="966">
      <c r="A966" s="3" t="s">
        <f>=HYPERLINK("https://mp39851918.megaplan.ua/deals/86893/card/","14391")</f>
      </c>
      <c r="B966" s="3" t="inlineStr">
        <is>
          <t>111-0022208-9035461</t>
        </is>
      </c>
      <c r="C966" s="3" t="inlineStr">
        <is>
          <t>Autodist</t>
        </is>
      </c>
    </row>
    <row collapsed="false" customFormat="false" customHeight="false" hidden="false" ht="12.1" outlineLevel="0" r="967">
      <c r="A967" s="3" t="s">
        <f>=HYPERLINK("https://mp39851918.megaplan.ua/deals/86894/card/","14392")</f>
      </c>
      <c r="B967" s="3" t="inlineStr">
        <is>
          <t>113-1739147-3157067</t>
        </is>
      </c>
      <c r="C967" s="3" t="inlineStr">
        <is>
          <t>Autodist</t>
        </is>
      </c>
    </row>
    <row collapsed="false" customFormat="false" customHeight="false" hidden="false" ht="12.1" outlineLevel="0" r="968">
      <c r="A968" s="3" t="s">
        <f>=HYPERLINK("https://mp39851918.megaplan.ua/deals/86895/card/","14393")</f>
      </c>
      <c r="B968" s="3" t="inlineStr">
        <is>
          <t>114-5543671-6977005</t>
        </is>
      </c>
      <c r="C968" s="3" t="inlineStr">
        <is>
          <t>Autodist</t>
        </is>
      </c>
    </row>
    <row collapsed="false" customFormat="false" customHeight="false" hidden="false" ht="12.1" outlineLevel="0" r="969">
      <c r="A969" s="3" t="s">
        <f>=HYPERLINK("https://mp39851918.megaplan.ua/deals/86896/card/","14394")</f>
      </c>
      <c r="B969" s="3" t="inlineStr">
        <is>
          <t>111-8069838-3565839</t>
        </is>
      </c>
      <c r="C969" s="3" t="inlineStr">
        <is>
          <t>Autodist</t>
        </is>
      </c>
    </row>
    <row collapsed="false" customFormat="false" customHeight="false" hidden="false" ht="12.1" outlineLevel="0" r="970">
      <c r="A970" s="3" t="s">
        <f>=HYPERLINK("https://mp39851918.megaplan.ua/deals/86897/card/","14395")</f>
      </c>
      <c r="B970" s="3" t="inlineStr">
        <is>
          <t>112-1384996-4153816</t>
        </is>
      </c>
      <c r="C970" s="3" t="inlineStr">
        <is>
          <t>Autodist</t>
        </is>
      </c>
    </row>
    <row collapsed="false" customFormat="false" customHeight="false" hidden="false" ht="12.1" outlineLevel="0" r="971">
      <c r="A971" s="3" t="s">
        <f>=HYPERLINK("https://mp39851918.megaplan.ua/deals/86898/card/","14396")</f>
      </c>
      <c r="B971" s="3" t="inlineStr">
        <is>
          <t>112-9644478-7778627</t>
        </is>
      </c>
      <c r="C971" s="3" t="inlineStr">
        <is>
          <t>Autodist</t>
        </is>
      </c>
    </row>
    <row collapsed="false" customFormat="false" customHeight="false" hidden="false" ht="12.1" outlineLevel="0" r="972">
      <c r="A972" s="3" t="s">
        <f>=HYPERLINK("https://mp39851918.megaplan.ua/deals/86902/card/","14397")</f>
      </c>
      <c r="B972" s="3" t="inlineStr">
        <is>
          <t>112-2908061-6147460</t>
        </is>
      </c>
      <c r="C972" s="3" t="inlineStr">
        <is>
          <t>RockyMountain</t>
        </is>
      </c>
    </row>
    <row collapsed="false" customFormat="false" customHeight="false" hidden="false" ht="12.1" outlineLevel="0" r="973">
      <c r="A973" s="3" t="s">
        <f>=HYPERLINK("https://mp39851918.megaplan.ua/deals/86903/card/","14398")</f>
      </c>
      <c r="B973" s="3" t="inlineStr">
        <is>
          <t>112-8176526-4573032</t>
        </is>
      </c>
      <c r="C973" s="3" t="inlineStr">
        <is>
          <t>RockyMountain</t>
        </is>
      </c>
    </row>
    <row collapsed="false" customFormat="false" customHeight="false" hidden="false" ht="12.1" outlineLevel="0" r="974">
      <c r="A974" s="3" t="s">
        <f>=HYPERLINK("https://mp39851918.megaplan.ua/deals/86913/card/","14399")</f>
      </c>
      <c r="B974" s="3" t="inlineStr">
        <is>
          <t>114-9591049-8883436</t>
        </is>
      </c>
      <c r="C974" s="3" t="inlineStr">
        <is>
          <t>PartsUnlimited</t>
        </is>
      </c>
    </row>
    <row collapsed="false" customFormat="false" customHeight="false" hidden="false" ht="12.1" outlineLevel="0" r="975">
      <c r="A975" s="3" t="s">
        <f>=HYPERLINK("https://mp39851918.megaplan.ua/deals/86932/card/","14401")</f>
      </c>
      <c r="B975" s="3" t="inlineStr">
        <is>
          <t>112-4007062-5981033</t>
        </is>
      </c>
      <c r="C975" s="3" t="inlineStr">
        <is>
          <t>RockyMountain</t>
        </is>
      </c>
    </row>
    <row collapsed="false" customFormat="false" customHeight="false" hidden="false" ht="12.1" outlineLevel="0" r="976">
      <c r="A976" s="3" t="s">
        <f>=HYPERLINK("https://mp39851918.megaplan.ua/deals/86934/card/","14402")</f>
      </c>
      <c r="B976" s="3" t="inlineStr">
        <is>
          <t>113-6521845-6577807</t>
        </is>
      </c>
      <c r="C976" s="3" t="inlineStr">
        <is>
          <t>RockyMountain</t>
        </is>
      </c>
    </row>
    <row collapsed="false" customFormat="false" customHeight="false" hidden="false" ht="12.1" outlineLevel="0" r="977">
      <c r="A977" s="3" t="s">
        <f>=HYPERLINK("https://mp39851918.megaplan.ua/deals/86958/card/","14403")</f>
      </c>
      <c r="B977" s="3" t="inlineStr">
        <is>
          <t>112-9530595-1329057</t>
        </is>
      </c>
      <c r="C977" s="3" t="inlineStr">
        <is>
          <t>PartsUnlimited</t>
        </is>
      </c>
    </row>
    <row collapsed="false" customFormat="false" customHeight="false" hidden="false" ht="12.1" outlineLevel="0" r="978">
      <c r="A978" s="3" t="s">
        <f>=HYPERLINK("https://mp39851918.megaplan.ua/deals/86991/card/","14404")</f>
      </c>
      <c r="B978" s="3" t="inlineStr">
        <is>
          <t>111-8404638-0293818</t>
        </is>
      </c>
      <c r="C978" s="3" t="inlineStr">
        <is>
          <t>RockyMountain</t>
        </is>
      </c>
    </row>
    <row collapsed="false" customFormat="false" customHeight="false" hidden="false" ht="12.1" outlineLevel="0" r="979">
      <c r="A979" s="3" t="s">
        <f>=HYPERLINK("https://mp39851918.megaplan.ua/deals/86999/card/","14405")</f>
      </c>
      <c r="B979" s="3" t="inlineStr">
        <is>
          <t>114-7170803-5902644</t>
        </is>
      </c>
      <c r="C979" s="3" t="inlineStr">
        <is>
          <t>RockyMountain</t>
        </is>
      </c>
    </row>
    <row collapsed="false" customFormat="false" customHeight="false" hidden="false" ht="12.1" outlineLevel="0" r="980">
      <c r="A980" s="3" t="s">
        <f>=HYPERLINK("https://mp39851918.megaplan.ua/deals/87007/card/","14407")</f>
      </c>
      <c r="B980" s="3" t="inlineStr">
        <is>
          <t>111-0003237-9015428</t>
        </is>
      </c>
      <c r="C980" s="3" t="inlineStr">
        <is>
          <t>PartsUnlimited</t>
        </is>
      </c>
    </row>
    <row collapsed="false" customFormat="false" customHeight="false" hidden="false" ht="12.1" outlineLevel="0" r="981">
      <c r="A981" s="3" t="s">
        <f>=HYPERLINK("https://mp39851918.megaplan.ua/deals/87018/card/","14408")</f>
      </c>
      <c r="B981" s="3" t="inlineStr">
        <is>
          <t>112-7017024-9873803</t>
        </is>
      </c>
      <c r="C981" s="3" t="inlineStr">
        <is>
          <t>RockyMountain</t>
        </is>
      </c>
    </row>
    <row collapsed="false" customFormat="false" customHeight="false" hidden="false" ht="12.1" outlineLevel="0" r="982">
      <c r="A982" s="3" t="s">
        <f>=HYPERLINK("https://mp39851918.megaplan.ua/deals/87029/card/","14409")</f>
      </c>
      <c r="B982" s="3" t="inlineStr">
        <is>
          <t>113-6043041-6197008</t>
        </is>
      </c>
      <c r="C982" s="3" t="inlineStr">
        <is>
          <t>RockyMountain</t>
        </is>
      </c>
    </row>
    <row collapsed="false" customFormat="false" customHeight="false" hidden="false" ht="12.1" outlineLevel="0" r="983">
      <c r="A983" s="3" t="s">
        <f>=HYPERLINK("https://mp39851918.megaplan.ua/deals/87030/card/","14410")</f>
      </c>
      <c r="B983" s="3" t="inlineStr">
        <is>
          <t>114-9074684-1417050</t>
        </is>
      </c>
      <c r="C983" s="3" t="inlineStr">
        <is>
          <t>RockyMountain</t>
        </is>
      </c>
    </row>
    <row collapsed="false" customFormat="false" customHeight="false" hidden="false" ht="12.1" outlineLevel="0" r="984">
      <c r="A984" s="3" t="s">
        <f>=HYPERLINK("https://mp39851918.megaplan.ua/deals/87044/card/","14411")</f>
      </c>
      <c r="B984" s="3" t="inlineStr">
        <is>
          <t>111-1804794-3189015</t>
        </is>
      </c>
      <c r="C984" s="3" t="inlineStr">
        <is>
          <t>RockyMountain</t>
        </is>
      </c>
    </row>
    <row collapsed="false" customFormat="false" customHeight="false" hidden="false" ht="12.1" outlineLevel="0" r="985">
      <c r="A985" s="3" t="s">
        <f>=HYPERLINK("https://mp39851918.megaplan.ua/deals/87058/card/","14413")</f>
      </c>
      <c r="B985" s="3" t="inlineStr">
        <is>
          <t>114-1648464-3273004</t>
        </is>
      </c>
      <c r="C985" s="3" t="inlineStr">
        <is>
          <t>Autodist</t>
        </is>
      </c>
    </row>
    <row collapsed="false" customFormat="false" customHeight="false" hidden="false" ht="12.1" outlineLevel="0" r="986">
      <c r="A986" s="3" t="s">
        <f>=HYPERLINK("https://mp39851918.megaplan.ua/deals/87059/card/","14414")</f>
      </c>
      <c r="B986" s="3" t="inlineStr">
        <is>
          <t>112-1196100-0982666</t>
        </is>
      </c>
      <c r="C986" s="3" t="inlineStr">
        <is>
          <t>Autodist</t>
        </is>
      </c>
    </row>
    <row collapsed="false" customFormat="false" customHeight="false" hidden="false" ht="12.1" outlineLevel="0" r="987">
      <c r="A987" s="3" t="s">
        <f>=HYPERLINK("https://mp39851918.megaplan.ua/deals/87060/card/","14415")</f>
      </c>
      <c r="B987" s="3" t="inlineStr">
        <is>
          <t>111-2917274-1661054</t>
        </is>
      </c>
      <c r="C987" s="3" t="inlineStr">
        <is>
          <t>Autodist</t>
        </is>
      </c>
    </row>
    <row collapsed="false" customFormat="false" customHeight="false" hidden="false" ht="12.1" outlineLevel="0" r="988">
      <c r="A988" s="3" t="s">
        <f>=HYPERLINK("https://mp39851918.megaplan.ua/deals/87074/card/","14416")</f>
      </c>
      <c r="B988" s="3" t="inlineStr">
        <is>
          <t>113-0484568-9372227</t>
        </is>
      </c>
      <c r="C988" s="3" t="inlineStr">
        <is>
          <t>RockyMountain</t>
        </is>
      </c>
    </row>
    <row collapsed="false" customFormat="false" customHeight="false" hidden="false" ht="12.1" outlineLevel="0" r="989">
      <c r="A989" s="3" t="s">
        <f>=HYPERLINK("https://mp39851918.megaplan.ua/deals/87075/card/","14417")</f>
      </c>
      <c r="B989" s="3" t="inlineStr">
        <is>
          <t>111-1110656-4460225</t>
        </is>
      </c>
      <c r="C989" s="3" t="inlineStr">
        <is>
          <t>RockyMountain</t>
        </is>
      </c>
    </row>
    <row collapsed="false" customFormat="false" customHeight="false" hidden="false" ht="12.1" outlineLevel="0" r="990">
      <c r="A990" s="3" t="s">
        <f>=HYPERLINK("https://mp39851918.megaplan.ua/deals/87076/card/","14418")</f>
      </c>
      <c r="B990" s="3" t="inlineStr">
        <is>
          <t>112-5968366-7556225</t>
        </is>
      </c>
      <c r="C990" s="3" t="inlineStr">
        <is>
          <t>RockyMountain</t>
        </is>
      </c>
    </row>
    <row collapsed="false" customFormat="false" customHeight="false" hidden="false" ht="12.1" outlineLevel="0" r="991">
      <c r="A991" s="3" t="s">
        <f>=HYPERLINK("https://mp39851918.megaplan.ua/deals/87080/card/","14419")</f>
      </c>
      <c r="B991" s="3" t="inlineStr">
        <is>
          <t>111-8247062-9233857</t>
        </is>
      </c>
      <c r="C991" s="3" t="inlineStr">
        <is>
          <t>RockyMountain</t>
        </is>
      </c>
    </row>
    <row collapsed="false" customFormat="false" customHeight="false" hidden="false" ht="12.1" outlineLevel="0" r="992">
      <c r="A992" s="3" t="s">
        <f>=HYPERLINK("https://mp39851918.megaplan.ua/deals/87081/card/","14420")</f>
      </c>
      <c r="B992" s="3" t="inlineStr">
        <is>
          <t>114-1496849-3486660</t>
        </is>
      </c>
      <c r="C992" s="3" t="inlineStr">
        <is>
          <t>RockyMountain</t>
        </is>
      </c>
    </row>
    <row collapsed="false" customFormat="false" customHeight="false" hidden="false" ht="12.1" outlineLevel="0" r="993">
      <c r="A993" s="3" t="s">
        <f>=HYPERLINK("https://mp39851918.megaplan.ua/deals/87105/card/","14426")</f>
      </c>
      <c r="B993" s="3" t="inlineStr">
        <is>
          <t>113-9108403-9327458</t>
        </is>
      </c>
      <c r="C993" s="3" t="inlineStr">
        <is>
          <t>RockyMountain</t>
        </is>
      </c>
    </row>
    <row collapsed="false" customFormat="false" customHeight="false" hidden="false" ht="12.1" outlineLevel="0" r="994">
      <c r="A994" s="3" t="s">
        <f>=HYPERLINK("https://mp39851918.megaplan.ua/deals/87106/card/","14427")</f>
      </c>
      <c r="B994" s="3" t="inlineStr">
        <is>
          <t>112-6034123-6337862</t>
        </is>
      </c>
      <c r="C994" s="3" t="inlineStr">
        <is>
          <t>RockyMountain</t>
        </is>
      </c>
    </row>
    <row collapsed="false" customFormat="false" customHeight="false" hidden="false" ht="12.1" outlineLevel="0" r="995">
      <c r="A995" s="3" t="s">
        <f>=HYPERLINK("https://mp39851918.megaplan.ua/deals/87119/card/","14428")</f>
      </c>
      <c r="B995" s="3" t="inlineStr">
        <is>
          <t>113-1479776-6344245</t>
        </is>
      </c>
      <c r="C995" s="3" t="inlineStr">
        <is>
          <t>PartsUnlimited</t>
        </is>
      </c>
    </row>
    <row collapsed="false" customFormat="false" customHeight="false" hidden="false" ht="12.1" outlineLevel="0" r="996">
      <c r="A996" s="3" t="s">
        <f>=HYPERLINK("https://mp39851918.megaplan.ua/deals/87120/card/","14429")</f>
      </c>
      <c r="B996" s="3" t="inlineStr">
        <is>
          <t>112-2232222-7003455</t>
        </is>
      </c>
      <c r="C996" s="3" t="inlineStr">
        <is>
          <t>PartsUnlimited</t>
        </is>
      </c>
    </row>
    <row collapsed="false" customFormat="false" customHeight="false" hidden="false" ht="12.1" outlineLevel="0" r="997">
      <c r="A997" s="3" t="s">
        <f>=HYPERLINK("https://mp39851918.megaplan.ua/deals/87122/card/","14430")</f>
      </c>
      <c r="B997" s="3" t="inlineStr">
        <is>
          <t>114-5854733-2048217</t>
        </is>
      </c>
      <c r="C997" s="3" t="inlineStr">
        <is>
          <t>Autodist</t>
        </is>
      </c>
    </row>
    <row collapsed="false" customFormat="false" customHeight="false" hidden="false" ht="12.1" outlineLevel="0" r="998">
      <c r="A998" s="3" t="s">
        <f>=HYPERLINK("https://mp39851918.megaplan.ua/deals/87151/card/","14431")</f>
      </c>
      <c r="B998" s="3" t="inlineStr">
        <is>
          <t>111-2651476-1861842</t>
        </is>
      </c>
      <c r="C998" s="3" t="inlineStr">
        <is>
          <t>RockyMountain</t>
        </is>
      </c>
    </row>
    <row collapsed="false" customFormat="false" customHeight="false" hidden="false" ht="12.1" outlineLevel="0" r="999">
      <c r="A999" s="3" t="s">
        <f>=HYPERLINK("https://mp39851918.megaplan.ua/deals/87152/card/","14432")</f>
      </c>
      <c r="B999" s="3" t="inlineStr">
        <is>
          <t>111-3468850-5304238</t>
        </is>
      </c>
      <c r="C999" s="3" t="inlineStr">
        <is>
          <t>RockyMountain</t>
        </is>
      </c>
    </row>
    <row collapsed="false" customFormat="false" customHeight="false" hidden="false" ht="12.1" outlineLevel="0" r="1000">
      <c r="A1000" s="3" t="s">
        <f>=HYPERLINK("https://mp39851918.megaplan.ua/deals/87153/card/","14433")</f>
      </c>
      <c r="B1000" s="3" t="inlineStr">
        <is>
          <t>114-6091143-1702641</t>
        </is>
      </c>
      <c r="C1000" s="3" t="inlineStr">
        <is>
          <t>RockyMountain</t>
        </is>
      </c>
    </row>
    <row collapsed="false" customFormat="false" customHeight="false" hidden="false" ht="12.1" outlineLevel="0" r="1001">
      <c r="A1001" s="3" t="s">
        <f>=HYPERLINK("https://mp39851918.megaplan.ua/deals/87154/card/","14434")</f>
      </c>
      <c r="B1001" s="3" t="inlineStr">
        <is>
          <t>113-6320725-9061040</t>
        </is>
      </c>
      <c r="C1001" s="3" t="inlineStr">
        <is>
          <t>Autodist</t>
        </is>
      </c>
    </row>
    <row collapsed="false" customFormat="false" customHeight="false" hidden="false" ht="12.1" outlineLevel="0" r="1002">
      <c r="A1002" s="3" t="s">
        <f>=HYPERLINK("https://mp39851918.megaplan.ua/deals/87155/card/","14435")</f>
      </c>
      <c r="B1002" s="3" t="inlineStr">
        <is>
          <t>113-3603261-9938622</t>
        </is>
      </c>
      <c r="C1002" s="3" t="inlineStr">
        <is>
          <t>PartsUnlimited</t>
        </is>
      </c>
    </row>
    <row collapsed="false" customFormat="false" customHeight="false" hidden="false" ht="12.1" outlineLevel="0" r="1003">
      <c r="A1003" s="3" t="s">
        <f>=HYPERLINK("https://mp39851918.megaplan.ua/deals/87156/card/","14436")</f>
      </c>
      <c r="B1003" s="3" t="inlineStr">
        <is>
          <t>113-2701341-7114631</t>
        </is>
      </c>
      <c r="C1003" s="3" t="inlineStr">
        <is>
          <t>Autodist</t>
        </is>
      </c>
    </row>
    <row collapsed="false" customFormat="false" customHeight="false" hidden="false" ht="12.1" outlineLevel="0" r="1004">
      <c r="A1004" s="3" t="s">
        <f>=HYPERLINK("https://mp39851918.megaplan.ua/deals/87157/card/","14437")</f>
      </c>
      <c r="B1004" s="3" t="inlineStr">
        <is>
          <t>114-5197774-0157026</t>
        </is>
      </c>
      <c r="C1004" s="3" t="inlineStr">
        <is>
          <t>Autodist</t>
        </is>
      </c>
    </row>
    <row collapsed="false" customFormat="false" customHeight="false" hidden="false" ht="12.1" outlineLevel="0" r="1005">
      <c r="A1005" s="3" t="s">
        <f>=HYPERLINK("https://mp39851918.megaplan.ua/deals/87165/card/","14438")</f>
      </c>
      <c r="B1005" s="3" t="inlineStr">
        <is>
          <t>114-8650639-2833827</t>
        </is>
      </c>
      <c r="C1005" s="3" t="inlineStr">
        <is>
          <t>Autodist</t>
        </is>
      </c>
    </row>
    <row collapsed="false" customFormat="false" customHeight="false" hidden="false" ht="12.1" outlineLevel="0" r="1006">
      <c r="A1006" s="3" t="s">
        <f>=HYPERLINK("https://mp39851918.megaplan.ua/deals/87177/card/","14439")</f>
      </c>
      <c r="B1006" s="3" t="inlineStr">
        <is>
          <t>112-4644903-2168216</t>
        </is>
      </c>
      <c r="C1006" s="3" t="inlineStr">
        <is>
          <t>RockyMountain</t>
        </is>
      </c>
    </row>
    <row collapsed="false" customFormat="false" customHeight="false" hidden="false" ht="12.1" outlineLevel="0" r="1007">
      <c r="A1007" s="3" t="s">
        <f>=HYPERLINK("https://mp39851918.megaplan.ua/deals/87179/card/","14440")</f>
      </c>
      <c r="B1007" s="3" t="inlineStr">
        <is>
          <t>112-1151289-1690620</t>
        </is>
      </c>
      <c r="C1007" s="3" t="inlineStr">
        <is>
          <t>Autodist</t>
        </is>
      </c>
    </row>
    <row collapsed="false" customFormat="false" customHeight="false" hidden="false" ht="12.1" outlineLevel="0" r="1008">
      <c r="A1008" s="3" t="s">
        <f>=HYPERLINK("https://mp39851918.megaplan.ua/deals/87180/card/","14441")</f>
      </c>
      <c r="B1008" s="3" t="inlineStr">
        <is>
          <t>114-5603843-8617823</t>
        </is>
      </c>
      <c r="C1008" s="3" t="inlineStr">
        <is>
          <t>PartsUnlimited</t>
        </is>
      </c>
    </row>
    <row collapsed="false" customFormat="false" customHeight="false" hidden="false" ht="12.1" outlineLevel="0" r="1009">
      <c r="A1009" s="3" t="s">
        <f>=HYPERLINK("https://mp39851918.megaplan.ua/deals/87181/card/","14442")</f>
      </c>
      <c r="B1009" s="3" t="inlineStr">
        <is>
          <t>114-5652560-9147445</t>
        </is>
      </c>
      <c r="C1009" s="3" t="inlineStr">
        <is>
          <t>PartsUnlimited</t>
        </is>
      </c>
    </row>
    <row collapsed="false" customFormat="false" customHeight="false" hidden="false" ht="12.1" outlineLevel="0" r="1010">
      <c r="A1010" s="3" t="s">
        <f>=HYPERLINK("https://mp39851918.megaplan.ua/deals/87182/card/","14443")</f>
      </c>
      <c r="B1010" s="3" t="inlineStr">
        <is>
          <t>112-5165839-9799441</t>
        </is>
      </c>
      <c r="C1010" s="3" t="inlineStr">
        <is>
          <t>RockyMountain</t>
        </is>
      </c>
    </row>
    <row collapsed="false" customFormat="false" customHeight="false" hidden="false" ht="12.1" outlineLevel="0" r="1011">
      <c r="A1011" s="3" t="s">
        <f>=HYPERLINK("https://mp39851918.megaplan.ua/deals/87208/card/","14445")</f>
      </c>
      <c r="B1011" s="3" t="inlineStr">
        <is>
          <t>114-0513237-3281032</t>
        </is>
      </c>
      <c r="C1011" s="3" t="inlineStr">
        <is>
          <t>RockyMountain</t>
        </is>
      </c>
    </row>
    <row collapsed="false" customFormat="false" customHeight="false" hidden="false" ht="12.1" outlineLevel="0" r="1012">
      <c r="A1012" s="3" t="s">
        <f>=HYPERLINK("https://mp39851918.megaplan.ua/deals/87223/card/","14448")</f>
      </c>
      <c r="B1012" s="3" t="inlineStr">
        <is>
          <t>112-6786992-3691469</t>
        </is>
      </c>
      <c r="C1012" s="3" t="inlineStr">
        <is>
          <t>RockyMountain</t>
        </is>
      </c>
    </row>
    <row collapsed="false" customFormat="false" customHeight="false" hidden="false" ht="12.1" outlineLevel="0" r="1013">
      <c r="A1013" s="3" t="s">
        <f>=HYPERLINK("https://mp39851918.megaplan.ua/deals/87224/card/","14449")</f>
      </c>
      <c r="B1013" s="3" t="inlineStr">
        <is>
          <t>113-6806635-0208242</t>
        </is>
      </c>
      <c r="C1013" s="3" t="inlineStr">
        <is>
          <t>RockyMountain</t>
        </is>
      </c>
    </row>
    <row collapsed="false" customFormat="false" customHeight="false" hidden="false" ht="12.1" outlineLevel="0" r="1014">
      <c r="A1014" s="3" t="s">
        <f>=HYPERLINK("https://mp39851918.megaplan.ua/deals/87226/card/","14450")</f>
      </c>
      <c r="B1014" s="3" t="inlineStr">
        <is>
          <t>114-9556469-2613822</t>
        </is>
      </c>
      <c r="C1014" s="3" t="inlineStr">
        <is>
          <t>Autodist</t>
        </is>
      </c>
    </row>
    <row collapsed="false" customFormat="false" customHeight="false" hidden="false" ht="12.1" outlineLevel="0" r="1015">
      <c r="A1015" s="3" t="s">
        <f>=HYPERLINK("https://mp39851918.megaplan.ua/deals/87249/card/","14451")</f>
      </c>
      <c r="B1015" s="3" t="inlineStr">
        <is>
          <t>113-1781932-3082665</t>
        </is>
      </c>
      <c r="C1015" s="3" t="inlineStr">
        <is>
          <t>RockyMountain</t>
        </is>
      </c>
    </row>
    <row collapsed="false" customFormat="false" customHeight="false" hidden="false" ht="12.1" outlineLevel="0" r="1016">
      <c r="A1016" s="3" t="s">
        <f>=HYPERLINK("https://mp39851918.megaplan.ua/deals/87260/card/","14455")</f>
      </c>
      <c r="B1016" s="3" t="inlineStr">
        <is>
          <t>113-0341115-1247409</t>
        </is>
      </c>
      <c r="C1016" s="3" t="inlineStr">
        <is>
          <t>Autodist</t>
        </is>
      </c>
    </row>
    <row collapsed="false" customFormat="false" customHeight="false" hidden="false" ht="12.1" outlineLevel="0" r="1017">
      <c r="A1017" s="3" t="s">
        <f>=HYPERLINK("https://mp39851918.megaplan.ua/deals/87267/card/","14456")</f>
      </c>
      <c r="B1017" s="3" t="inlineStr">
        <is>
          <t>111-6170769-4193846</t>
        </is>
      </c>
      <c r="C1017" s="3" t="inlineStr">
        <is>
          <t>Autodist</t>
        </is>
      </c>
    </row>
    <row collapsed="false" customFormat="false" customHeight="false" hidden="false" ht="12.1" outlineLevel="0" r="1018">
      <c r="A1018" s="3" t="s">
        <f>=HYPERLINK("https://mp39851918.megaplan.ua/deals/87268/card/","14457")</f>
      </c>
      <c r="B1018" s="3" t="inlineStr">
        <is>
          <t>113-7867544-1229019</t>
        </is>
      </c>
      <c r="C1018" s="3" t="inlineStr">
        <is>
          <t>Autodist</t>
        </is>
      </c>
    </row>
    <row collapsed="false" customFormat="false" customHeight="false" hidden="false" ht="12.1" outlineLevel="0" r="1019">
      <c r="A1019" s="3" t="s">
        <f>=HYPERLINK("https://mp39851918.megaplan.ua/deals/87277/card/","14458")</f>
      </c>
      <c r="B1019" s="3" t="inlineStr">
        <is>
          <t>111-0332041-6936252</t>
        </is>
      </c>
      <c r="C1019" s="3" t="inlineStr">
        <is>
          <t>Autodist</t>
        </is>
      </c>
    </row>
    <row collapsed="false" customFormat="false" customHeight="false" hidden="false" ht="12.1" outlineLevel="0" r="1020">
      <c r="A1020" s="3" t="s">
        <f>=HYPERLINK("https://mp39851918.megaplan.ua/deals/87286/card/","14460")</f>
      </c>
      <c r="B1020" s="3" t="inlineStr">
        <is>
          <t>111-1387209-6300268</t>
        </is>
      </c>
      <c r="C1020" s="3" t="inlineStr">
        <is>
          <t>Autodist</t>
        </is>
      </c>
    </row>
    <row collapsed="false" customFormat="false" customHeight="false" hidden="false" ht="12.1" outlineLevel="0" r="1021">
      <c r="A1021" s="3" t="s">
        <f>=HYPERLINK("https://mp39851918.megaplan.ua/deals/87296/card/","14461")</f>
      </c>
      <c r="B1021" s="3" t="inlineStr">
        <is>
          <t>114-7815684-2074665</t>
        </is>
      </c>
      <c r="C1021" s="3" t="inlineStr">
        <is>
          <t>Autodist</t>
        </is>
      </c>
    </row>
    <row collapsed="false" customFormat="false" customHeight="false" hidden="false" ht="12.1" outlineLevel="0" r="1022">
      <c r="A1022" s="3" t="s">
        <f>=HYPERLINK("https://mp39851918.megaplan.ua/deals/87299/card/","14462")</f>
      </c>
      <c r="B1022" s="3" t="inlineStr">
        <is>
          <t>114-5944551-8100265</t>
        </is>
      </c>
      <c r="C1022" s="3" t="inlineStr">
        <is>
          <t>RockyMountain</t>
        </is>
      </c>
    </row>
    <row collapsed="false" customFormat="false" customHeight="false" hidden="false" ht="12.1" outlineLevel="0" r="1023">
      <c r="A1023" s="3" t="s">
        <f>=HYPERLINK("https://mp39851918.megaplan.ua/deals/87304/card/","14463")</f>
      </c>
      <c r="B1023" s="3" t="inlineStr">
        <is>
          <t>113-1799478-0793058</t>
        </is>
      </c>
      <c r="C1023" s="3" t="inlineStr">
        <is>
          <t>Autodist</t>
        </is>
      </c>
    </row>
    <row collapsed="false" customFormat="false" customHeight="false" hidden="false" ht="12.1" outlineLevel="0" r="1024">
      <c r="A1024" s="3" t="s">
        <f>=HYPERLINK("https://mp39851918.megaplan.ua/deals/87307/card/","14464")</f>
      </c>
      <c r="B1024" s="3" t="inlineStr">
        <is>
          <t>113-6049899-0318649</t>
        </is>
      </c>
      <c r="C1024" s="3" t="inlineStr">
        <is>
          <t>Autodist</t>
        </is>
      </c>
    </row>
    <row collapsed="false" customFormat="false" customHeight="false" hidden="false" ht="12.1" outlineLevel="0" r="1025">
      <c r="A1025" s="3" t="s">
        <f>=HYPERLINK("https://mp39851918.megaplan.ua/deals/87309/card/","14465")</f>
      </c>
      <c r="B1025" s="3" t="inlineStr">
        <is>
          <t>111-9731584-0817843</t>
        </is>
      </c>
      <c r="C1025" s="3" t="inlineStr">
        <is>
          <t>RockyMountain</t>
        </is>
      </c>
    </row>
    <row collapsed="false" customFormat="false" customHeight="false" hidden="false" ht="12.1" outlineLevel="0" r="1026">
      <c r="A1026" s="3" t="s">
        <f>=HYPERLINK("https://mp39851918.megaplan.ua/deals/87310/card/","14466")</f>
      </c>
      <c r="B1026" s="3" t="inlineStr">
        <is>
          <t>112-0036513-0303445</t>
        </is>
      </c>
      <c r="C1026" s="3" t="inlineStr">
        <is>
          <t>RockyMountain</t>
        </is>
      </c>
    </row>
    <row collapsed="false" customFormat="false" customHeight="false" hidden="false" ht="12.1" outlineLevel="0" r="1027">
      <c r="A1027" s="3" t="s">
        <f>=HYPERLINK("https://mp39851918.megaplan.ua/deals/87333/card/","14469")</f>
      </c>
      <c r="B1027" s="3" t="inlineStr">
        <is>
          <t>114-2503329-0197015</t>
        </is>
      </c>
      <c r="C1027" s="3" t="inlineStr">
        <is>
          <t>RockyMountain</t>
        </is>
      </c>
    </row>
    <row collapsed="false" customFormat="false" customHeight="false" hidden="false" ht="12.1" outlineLevel="0" r="1028">
      <c r="A1028" s="3" t="s">
        <f>=HYPERLINK("https://mp39851918.megaplan.ua/deals/87343/card/","14470")</f>
      </c>
      <c r="B1028" s="3" t="inlineStr">
        <is>
          <t>112-5866375-6409865</t>
        </is>
      </c>
      <c r="C1028" s="3" t="inlineStr">
        <is>
          <t>PartsUnlimited</t>
        </is>
      </c>
    </row>
    <row collapsed="false" customFormat="false" customHeight="false" hidden="false" ht="12.1" outlineLevel="0" r="1029">
      <c r="A1029" s="3" t="s">
        <f>=HYPERLINK("https://mp39851918.megaplan.ua/deals/87351/card/","14471")</f>
      </c>
      <c r="B1029" s="3" t="inlineStr">
        <is>
          <t>114-7308737-0746634</t>
        </is>
      </c>
      <c r="C1029" s="3" t="inlineStr">
        <is>
          <t>RockyMountain</t>
        </is>
      </c>
    </row>
    <row collapsed="false" customFormat="false" customHeight="false" hidden="false" ht="12.1" outlineLevel="0" r="1030">
      <c r="A1030" s="3" t="s">
        <f>=HYPERLINK("https://mp39851918.megaplan.ua/deals/87360/card/","14472")</f>
      </c>
      <c r="B1030" s="3" t="inlineStr">
        <is>
          <t>111-9235479-6860209</t>
        </is>
      </c>
      <c r="C1030" s="3" t="inlineStr">
        <is>
          <t>RockyMountain</t>
        </is>
      </c>
    </row>
    <row collapsed="false" customFormat="false" customHeight="false" hidden="false" ht="12.1" outlineLevel="0" r="1031">
      <c r="A1031" s="3" t="s">
        <f>=HYPERLINK("https://mp39851918.megaplan.ua/deals/87366/card/","14473")</f>
      </c>
      <c r="B1031" s="3" t="inlineStr">
        <is>
          <t>114-7044581-7219456</t>
        </is>
      </c>
      <c r="C1031" s="3" t="inlineStr">
        <is>
          <t>RockyMountain</t>
        </is>
      </c>
    </row>
    <row collapsed="false" customFormat="false" customHeight="false" hidden="false" ht="12.1" outlineLevel="0" r="1032">
      <c r="A1032" s="3" t="s">
        <f>=HYPERLINK("https://mp39851918.megaplan.ua/deals/87368/card/","14474")</f>
      </c>
      <c r="B1032" s="3" t="inlineStr">
        <is>
          <t>114-7974571-4589866</t>
        </is>
      </c>
      <c r="C1032" s="3" t="inlineStr">
        <is>
          <t>RockyMountain</t>
        </is>
      </c>
    </row>
    <row collapsed="false" customFormat="false" customHeight="false" hidden="false" ht="12.1" outlineLevel="0" r="1033">
      <c r="A1033" s="3" t="s">
        <f>=HYPERLINK("https://mp39851918.megaplan.ua/deals/87384/card/","14476")</f>
      </c>
      <c r="B1033" s="3" t="inlineStr">
        <is>
          <t>111-5320541-4012251</t>
        </is>
      </c>
      <c r="C1033" s="3" t="inlineStr">
        <is>
          <t>Autodist</t>
        </is>
      </c>
    </row>
    <row collapsed="false" customFormat="false" customHeight="false" hidden="false" ht="12.1" outlineLevel="0" r="1034">
      <c r="A1034" s="3" t="s">
        <f>=HYPERLINK("https://mp39851918.megaplan.ua/deals/87387/card/","14477")</f>
      </c>
      <c r="B1034" s="3" t="inlineStr">
        <is>
          <t>112-7084719-1806608</t>
        </is>
      </c>
      <c r="C1034" s="3" t="inlineStr">
        <is>
          <t>Autodist</t>
        </is>
      </c>
    </row>
    <row collapsed="false" customFormat="false" customHeight="false" hidden="false" ht="12.1" outlineLevel="0" r="1035">
      <c r="A1035" s="3" t="s">
        <f>=HYPERLINK("https://mp39851918.megaplan.ua/deals/87389/card/","14478")</f>
      </c>
      <c r="B1035" s="3" t="inlineStr">
        <is>
          <t>111-4615829-9349013</t>
        </is>
      </c>
      <c r="C1035" s="3" t="inlineStr">
        <is>
          <t>PartsUnlimited</t>
        </is>
      </c>
    </row>
    <row collapsed="false" customFormat="false" customHeight="false" hidden="false" ht="12.1" outlineLevel="0" r="1036">
      <c r="A1036" s="3" t="s">
        <f>=HYPERLINK("https://mp39851918.megaplan.ua/deals/87413/card/","14479")</f>
      </c>
      <c r="B1036" s="3" t="inlineStr">
        <is>
          <t>111-5997120-6050615</t>
        </is>
      </c>
      <c r="C1036" s="3" t="inlineStr">
        <is>
          <t>RockyMountain</t>
        </is>
      </c>
    </row>
    <row collapsed="false" customFormat="false" customHeight="false" hidden="false" ht="12.1" outlineLevel="0" r="1037">
      <c r="A1037" s="3" t="s">
        <f>=HYPERLINK("https://mp39851918.megaplan.ua/deals/87421/card/","14480")</f>
      </c>
      <c r="B1037" s="3" t="inlineStr">
        <is>
          <t>112-9610141-7246602</t>
        </is>
      </c>
      <c r="C1037" s="3" t="inlineStr">
        <is>
          <t>Autodist</t>
        </is>
      </c>
    </row>
    <row collapsed="false" customFormat="false" customHeight="false" hidden="false" ht="12.1" outlineLevel="0" r="1038">
      <c r="A1038" s="3" t="s">
        <f>=HYPERLINK("https://mp39851918.megaplan.ua/deals/87422/card/","14481")</f>
      </c>
      <c r="B1038" s="3" t="inlineStr">
        <is>
          <t>114-2096870-7825027</t>
        </is>
      </c>
      <c r="C1038" s="3" t="inlineStr">
        <is>
          <t>Autodist</t>
        </is>
      </c>
    </row>
    <row collapsed="false" customFormat="false" customHeight="false" hidden="false" ht="12.1" outlineLevel="0" r="1039">
      <c r="A1039" s="3" t="s">
        <f>=HYPERLINK("https://mp39851918.megaplan.ua/deals/87433/card/","14482")</f>
      </c>
      <c r="B1039" s="3" t="inlineStr">
        <is>
          <t>112-7242540-7333869</t>
        </is>
      </c>
      <c r="C1039" s="3" t="inlineStr">
        <is>
          <t>PartsUnlimited</t>
        </is>
      </c>
    </row>
    <row collapsed="false" customFormat="false" customHeight="false" hidden="false" ht="12.1" outlineLevel="0" r="1040">
      <c r="A1040" s="3" t="s">
        <f>=HYPERLINK("https://mp39851918.megaplan.ua/deals/87434/card/","14483")</f>
      </c>
      <c r="B1040" s="3" t="inlineStr">
        <is>
          <t>111-6506012-6252204</t>
        </is>
      </c>
      <c r="C1040" s="3" t="inlineStr">
        <is>
          <t>Autodist</t>
        </is>
      </c>
    </row>
    <row collapsed="false" customFormat="false" customHeight="false" hidden="false" ht="12.1" outlineLevel="0" r="1041">
      <c r="A1041" s="3" t="s">
        <f>=HYPERLINK("https://mp39851918.megaplan.ua/deals/87441/card/","14485")</f>
      </c>
      <c r="B1041" s="3" t="inlineStr">
        <is>
          <t>111-3791888-4513806</t>
        </is>
      </c>
      <c r="C1041" s="3" t="inlineStr">
        <is>
          <t>RockyMountain</t>
        </is>
      </c>
    </row>
    <row collapsed="false" customFormat="false" customHeight="false" hidden="false" ht="12.1" outlineLevel="0" r="1042">
      <c r="A1042" s="3" t="s">
        <f>=HYPERLINK("https://mp39851918.megaplan.ua/deals/87458/card/","14487")</f>
      </c>
      <c r="B1042" s="3" t="inlineStr">
        <is>
          <t>113-8275343-2935417</t>
        </is>
      </c>
      <c r="C1042" s="3" t="inlineStr">
        <is>
          <t>RockyMountain</t>
        </is>
      </c>
    </row>
    <row collapsed="false" customFormat="false" customHeight="false" hidden="false" ht="12.1" outlineLevel="0" r="1043">
      <c r="A1043" s="3" t="s">
        <f>=HYPERLINK("https://mp39851918.megaplan.ua/deals/87459/card/","14488")</f>
      </c>
      <c r="B1043" s="3" t="inlineStr">
        <is>
          <t>112-4484078-4531410</t>
        </is>
      </c>
      <c r="C1043" s="3" t="inlineStr">
        <is>
          <t>RockyMountain</t>
        </is>
      </c>
    </row>
    <row collapsed="false" customFormat="false" customHeight="false" hidden="false" ht="12.1" outlineLevel="0" r="1044">
      <c r="A1044" s="3" t="s">
        <f>=HYPERLINK("https://mp39851918.megaplan.ua/deals/87468/card/","14489")</f>
      </c>
      <c r="B1044" s="3" t="inlineStr">
        <is>
          <t>114-1509108-9396230</t>
        </is>
      </c>
      <c r="C1044" s="3" t="inlineStr">
        <is>
          <t>Autodist</t>
        </is>
      </c>
    </row>
    <row collapsed="false" customFormat="false" customHeight="false" hidden="false" ht="12.1" outlineLevel="0" r="1045">
      <c r="A1045" s="3" t="s">
        <f>=HYPERLINK("https://mp39851918.megaplan.ua/deals/87469/card/","14490")</f>
      </c>
      <c r="B1045" s="3" t="inlineStr">
        <is>
          <t>111-3765033-9880217</t>
        </is>
      </c>
      <c r="C1045" s="3" t="inlineStr">
        <is>
          <t>RockyMountain</t>
        </is>
      </c>
    </row>
    <row collapsed="false" customFormat="false" customHeight="false" hidden="false" ht="12.1" outlineLevel="0" r="1046">
      <c r="A1046" s="3" t="s">
        <f>=HYPERLINK("https://mp39851918.megaplan.ua/deals/87478/card/","14491")</f>
      </c>
      <c r="B1046" s="3" t="inlineStr">
        <is>
          <t>112-2556904-5285830</t>
        </is>
      </c>
      <c r="C1046" s="3" t="inlineStr">
        <is>
          <t>RockyMountain</t>
        </is>
      </c>
    </row>
    <row collapsed="false" customFormat="false" customHeight="false" hidden="false" ht="12.1" outlineLevel="0" r="1047">
      <c r="A1047" s="3" t="s">
        <f>=HYPERLINK("https://mp39851918.megaplan.ua/deals/87503/card/","14493")</f>
      </c>
      <c r="B1047" s="3" t="inlineStr">
        <is>
          <t>114-1173483-5137805</t>
        </is>
      </c>
      <c r="C1047" s="3" t="inlineStr">
        <is>
          <t>PartsUnlimited</t>
        </is>
      </c>
    </row>
    <row collapsed="false" customFormat="false" customHeight="false" hidden="false" ht="12.1" outlineLevel="0" r="1048">
      <c r="A1048" s="3" t="s">
        <f>=HYPERLINK("https://mp39851918.megaplan.ua/deals/87510/card/","14494")</f>
      </c>
      <c r="B1048" s="3" t="inlineStr">
        <is>
          <t>111-0347541-4015462</t>
        </is>
      </c>
      <c r="C1048" s="3" t="inlineStr">
        <is>
          <t>RockyMountain</t>
        </is>
      </c>
    </row>
    <row collapsed="false" customFormat="false" customHeight="false" hidden="false" ht="12.1" outlineLevel="0" r="1049">
      <c r="A1049" s="3" t="s">
        <f>=HYPERLINK("https://mp39851918.megaplan.ua/deals/87519/card/","14495")</f>
      </c>
      <c r="B1049" s="3" t="inlineStr">
        <is>
          <t>113-9457794-6531466</t>
        </is>
      </c>
      <c r="C1049" s="3" t="inlineStr">
        <is>
          <t>RockyMountain</t>
        </is>
      </c>
    </row>
    <row collapsed="false" customFormat="false" customHeight="false" hidden="false" ht="12.1" outlineLevel="0" r="1050">
      <c r="A1050" s="3" t="s">
        <f>=HYPERLINK("https://mp39851918.megaplan.ua/deals/87526/card/","14497")</f>
      </c>
      <c r="B1050" s="3" t="inlineStr">
        <is>
          <t>112-1072062-0817804</t>
        </is>
      </c>
      <c r="C1050" s="3" t="inlineStr">
        <is>
          <t>Autodist</t>
        </is>
      </c>
    </row>
    <row collapsed="false" customFormat="false" customHeight="false" hidden="false" ht="12.1" outlineLevel="0" r="1051">
      <c r="A1051" s="3" t="s">
        <f>=HYPERLINK("https://mp39851918.megaplan.ua/deals/87531/card/","14498")</f>
      </c>
      <c r="B1051" s="3" t="inlineStr">
        <is>
          <t>112-0833541-3330662</t>
        </is>
      </c>
      <c r="C1051" s="3" t="inlineStr">
        <is>
          <t>RockyMountain</t>
        </is>
      </c>
    </row>
    <row collapsed="false" customFormat="false" customHeight="false" hidden="false" ht="12.1" outlineLevel="0" r="1052">
      <c r="A1052" s="3" t="s">
        <f>=HYPERLINK("https://mp39851918.megaplan.ua/deals/87540/card/","14499")</f>
      </c>
      <c r="B1052" s="3" t="inlineStr">
        <is>
          <t>112-0517475-9837018</t>
        </is>
      </c>
      <c r="C1052" s="3" t="inlineStr">
        <is>
          <t>RockyMountain</t>
        </is>
      </c>
    </row>
    <row collapsed="false" customFormat="false" customHeight="false" hidden="false" ht="12.1" outlineLevel="0" r="1053">
      <c r="A1053" s="3" t="s">
        <f>=HYPERLINK("https://mp39851918.megaplan.ua/deals/87547/card/","14500")</f>
      </c>
      <c r="B1053" s="3" t="inlineStr">
        <is>
          <t>113-6366062-4685806</t>
        </is>
      </c>
      <c r="C1053" s="3" t="inlineStr">
        <is>
          <t>Autodist</t>
        </is>
      </c>
    </row>
    <row collapsed="false" customFormat="false" customHeight="false" hidden="false" ht="12.1" outlineLevel="0" r="1054">
      <c r="A1054" s="3" t="s">
        <f>=HYPERLINK("https://mp39851918.megaplan.ua/deals/87559/card/","14502")</f>
      </c>
      <c r="B1054" s="3" t="inlineStr">
        <is>
          <t>114-0020146-1928242</t>
        </is>
      </c>
      <c r="C1054" s="3" t="inlineStr">
        <is>
          <t>RockyMountain</t>
        </is>
      </c>
    </row>
    <row collapsed="false" customFormat="false" customHeight="false" hidden="false" ht="12.1" outlineLevel="0" r="1055">
      <c r="A1055" s="3" t="s">
        <f>=HYPERLINK("https://mp39851918.megaplan.ua/deals/87562/card/","14503")</f>
      </c>
      <c r="B1055" s="3" t="inlineStr">
        <is>
          <t>111-8535535-4709001</t>
        </is>
      </c>
      <c r="C1055" s="3" t="inlineStr">
        <is>
          <t>Autodist</t>
        </is>
      </c>
    </row>
    <row collapsed="false" customFormat="false" customHeight="false" hidden="false" ht="12.1" outlineLevel="0" r="1056">
      <c r="A1056" s="3" t="s">
        <f>=HYPERLINK("https://mp39851918.megaplan.ua/deals/87564/card/","14504")</f>
      </c>
      <c r="B1056" s="3" t="inlineStr">
        <is>
          <t>112-7617704-2679422</t>
        </is>
      </c>
      <c r="C1056" s="3" t="inlineStr">
        <is>
          <t>Autodist</t>
        </is>
      </c>
    </row>
    <row collapsed="false" customFormat="false" customHeight="false" hidden="false" ht="12.1" outlineLevel="0" r="1057">
      <c r="A1057" s="3" t="s">
        <f>=HYPERLINK("https://mp39851918.megaplan.ua/deals/87568/card/","14505")</f>
      </c>
      <c r="B1057" s="3" t="inlineStr">
        <is>
          <t>114-1281843-8974604</t>
        </is>
      </c>
      <c r="C1057" s="3" t="inlineStr">
        <is>
          <t>PartsUnlimited</t>
        </is>
      </c>
    </row>
    <row collapsed="false" customFormat="false" customHeight="false" hidden="false" ht="12.1" outlineLevel="0" r="1058">
      <c r="A1058" s="3" t="s">
        <f>=HYPERLINK("https://mp39851918.megaplan.ua/deals/87573/card/","14506")</f>
      </c>
      <c r="B1058" s="3" t="inlineStr">
        <is>
          <t>114-8221000-1740248</t>
        </is>
      </c>
      <c r="C1058" s="3" t="inlineStr">
        <is>
          <t>RockyMountain</t>
        </is>
      </c>
    </row>
    <row collapsed="false" customFormat="false" customHeight="false" hidden="false" ht="12.1" outlineLevel="0" r="1059">
      <c r="A1059" s="3" t="s">
        <f>=HYPERLINK("https://mp39851918.megaplan.ua/deals/87576/card/","14507")</f>
      </c>
      <c r="B1059" s="3" t="inlineStr">
        <is>
          <t>114-7482932-4442660</t>
        </is>
      </c>
      <c r="C1059" s="3" t="inlineStr">
        <is>
          <t>RockyMountain</t>
        </is>
      </c>
    </row>
    <row collapsed="false" customFormat="false" customHeight="false" hidden="false" ht="12.1" outlineLevel="0" r="1060">
      <c r="A1060" s="3" t="s">
        <f>=HYPERLINK("https://mp39851918.megaplan.ua/deals/87577/card/","14508")</f>
      </c>
      <c r="B1060" s="3" t="inlineStr">
        <is>
          <t>113-5723886-5475466</t>
        </is>
      </c>
      <c r="C1060" s="3" t="inlineStr">
        <is>
          <t>RockyMountain</t>
        </is>
      </c>
    </row>
    <row collapsed="false" customFormat="false" customHeight="false" hidden="false" ht="12.1" outlineLevel="0" r="1061">
      <c r="A1061" s="3" t="s">
        <f>=HYPERLINK("https://mp39851918.megaplan.ua/deals/87578/card/","14509")</f>
      </c>
      <c r="B1061" s="3" t="inlineStr">
        <is>
          <t>114-0993127-0093043</t>
        </is>
      </c>
      <c r="C1061" s="3" t="inlineStr">
        <is>
          <t>RockyMountain</t>
        </is>
      </c>
    </row>
    <row collapsed="false" customFormat="false" customHeight="false" hidden="false" ht="12.1" outlineLevel="0" r="1062">
      <c r="A1062" s="3" t="s">
        <f>=HYPERLINK("https://mp39851918.megaplan.ua/deals/87616/card/","14513")</f>
      </c>
      <c r="B1062" s="3" t="inlineStr">
        <is>
          <t>112-1231943-2379412</t>
        </is>
      </c>
      <c r="C1062" s="3" t="inlineStr">
        <is>
          <t>RockyMountain</t>
        </is>
      </c>
    </row>
    <row collapsed="false" customFormat="false" customHeight="false" hidden="false" ht="12.1" outlineLevel="0" r="1063">
      <c r="A1063" s="3" t="s">
        <f>=HYPERLINK("https://mp39851918.megaplan.ua/deals/87618/card/","14514")</f>
      </c>
      <c r="B1063" s="3" t="inlineStr">
        <is>
          <t>111-4911242-7295424</t>
        </is>
      </c>
      <c r="C1063" s="3" t="inlineStr">
        <is>
          <t>Autodist</t>
        </is>
      </c>
    </row>
    <row collapsed="false" customFormat="false" customHeight="false" hidden="false" ht="12.1" outlineLevel="0" r="1064">
      <c r="A1064" s="3" t="s">
        <f>=HYPERLINK("https://mp39851918.megaplan.ua/deals/87629/card/","14515")</f>
      </c>
      <c r="B1064" s="3" t="inlineStr">
        <is>
          <t>111-9954687-7087433</t>
        </is>
      </c>
      <c r="C1064" s="3" t="inlineStr">
        <is>
          <t>PartsUnlimited</t>
        </is>
      </c>
    </row>
    <row collapsed="false" customFormat="false" customHeight="false" hidden="false" ht="12.1" outlineLevel="0" r="1065">
      <c r="A1065" s="3" t="s">
        <f>=HYPERLINK("https://mp39851918.megaplan.ua/deals/87635/card/","14516")</f>
      </c>
      <c r="B1065" s="3" t="inlineStr">
        <is>
          <t>112-0969762-1397830</t>
        </is>
      </c>
      <c r="C1065" s="3" t="inlineStr">
        <is>
          <t>Autodist</t>
        </is>
      </c>
    </row>
    <row collapsed="false" customFormat="false" customHeight="false" hidden="false" ht="12.1" outlineLevel="0" r="1066">
      <c r="A1066" s="3" t="s">
        <f>=HYPERLINK("https://mp39851918.megaplan.ua/deals/87636/card/","14517")</f>
      </c>
      <c r="B1066" s="3" t="inlineStr">
        <is>
          <t>114-4237677-7145056</t>
        </is>
      </c>
      <c r="C1066" s="3" t="inlineStr">
        <is>
          <t>Autodist</t>
        </is>
      </c>
    </row>
    <row collapsed="false" customFormat="false" customHeight="false" hidden="false" ht="12.1" outlineLevel="0" r="1067">
      <c r="A1067" s="3" t="s">
        <f>=HYPERLINK("https://mp39851918.megaplan.ua/deals/87648/card/","14519")</f>
      </c>
      <c r="B1067" s="3" t="inlineStr">
        <is>
          <t>111-6569507-6320200</t>
        </is>
      </c>
      <c r="C1067" s="3" t="inlineStr">
        <is>
          <t>RockyMountain</t>
        </is>
      </c>
    </row>
    <row collapsed="false" customFormat="false" customHeight="false" hidden="false" ht="12.1" outlineLevel="0" r="1068">
      <c r="A1068" s="3" t="s">
        <f>=HYPERLINK("https://mp39851918.megaplan.ua/deals/87652/card/","14520")</f>
      </c>
      <c r="B1068" s="3" t="inlineStr">
        <is>
          <t>111-9658607-3937815</t>
        </is>
      </c>
      <c r="C1068" s="3" t="inlineStr">
        <is>
          <t>RockyMountain</t>
        </is>
      </c>
    </row>
    <row collapsed="false" customFormat="false" customHeight="false" hidden="false" ht="12.1" outlineLevel="0" r="1069">
      <c r="A1069" s="3" t="s">
        <f>=HYPERLINK("https://mp39851918.megaplan.ua/deals/87674/card/","14521")</f>
      </c>
      <c r="B1069" s="3" t="inlineStr">
        <is>
          <t>114-7100302-4381019</t>
        </is>
      </c>
      <c r="C1069" s="3" t="inlineStr">
        <is>
          <t>Autodist</t>
        </is>
      </c>
    </row>
    <row collapsed="false" customFormat="false" customHeight="false" hidden="false" ht="12.1" outlineLevel="0" r="1070">
      <c r="A1070" s="3" t="s">
        <f>=HYPERLINK("https://mp39851918.megaplan.ua/deals/87677/card/","14522")</f>
      </c>
      <c r="B1070" s="3" t="inlineStr">
        <is>
          <t>112-2190379-3786641</t>
        </is>
      </c>
      <c r="C1070" s="3" t="inlineStr">
        <is>
          <t>Autodist</t>
        </is>
      </c>
    </row>
    <row collapsed="false" customFormat="false" customHeight="false" hidden="false" ht="12.1" outlineLevel="0" r="1071">
      <c r="A1071" s="3" t="s">
        <f>=HYPERLINK("https://mp39851918.megaplan.ua/deals/87685/card/","14523")</f>
      </c>
      <c r="B1071" s="3" t="inlineStr">
        <is>
          <t>111-0366554-6352233</t>
        </is>
      </c>
      <c r="C1071" s="3" t="inlineStr">
        <is>
          <t>PartsUnlimited</t>
        </is>
      </c>
    </row>
    <row collapsed="false" customFormat="false" customHeight="false" hidden="false" ht="12.1" outlineLevel="0" r="1072">
      <c r="A1072" s="3" t="s">
        <f>=HYPERLINK("https://mp39851918.megaplan.ua/deals/87686/card/","14524")</f>
      </c>
      <c r="B1072" s="3" t="inlineStr">
        <is>
          <t>111-0185275-0073863</t>
        </is>
      </c>
      <c r="C1072" s="3" t="inlineStr">
        <is>
          <t>Autodist</t>
        </is>
      </c>
    </row>
    <row collapsed="false" customFormat="false" customHeight="false" hidden="false" ht="12.1" outlineLevel="0" r="1073">
      <c r="A1073" s="3" t="s">
        <f>=HYPERLINK("https://mp39851918.megaplan.ua/deals/87690/card/","14525")</f>
      </c>
      <c r="B1073" s="3" t="inlineStr">
        <is>
          <t>111-4590682-0951440</t>
        </is>
      </c>
      <c r="C1073" s="3" t="inlineStr">
        <is>
          <t>Autodist</t>
        </is>
      </c>
    </row>
    <row collapsed="false" customFormat="false" customHeight="false" hidden="false" ht="12.1" outlineLevel="0" r="1074">
      <c r="A1074" s="3" t="s">
        <f>=HYPERLINK("https://mp39851918.megaplan.ua/deals/87703/card/","14526")</f>
      </c>
      <c r="B1074" s="3" t="inlineStr">
        <is>
          <t>114-5239337-6406629</t>
        </is>
      </c>
      <c r="C1074" s="3" t="inlineStr">
        <is>
          <t>Autodist</t>
        </is>
      </c>
    </row>
    <row collapsed="false" customFormat="false" customHeight="false" hidden="false" ht="12.1" outlineLevel="0" r="1075">
      <c r="A1075" s="3" t="s">
        <f>=HYPERLINK("https://mp39851918.megaplan.ua/deals/87704/card/","14527")</f>
      </c>
      <c r="B1075" s="3" t="inlineStr">
        <is>
          <t>114-5888064-7959406</t>
        </is>
      </c>
      <c r="C1075" s="3" t="inlineStr">
        <is>
          <t>Autodist</t>
        </is>
      </c>
    </row>
    <row collapsed="false" customFormat="false" customHeight="false" hidden="false" ht="12.1" outlineLevel="0" r="1076">
      <c r="A1076" s="3" t="s">
        <f>=HYPERLINK("https://mp39851918.megaplan.ua/deals/87713/card/","14528")</f>
      </c>
      <c r="B1076" s="3" t="inlineStr">
        <is>
          <t>114-4936579-9619463</t>
        </is>
      </c>
      <c r="C1076" s="3" t="inlineStr">
        <is>
          <t>RockyMountain</t>
        </is>
      </c>
    </row>
    <row collapsed="false" customFormat="false" customHeight="false" hidden="false" ht="12.1" outlineLevel="0" r="1077">
      <c r="A1077" s="3" t="s">
        <f>=HYPERLINK("https://mp39851918.megaplan.ua/deals/87716/card/","14529")</f>
      </c>
      <c r="B1077" s="3" t="inlineStr">
        <is>
          <t>113-5047246-0603467</t>
        </is>
      </c>
      <c r="C1077" s="3" t="inlineStr">
        <is>
          <t>Autodist</t>
        </is>
      </c>
    </row>
    <row collapsed="false" customFormat="false" customHeight="false" hidden="false" ht="12.1" outlineLevel="0" r="1078">
      <c r="A1078" s="3" t="s">
        <f>=HYPERLINK("https://mp39851918.megaplan.ua/deals/87722/card/","14530")</f>
      </c>
      <c r="B1078" s="3" t="inlineStr">
        <is>
          <t>112-2763387-1902619</t>
        </is>
      </c>
      <c r="C1078" s="3" t="inlineStr">
        <is>
          <t>PartsUnlimited</t>
        </is>
      </c>
    </row>
    <row collapsed="false" customFormat="false" customHeight="false" hidden="false" ht="12.1" outlineLevel="0" r="1079">
      <c r="A1079" s="3" t="s">
        <f>=HYPERLINK("https://mp39851918.megaplan.ua/deals/87723/card/","14531")</f>
      </c>
      <c r="B1079" s="3" t="inlineStr">
        <is>
          <t>113-0676182-4901806</t>
        </is>
      </c>
      <c r="C1079" s="3" t="inlineStr">
        <is>
          <t>RockyMountain</t>
        </is>
      </c>
    </row>
    <row collapsed="false" customFormat="false" customHeight="false" hidden="false" ht="12.1" outlineLevel="0" r="1080">
      <c r="A1080" s="3" t="s">
        <f>=HYPERLINK("https://mp39851918.megaplan.ua/deals/87733/card/","14537")</f>
      </c>
      <c r="B1080" s="3" t="inlineStr">
        <is>
          <t>114-7544456-7423457</t>
        </is>
      </c>
      <c r="C1080" s="3" t="inlineStr">
        <is>
          <t>Autodist</t>
        </is>
      </c>
    </row>
    <row collapsed="false" customFormat="false" customHeight="false" hidden="false" ht="12.1" outlineLevel="0" r="1081">
      <c r="A1081" s="3" t="s">
        <f>=HYPERLINK("https://mp39851918.megaplan.ua/deals/87738/card/","14538")</f>
      </c>
      <c r="B1081" s="3" t="inlineStr">
        <is>
          <t>112-9313510-9665003</t>
        </is>
      </c>
      <c r="C1081" s="3" t="inlineStr">
        <is>
          <t>Autodist</t>
        </is>
      </c>
    </row>
    <row collapsed="false" customFormat="false" customHeight="false" hidden="false" ht="12.1" outlineLevel="0" r="1082">
      <c r="A1082" s="3" t="s">
        <f>=HYPERLINK("https://mp39851918.megaplan.ua/deals/87747/card/","14539")</f>
      </c>
      <c r="B1082" s="3" t="inlineStr">
        <is>
          <t>113-0829086-2390640</t>
        </is>
      </c>
      <c r="C1082" s="3" t="inlineStr">
        <is>
          <t>RockyMountain</t>
        </is>
      </c>
    </row>
    <row collapsed="false" customFormat="false" customHeight="false" hidden="false" ht="12.1" outlineLevel="0" r="1083">
      <c r="A1083" s="3" t="s">
        <f>=HYPERLINK("https://mp39851918.megaplan.ua/deals/87756/card/","14540")</f>
      </c>
      <c r="B1083" s="3" t="inlineStr">
        <is>
          <t>111-3109075-2970622</t>
        </is>
      </c>
      <c r="C1083" s="3" t="inlineStr">
        <is>
          <t>PartsUnlimited</t>
        </is>
      </c>
    </row>
    <row collapsed="false" customFormat="false" customHeight="false" hidden="false" ht="12.1" outlineLevel="0" r="1084">
      <c r="A1084" s="3" t="s">
        <f>=HYPERLINK("https://mp39851918.megaplan.ua/deals/87784/card/","14543")</f>
      </c>
      <c r="B1084" s="3" t="inlineStr">
        <is>
          <t>112-5727701-7857851</t>
        </is>
      </c>
      <c r="C1084" s="3" t="inlineStr">
        <is>
          <t>RockyMountain</t>
        </is>
      </c>
    </row>
    <row collapsed="false" customFormat="false" customHeight="false" hidden="false" ht="12.1" outlineLevel="0" r="1085">
      <c r="A1085" s="3" t="s">
        <f>=HYPERLINK("https://mp39851918.megaplan.ua/deals/87806/card/","14544")</f>
      </c>
      <c r="B1085" s="3" t="inlineStr">
        <is>
          <t>111-6736556-6530642</t>
        </is>
      </c>
      <c r="C1085" s="3" t="inlineStr">
        <is>
          <t>Autodist</t>
        </is>
      </c>
    </row>
    <row collapsed="false" customFormat="false" customHeight="false" hidden="false" ht="12.1" outlineLevel="0" r="1086">
      <c r="A1086" s="3" t="s">
        <f>=HYPERLINK("https://mp39851918.megaplan.ua/deals/87814/card/","14545")</f>
      </c>
      <c r="B1086" s="3" t="inlineStr">
        <is>
          <t>112-8893272-8185854</t>
        </is>
      </c>
      <c r="C1086" s="3" t="inlineStr">
        <is>
          <t>Autodist</t>
        </is>
      </c>
    </row>
    <row collapsed="false" customFormat="false" customHeight="false" hidden="false" ht="12.1" outlineLevel="0" r="1087">
      <c r="A1087" s="3" t="s">
        <f>=HYPERLINK("https://mp39851918.megaplan.ua/deals/87817/card/","14547")</f>
      </c>
      <c r="B1087" s="3" t="inlineStr">
        <is>
          <t>111-7971801-3913064</t>
        </is>
      </c>
      <c r="C1087" s="3" t="inlineStr">
        <is>
          <t>RockyMountain</t>
        </is>
      </c>
    </row>
    <row collapsed="false" customFormat="false" customHeight="false" hidden="false" ht="12.1" outlineLevel="0" r="1088">
      <c r="A1088" s="3" t="s">
        <f>=HYPERLINK("https://mp39851918.megaplan.ua/deals/87822/card/","14548")</f>
      </c>
      <c r="B1088" s="3" t="inlineStr">
        <is>
          <t>111-8974154-2661035</t>
        </is>
      </c>
      <c r="C1088" s="3" t="inlineStr">
        <is>
          <t>PartsUnlimited</t>
        </is>
      </c>
    </row>
    <row collapsed="false" customFormat="false" customHeight="false" hidden="false" ht="12.1" outlineLevel="0" r="1089">
      <c r="A1089" s="3" t="s">
        <f>=HYPERLINK("https://mp39851918.megaplan.ua/deals/87835/card/","14550")</f>
      </c>
      <c r="B1089" s="3" t="inlineStr">
        <is>
          <t>112-4871893-3822608</t>
        </is>
      </c>
      <c r="C1089" s="3" t="inlineStr">
        <is>
          <t>Autodist</t>
        </is>
      </c>
    </row>
    <row collapsed="false" customFormat="false" customHeight="false" hidden="false" ht="12.1" outlineLevel="0" r="1090">
      <c r="A1090" s="3" t="s">
        <f>=HYPERLINK("https://mp39851918.megaplan.ua/deals/87840/card/","14551")</f>
      </c>
      <c r="B1090" s="3" t="inlineStr">
        <is>
          <t>114-0234241-3926643</t>
        </is>
      </c>
      <c r="C1090" s="3" t="inlineStr">
        <is>
          <t>Autodist</t>
        </is>
      </c>
    </row>
    <row collapsed="false" customFormat="false" customHeight="false" hidden="false" ht="12.1" outlineLevel="0" r="1091">
      <c r="A1091" s="3" t="s">
        <f>=HYPERLINK("https://mp39851918.megaplan.ua/deals/87843/card/","14552")</f>
      </c>
      <c r="B1091" s="3" t="inlineStr">
        <is>
          <t>112-2694251-5713830</t>
        </is>
      </c>
      <c r="C1091" s="3" t="inlineStr">
        <is>
          <t>PartsUnlimited</t>
        </is>
      </c>
    </row>
    <row collapsed="false" customFormat="false" customHeight="false" hidden="false" ht="12.1" outlineLevel="0" r="1092">
      <c r="A1092" s="3" t="s">
        <f>=HYPERLINK("https://mp39851918.megaplan.ua/deals/87849/card/","14553")</f>
      </c>
      <c r="B1092" s="3" t="inlineStr">
        <is>
          <t>112-0219263-3574611</t>
        </is>
      </c>
      <c r="C1092" s="3" t="inlineStr">
        <is>
          <t>Autodist</t>
        </is>
      </c>
    </row>
    <row collapsed="false" customFormat="false" customHeight="false" hidden="false" ht="12.1" outlineLevel="0" r="1093">
      <c r="A1093" s="3" t="s">
        <f>=HYPERLINK("https://mp39851918.megaplan.ua/deals/87857/card/","14554")</f>
      </c>
      <c r="B1093" s="3" t="inlineStr">
        <is>
          <t>113-1680395-0169042</t>
        </is>
      </c>
      <c r="C1093" s="3" t="inlineStr">
        <is>
          <t>RockyMountain</t>
        </is>
      </c>
    </row>
    <row collapsed="false" customFormat="false" customHeight="false" hidden="false" ht="12.1" outlineLevel="0" r="1094">
      <c r="A1094" s="3" t="s">
        <f>=HYPERLINK("https://mp39851918.megaplan.ua/deals/87858/card/","14555")</f>
      </c>
      <c r="B1094" s="3" t="inlineStr">
        <is>
          <t>113-2370642-2902603</t>
        </is>
      </c>
      <c r="C1094" s="3" t="inlineStr">
        <is>
          <t>PartsUnlimited</t>
        </is>
      </c>
    </row>
    <row collapsed="false" customFormat="false" customHeight="false" hidden="false" ht="12.1" outlineLevel="0" r="1095">
      <c r="A1095" s="3" t="s">
        <f>=HYPERLINK("https://mp39851918.megaplan.ua/deals/87859/card/","14556")</f>
      </c>
      <c r="B1095" s="3" t="inlineStr">
        <is>
          <t>112-2706598-5084248</t>
        </is>
      </c>
      <c r="C1095" s="3" t="inlineStr">
        <is>
          <t>Autodist</t>
        </is>
      </c>
    </row>
    <row collapsed="false" customFormat="false" customHeight="false" hidden="false" ht="12.1" outlineLevel="0" r="1096">
      <c r="A1096" s="3" t="s">
        <f>=HYPERLINK("https://mp39851918.megaplan.ua/deals/87860/card/","14557")</f>
      </c>
      <c r="B1096" s="3" t="inlineStr">
        <is>
          <t>111-5748270-5841811</t>
        </is>
      </c>
      <c r="C1096" s="3" t="inlineStr">
        <is>
          <t>PartsUnlimited</t>
        </is>
      </c>
    </row>
    <row collapsed="false" customFormat="false" customHeight="false" hidden="false" ht="12.1" outlineLevel="0" r="1097">
      <c r="A1097" s="3" t="s">
        <f>=HYPERLINK("https://mp39851918.megaplan.ua/deals/87861/card/","14558")</f>
      </c>
      <c r="B1097" s="3" t="inlineStr">
        <is>
          <t>111-2540578-4555403</t>
        </is>
      </c>
      <c r="C1097" s="3" t="inlineStr">
        <is>
          <t>RockyMountain</t>
        </is>
      </c>
    </row>
    <row collapsed="false" customFormat="false" customHeight="false" hidden="false" ht="12.1" outlineLevel="0" r="1098">
      <c r="A1098" s="3" t="s">
        <f>=HYPERLINK("https://mp39851918.megaplan.ua/deals/87862/card/","14559")</f>
      </c>
      <c r="B1098" s="3" t="inlineStr">
        <is>
          <t>114-9267622-1595456</t>
        </is>
      </c>
      <c r="C1098" s="3" t="inlineStr">
        <is>
          <t>Autodist</t>
        </is>
      </c>
    </row>
    <row collapsed="false" customFormat="false" customHeight="false" hidden="false" ht="12.1" outlineLevel="0" r="1099">
      <c r="A1099" s="3" t="s">
        <f>=HYPERLINK("https://mp39851918.megaplan.ua/deals/87866/card/","14560")</f>
      </c>
      <c r="B1099" s="3" t="inlineStr">
        <is>
          <t>113-3122374-7353030</t>
        </is>
      </c>
      <c r="C1099" s="3" t="inlineStr">
        <is>
          <t>Autodist</t>
        </is>
      </c>
    </row>
    <row collapsed="false" customFormat="false" customHeight="false" hidden="false" ht="12.1" outlineLevel="0" r="1100">
      <c r="A1100" s="3" t="s">
        <f>=HYPERLINK("https://mp39851918.megaplan.ua/deals/87871/card/","14561")</f>
      </c>
      <c r="B1100" s="3" t="inlineStr">
        <is>
          <t>112-3710307-0146662</t>
        </is>
      </c>
      <c r="C1100" s="3" t="inlineStr">
        <is>
          <t>PartsUnlimited</t>
        </is>
      </c>
    </row>
    <row collapsed="false" customFormat="false" customHeight="false" hidden="false" ht="12.1" outlineLevel="0" r="1101">
      <c r="A1101" s="3" t="s">
        <f>=HYPERLINK("https://mp39851918.megaplan.ua/deals/87872/card/","14562")</f>
      </c>
      <c r="B1101" s="3" t="inlineStr">
        <is>
          <t>112-5906849-0210624</t>
        </is>
      </c>
      <c r="C1101" s="3" t="inlineStr">
        <is>
          <t>PartsUnlimited</t>
        </is>
      </c>
    </row>
    <row collapsed="false" customFormat="false" customHeight="false" hidden="false" ht="12.1" outlineLevel="0" r="1102">
      <c r="A1102" s="3" t="s">
        <f>=HYPERLINK("https://mp39851918.megaplan.ua/deals/87875/card/","14563")</f>
      </c>
      <c r="B1102" s="3" t="inlineStr">
        <is>
          <t>114-3452322-7778637</t>
        </is>
      </c>
      <c r="C1102" s="3" t="inlineStr">
        <is>
          <t>PartsUnlimited</t>
        </is>
      </c>
    </row>
    <row collapsed="false" customFormat="false" customHeight="false" hidden="false" ht="12.1" outlineLevel="0" r="1103">
      <c r="A1103" s="3" t="s">
        <f>=HYPERLINK("https://mp39851918.megaplan.ua/deals/87876/card/","14564")</f>
      </c>
      <c r="B1103" s="3" t="inlineStr">
        <is>
          <t>112-1588291-9551469</t>
        </is>
      </c>
      <c r="C1103" s="3" t="inlineStr">
        <is>
          <t>PartsUnlimited</t>
        </is>
      </c>
    </row>
    <row collapsed="false" customFormat="false" customHeight="false" hidden="false" ht="12.1" outlineLevel="0" r="1104">
      <c r="A1104" s="3" t="s">
        <f>=HYPERLINK("https://mp39851918.megaplan.ua/deals/87877/card/","14565")</f>
      </c>
      <c r="B1104" s="3" t="inlineStr">
        <is>
          <t>114-5206549-1849843</t>
        </is>
      </c>
      <c r="C1104" s="3" t="inlineStr">
        <is>
          <t>RockyMountain</t>
        </is>
      </c>
    </row>
    <row collapsed="false" customFormat="false" customHeight="false" hidden="false" ht="12.1" outlineLevel="0" r="1105">
      <c r="A1105" s="3" t="s">
        <f>=HYPERLINK("https://mp39851918.megaplan.ua/deals/87882/card/","14566")</f>
      </c>
      <c r="B1105" s="3" t="inlineStr">
        <is>
          <t>111-3396001-2921046</t>
        </is>
      </c>
      <c r="C1105" s="3" t="inlineStr">
        <is>
          <t>Autodist</t>
        </is>
      </c>
    </row>
    <row collapsed="false" customFormat="false" customHeight="false" hidden="false" ht="12.1" outlineLevel="0" r="1106">
      <c r="A1106" s="3" t="s">
        <f>=HYPERLINK("https://mp39851918.megaplan.ua/deals/87883/card/","14567")</f>
      </c>
      <c r="B1106" s="3" t="inlineStr">
        <is>
          <t>113-7462798-2417060</t>
        </is>
      </c>
      <c r="C1106" s="3" t="inlineStr">
        <is>
          <t>Autodist</t>
        </is>
      </c>
    </row>
    <row collapsed="false" customFormat="false" customHeight="false" hidden="false" ht="12.1" outlineLevel="0" r="1107">
      <c r="A1107" s="3" t="s">
        <f>=HYPERLINK("https://mp39851918.megaplan.ua/deals/87890/card/","14568")</f>
      </c>
      <c r="B1107" s="3" t="inlineStr">
        <is>
          <t>113-3802675-3543426</t>
        </is>
      </c>
      <c r="C1107" s="3" t="inlineStr">
        <is>
          <t>PartsUnlimited</t>
        </is>
      </c>
    </row>
    <row collapsed="false" customFormat="false" customHeight="false" hidden="false" ht="12.1" outlineLevel="0" r="1108">
      <c r="A1108" s="3" t="s">
        <f>=HYPERLINK("https://mp39851918.megaplan.ua/deals/87908/card/","14569")</f>
      </c>
      <c r="B1108" s="3" t="inlineStr">
        <is>
          <t>111-3558372-7124239</t>
        </is>
      </c>
      <c r="C1108" s="3" t="inlineStr">
        <is>
          <t>RockyMountain</t>
        </is>
      </c>
    </row>
    <row collapsed="false" customFormat="false" customHeight="false" hidden="false" ht="12.1" outlineLevel="0" r="1109">
      <c r="A1109" s="3" t="s">
        <f>=HYPERLINK("https://mp39851918.megaplan.ua/deals/87913/card/","14570")</f>
      </c>
      <c r="B1109" s="3" t="inlineStr">
        <is>
          <t>111-4790299-8055424</t>
        </is>
      </c>
      <c r="C1109" s="3" t="inlineStr">
        <is>
          <t>RockyMountain</t>
        </is>
      </c>
    </row>
    <row collapsed="false" customFormat="false" customHeight="false" hidden="false" ht="12.1" outlineLevel="0" r="1110">
      <c r="A1110" s="3" t="s">
        <f>=HYPERLINK("https://mp39851918.megaplan.ua/deals/87917/card/","14571")</f>
      </c>
      <c r="B1110" s="3" t="inlineStr">
        <is>
          <t>112-6699727-9047416</t>
        </is>
      </c>
      <c r="C1110" s="3" t="inlineStr">
        <is>
          <t>Autodist</t>
        </is>
      </c>
    </row>
    <row collapsed="false" customFormat="false" customHeight="false" hidden="false" ht="12.1" outlineLevel="0" r="1111">
      <c r="A1111" s="3" t="s">
        <f>=HYPERLINK("https://mp39851918.megaplan.ua/deals/87918/card/","14572")</f>
      </c>
      <c r="B1111" s="3" t="inlineStr">
        <is>
          <t>114-4596672-0776261</t>
        </is>
      </c>
      <c r="C1111" s="3" t="inlineStr">
        <is>
          <t>Autodist</t>
        </is>
      </c>
    </row>
    <row collapsed="false" customFormat="false" customHeight="false" hidden="false" ht="12.1" outlineLevel="0" r="1112">
      <c r="A1112" s="3" t="s">
        <f>=HYPERLINK("https://mp39851918.megaplan.ua/deals/87938/card/","14576")</f>
      </c>
      <c r="B1112" s="3" t="inlineStr">
        <is>
          <t>114-2262994-5931428</t>
        </is>
      </c>
      <c r="C1112" s="3" t="inlineStr">
        <is>
          <t>Autodist</t>
        </is>
      </c>
    </row>
    <row collapsed="false" customFormat="false" customHeight="false" hidden="false" ht="12.1" outlineLevel="0" r="1113">
      <c r="A1113" s="3" t="s">
        <f>=HYPERLINK("https://mp39851918.megaplan.ua/deals/87958/card/","14578")</f>
      </c>
      <c r="B1113" s="3" t="inlineStr">
        <is>
          <t>112-8292532-0777039</t>
        </is>
      </c>
      <c r="C1113" s="3" t="inlineStr">
        <is>
          <t>Autodist</t>
        </is>
      </c>
    </row>
    <row collapsed="false" customFormat="false" customHeight="false" hidden="false" ht="12.1" outlineLevel="0" r="1114">
      <c r="A1114" s="3" t="s">
        <f>=HYPERLINK("https://mp39851918.megaplan.ua/deals/87959/card/","14579")</f>
      </c>
      <c r="B1114" s="3" t="inlineStr">
        <is>
          <t>111-5370825-8473061</t>
        </is>
      </c>
      <c r="C1114" s="3" t="inlineStr">
        <is>
          <t>RockyMountain</t>
        </is>
      </c>
    </row>
    <row collapsed="false" customFormat="false" customHeight="false" hidden="false" ht="12.1" outlineLevel="0" r="1115">
      <c r="A1115" s="3" t="s">
        <f>=HYPERLINK("https://mp39851918.megaplan.ua/deals/87964/card/","14580")</f>
      </c>
      <c r="B1115" s="3" t="inlineStr">
        <is>
          <t>111-0124441-3581807</t>
        </is>
      </c>
      <c r="C1115" s="3" t="inlineStr">
        <is>
          <t>Autodist</t>
        </is>
      </c>
    </row>
    <row collapsed="false" customFormat="false" customHeight="false" hidden="false" ht="12.1" outlineLevel="0" r="1116">
      <c r="A1116" s="3" t="s">
        <f>=HYPERLINK("https://mp39851918.megaplan.ua/deals/87966/card/","14581")</f>
      </c>
      <c r="B1116" s="3" t="inlineStr">
        <is>
          <t>114-6064208-9972268</t>
        </is>
      </c>
      <c r="C1116" s="3" t="inlineStr">
        <is>
          <t>RockyMountain</t>
        </is>
      </c>
    </row>
    <row collapsed="false" customFormat="false" customHeight="false" hidden="false" ht="12.1" outlineLevel="0" r="1117">
      <c r="A1117" s="3" t="s">
        <f>=HYPERLINK("https://mp39851918.megaplan.ua/deals/87969/card/","14582")</f>
      </c>
      <c r="B1117" s="3" t="inlineStr">
        <is>
          <t>111-4603290-3381835</t>
        </is>
      </c>
      <c r="C1117" s="3" t="inlineStr">
        <is>
          <t>Autodist</t>
        </is>
      </c>
    </row>
    <row collapsed="false" customFormat="false" customHeight="false" hidden="false" ht="12.1" outlineLevel="0" r="1118">
      <c r="A1118" s="3" t="s">
        <f>=HYPERLINK("https://mp39851918.megaplan.ua/deals/87973/card/","14583")</f>
      </c>
      <c r="B1118" s="3" t="inlineStr">
        <is>
          <t>114-4248417-5527401</t>
        </is>
      </c>
      <c r="C1118" s="3" t="inlineStr">
        <is>
          <t>PartsUnlimited</t>
        </is>
      </c>
    </row>
    <row collapsed="false" customFormat="false" customHeight="false" hidden="false" ht="12.1" outlineLevel="0" r="1119">
      <c r="A1119" s="3" t="s">
        <f>=HYPERLINK("https://mp39851918.megaplan.ua/deals/87977/card/","14585")</f>
      </c>
      <c r="B1119" s="3" t="inlineStr">
        <is>
          <t>112-0065869-9189819</t>
        </is>
      </c>
      <c r="C1119" s="3" t="inlineStr">
        <is>
          <t>PartsUnlimited</t>
        </is>
      </c>
    </row>
    <row collapsed="false" customFormat="false" customHeight="false" hidden="false" ht="12.1" outlineLevel="0" r="1120">
      <c r="A1120" s="3" t="s">
        <f>=HYPERLINK("https://mp39851918.megaplan.ua/deals/87983/card/","14586")</f>
      </c>
      <c r="B1120" s="3" t="inlineStr">
        <is>
          <t>112-7292950-8305019</t>
        </is>
      </c>
      <c r="C1120" s="3" t="inlineStr">
        <is>
          <t>PartsUnlimited</t>
        </is>
      </c>
    </row>
    <row collapsed="false" customFormat="false" customHeight="false" hidden="false" ht="12.1" outlineLevel="0" r="1121">
      <c r="A1121" s="3" t="s">
        <f>=HYPERLINK("https://mp39851918.megaplan.ua/deals/87991/card/","14587")</f>
      </c>
      <c r="B1121" s="3" t="inlineStr">
        <is>
          <t>112-9758120-5839464</t>
        </is>
      </c>
      <c r="C1121" s="3" t="inlineStr">
        <is>
          <t>Autodist</t>
        </is>
      </c>
    </row>
    <row collapsed="false" customFormat="false" customHeight="false" hidden="false" ht="12.1" outlineLevel="0" r="1122">
      <c r="A1122" s="3" t="s">
        <f>=HYPERLINK("https://mp39851918.megaplan.ua/deals/87995/card/","14588")</f>
      </c>
      <c r="B1122" s="3" t="inlineStr">
        <is>
          <t>113-6372948-6937866</t>
        </is>
      </c>
      <c r="C1122" s="3" t="inlineStr">
        <is>
          <t>Autodist</t>
        </is>
      </c>
    </row>
    <row collapsed="false" customFormat="false" customHeight="false" hidden="false" ht="12.1" outlineLevel="0" r="1123">
      <c r="A1123" s="3" t="s">
        <f>=HYPERLINK("https://mp39851918.megaplan.ua/deals/87996/card/","14589")</f>
      </c>
      <c r="B1123" s="3" t="inlineStr">
        <is>
          <t>114-3032979-0284206</t>
        </is>
      </c>
      <c r="C1123" s="3" t="inlineStr">
        <is>
          <t>RockyMountain</t>
        </is>
      </c>
    </row>
    <row collapsed="false" customFormat="false" customHeight="false" hidden="false" ht="12.1" outlineLevel="0" r="1124">
      <c r="A1124" s="3" t="s">
        <f>=HYPERLINK("https://mp39851918.megaplan.ua/deals/88015/card/","14591")</f>
      </c>
      <c r="B1124" s="3" t="inlineStr">
        <is>
          <t>111-1127044-5376204</t>
        </is>
      </c>
      <c r="C1124" s="3" t="inlineStr">
        <is>
          <t>RockyMountain</t>
        </is>
      </c>
    </row>
    <row collapsed="false" customFormat="false" customHeight="false" hidden="false" ht="12.1" outlineLevel="0" r="1125">
      <c r="A1125" s="3" t="s">
        <f>=HYPERLINK("https://mp39851918.megaplan.ua/deals/88016/card/","14592")</f>
      </c>
      <c r="B1125" s="3" t="inlineStr">
        <is>
          <t>113-1461814-2119461</t>
        </is>
      </c>
      <c r="C1125" s="3" t="inlineStr">
        <is>
          <t>PartsUnlimited</t>
        </is>
      </c>
    </row>
    <row collapsed="false" customFormat="false" customHeight="false" hidden="false" ht="12.1" outlineLevel="0" r="1126">
      <c r="A1126" s="3" t="s">
        <f>=HYPERLINK("https://mp39851918.megaplan.ua/deals/88017/card/","14593")</f>
      </c>
      <c r="B1126" s="3" t="inlineStr">
        <is>
          <t>112-9443473-0341855</t>
        </is>
      </c>
      <c r="C1126" s="3" t="inlineStr">
        <is>
          <t>RockyMountain</t>
        </is>
      </c>
    </row>
    <row collapsed="false" customFormat="false" customHeight="false" hidden="false" ht="12.1" outlineLevel="0" r="1127">
      <c r="A1127" s="3" t="s">
        <f>=HYPERLINK("https://mp39851918.megaplan.ua/deals/88019/card/","14594")</f>
      </c>
      <c r="B1127" s="3" t="inlineStr">
        <is>
          <t>114-7483903-0568239</t>
        </is>
      </c>
      <c r="C1127" s="3" t="inlineStr">
        <is>
          <t>Autodist</t>
        </is>
      </c>
    </row>
    <row collapsed="false" customFormat="false" customHeight="false" hidden="false" ht="12.1" outlineLevel="0" r="1128">
      <c r="A1128" s="3" t="s">
        <f>=HYPERLINK("https://mp39851918.megaplan.ua/deals/88024/card/","14595")</f>
      </c>
      <c r="B1128" s="3" t="inlineStr">
        <is>
          <t>112-5740507-7472234</t>
        </is>
      </c>
      <c r="C1128" s="3" t="inlineStr">
        <is>
          <t>Autodist</t>
        </is>
      </c>
    </row>
    <row collapsed="false" customFormat="false" customHeight="false" hidden="false" ht="12.1" outlineLevel="0" r="1129">
      <c r="A1129" s="3" t="s">
        <f>=HYPERLINK("https://mp39851918.megaplan.ua/deals/88027/card/","14596")</f>
      </c>
      <c r="B1129" s="3" t="inlineStr">
        <is>
          <t>111-7640281-3589814</t>
        </is>
      </c>
      <c r="C1129" s="3" t="inlineStr">
        <is>
          <t>Autodist</t>
        </is>
      </c>
    </row>
    <row collapsed="false" customFormat="false" customHeight="false" hidden="false" ht="12.1" outlineLevel="0" r="1130">
      <c r="A1130" s="3" t="s">
        <f>=HYPERLINK("https://mp39851918.megaplan.ua/deals/88033/card/","14598")</f>
      </c>
      <c r="B1130" s="3" t="inlineStr">
        <is>
          <t>113-6193018-3206615</t>
        </is>
      </c>
      <c r="C1130" s="3" t="inlineStr">
        <is>
          <t>PartsUnlimited</t>
        </is>
      </c>
    </row>
    <row collapsed="false" customFormat="false" customHeight="false" hidden="false" ht="12.1" outlineLevel="0" r="1131">
      <c r="A1131" s="3" t="s">
        <f>=HYPERLINK("https://mp39851918.megaplan.ua/deals/88034/card/","14599")</f>
      </c>
      <c r="B1131" s="3" t="inlineStr">
        <is>
          <t>114-4170318-7673001</t>
        </is>
      </c>
      <c r="C1131" s="3" t="inlineStr">
        <is>
          <t>Autodist</t>
        </is>
      </c>
    </row>
    <row collapsed="false" customFormat="false" customHeight="false" hidden="false" ht="12.1" outlineLevel="0" r="1132">
      <c r="A1132" s="3" t="s">
        <f>=HYPERLINK("https://mp39851918.megaplan.ua/deals/88050/card/","14602")</f>
      </c>
      <c r="B1132" s="3" t="inlineStr">
        <is>
          <t>111-7589696-8660225</t>
        </is>
      </c>
      <c r="C1132" s="3" t="inlineStr">
        <is>
          <t>RockyMountain</t>
        </is>
      </c>
    </row>
    <row collapsed="false" customFormat="false" customHeight="false" hidden="false" ht="12.1" outlineLevel="0" r="1133">
      <c r="A1133" s="3" t="s">
        <f>=HYPERLINK("https://mp39851918.megaplan.ua/deals/88066/card/","14603")</f>
      </c>
      <c r="B1133" s="3" t="inlineStr">
        <is>
          <t>112-6567267-3977863</t>
        </is>
      </c>
      <c r="C1133" s="3" t="inlineStr">
        <is>
          <t>Autodist</t>
        </is>
      </c>
    </row>
    <row collapsed="false" customFormat="false" customHeight="false" hidden="false" ht="12.1" outlineLevel="0" r="1134">
      <c r="A1134" s="3" t="s">
        <f>=HYPERLINK("https://mp39851918.megaplan.ua/deals/88083/card/","14604")</f>
      </c>
      <c r="B1134" s="3" t="inlineStr">
        <is>
          <t>113-3743601-1433030</t>
        </is>
      </c>
      <c r="C1134" s="3" t="inlineStr">
        <is>
          <t>PartsUnlimited</t>
        </is>
      </c>
    </row>
    <row collapsed="false" customFormat="false" customHeight="false" hidden="false" ht="12.1" outlineLevel="0" r="1135">
      <c r="A1135" s="3" t="s">
        <f>=HYPERLINK("https://mp39851918.megaplan.ua/deals/88085/card/","14605")</f>
      </c>
      <c r="B1135" s="3" t="inlineStr">
        <is>
          <t>112-8985923-6973001</t>
        </is>
      </c>
      <c r="C1135" s="3" t="inlineStr">
        <is>
          <t>PartsUnlimited</t>
        </is>
      </c>
    </row>
    <row collapsed="false" customFormat="false" customHeight="false" hidden="false" ht="12.1" outlineLevel="0" r="1136">
      <c r="A1136" s="3" t="s">
        <f>=HYPERLINK("https://mp39851918.megaplan.ua/deals/88092/card/","14606")</f>
      </c>
      <c r="B1136" s="3" t="inlineStr">
        <is>
          <t>111-7861433-5020240</t>
        </is>
      </c>
      <c r="C1136" s="3" t="inlineStr">
        <is>
          <t>RockyMountain</t>
        </is>
      </c>
    </row>
    <row collapsed="false" customFormat="false" customHeight="false" hidden="false" ht="12.1" outlineLevel="0" r="1137">
      <c r="A1137" s="3" t="s">
        <f>=HYPERLINK("https://mp39851918.megaplan.ua/deals/88095/card/","14607")</f>
      </c>
      <c r="B1137" s="3" t="inlineStr">
        <is>
          <t>114-1906963-8612205</t>
        </is>
      </c>
      <c r="C1137" s="3" t="inlineStr">
        <is>
          <t>Autodist</t>
        </is>
      </c>
    </row>
    <row collapsed="false" customFormat="false" customHeight="false" hidden="false" ht="12.1" outlineLevel="0" r="1138">
      <c r="A1138" s="3" t="s">
        <f>=HYPERLINK("https://mp39851918.megaplan.ua/deals/88101/card/","14608")</f>
      </c>
      <c r="B1138" s="3" t="inlineStr">
        <is>
          <t>114-9766750-1489066</t>
        </is>
      </c>
      <c r="C1138" s="3" t="inlineStr">
        <is>
          <t>PartsUnlimited</t>
        </is>
      </c>
    </row>
    <row collapsed="false" customFormat="false" customHeight="false" hidden="false" ht="12.1" outlineLevel="0" r="1139">
      <c r="A1139" s="3" t="s">
        <f>=HYPERLINK("https://mp39851918.megaplan.ua/deals/88108/card/","14610")</f>
      </c>
      <c r="B1139" s="3" t="inlineStr">
        <is>
          <t>112-6084521-1091433</t>
        </is>
      </c>
      <c r="C1139" s="3" t="inlineStr">
        <is>
          <t>Autodist</t>
        </is>
      </c>
    </row>
    <row collapsed="false" customFormat="false" customHeight="false" hidden="false" ht="12.1" outlineLevel="0" r="1140">
      <c r="A1140" s="3" t="s">
        <f>=HYPERLINK("https://mp39851918.megaplan.ua/deals/88118/card/","14611")</f>
      </c>
      <c r="B1140" s="3" t="inlineStr">
        <is>
          <t>114-1415044-1862636</t>
        </is>
      </c>
      <c r="C1140" s="3" t="inlineStr">
        <is>
          <t>Autodist</t>
        </is>
      </c>
    </row>
    <row collapsed="false" customFormat="false" customHeight="false" hidden="false" ht="12.1" outlineLevel="0" r="1141">
      <c r="A1141" s="3" t="s">
        <f>=HYPERLINK("https://mp39851918.megaplan.ua/deals/88122/card/","14612")</f>
      </c>
      <c r="B1141" s="3" t="inlineStr">
        <is>
          <t>111-9190675-0225009</t>
        </is>
      </c>
      <c r="C1141" s="3" t="inlineStr">
        <is>
          <t>PartsUnlimited</t>
        </is>
      </c>
    </row>
    <row collapsed="false" customFormat="false" customHeight="false" hidden="false" ht="12.1" outlineLevel="0" r="1142">
      <c r="A1142" s="3" t="s">
        <f>=HYPERLINK("https://mp39851918.megaplan.ua/deals/88129/card/","14613")</f>
      </c>
      <c r="B1142" s="3" t="inlineStr">
        <is>
          <t>111-9858763-4625035</t>
        </is>
      </c>
      <c r="C1142" s="3" t="inlineStr">
        <is>
          <t>RockyMountain</t>
        </is>
      </c>
    </row>
    <row collapsed="false" customFormat="false" customHeight="false" hidden="false" ht="12.1" outlineLevel="0" r="1143">
      <c r="A1143" s="3" t="s">
        <f>=HYPERLINK("https://mp39851918.megaplan.ua/deals/88130/card/","14614")</f>
      </c>
      <c r="B1143" s="3" t="inlineStr">
        <is>
          <t>112-1434587-8958607</t>
        </is>
      </c>
      <c r="C1143" s="3" t="inlineStr">
        <is>
          <t>RockyMountain</t>
        </is>
      </c>
    </row>
    <row collapsed="false" customFormat="false" customHeight="false" hidden="false" ht="12.1" outlineLevel="0" r="1144">
      <c r="A1144" s="3" t="s">
        <f>=HYPERLINK("https://mp39851918.megaplan.ua/deals/88139/card/","14615")</f>
      </c>
      <c r="B1144" s="3" t="inlineStr">
        <is>
          <t>114-5124774-6606622</t>
        </is>
      </c>
      <c r="C1144" s="3" t="inlineStr">
        <is>
          <t>RockyMountain</t>
        </is>
      </c>
    </row>
    <row collapsed="false" customFormat="false" customHeight="false" hidden="false" ht="12.1" outlineLevel="0" r="1145">
      <c r="A1145" s="3" t="s">
        <f>=HYPERLINK("https://mp39851918.megaplan.ua/deals/88150/card/","14616")</f>
      </c>
      <c r="B1145" s="3" t="inlineStr">
        <is>
          <t>111-1686766-8790620</t>
        </is>
      </c>
      <c r="C1145" s="3" t="inlineStr">
        <is>
          <t>PartsUnlimited</t>
        </is>
      </c>
    </row>
    <row collapsed="false" customFormat="false" customHeight="false" hidden="false" ht="12.1" outlineLevel="0" r="1146">
      <c r="A1146" s="3" t="s">
        <f>=HYPERLINK("https://mp39851918.megaplan.ua/deals/88152/card/","14617")</f>
      </c>
      <c r="B1146" s="3" t="inlineStr">
        <is>
          <t>112-2429625-1736260</t>
        </is>
      </c>
      <c r="C1146" s="3" t="inlineStr">
        <is>
          <t>RockyMountain</t>
        </is>
      </c>
    </row>
    <row collapsed="false" customFormat="false" customHeight="false" hidden="false" ht="12.1" outlineLevel="0" r="1147">
      <c r="A1147" s="3" t="s">
        <f>=HYPERLINK("https://mp39851918.megaplan.ua/deals/88168/card/","14618")</f>
      </c>
      <c r="B1147" s="3" t="inlineStr">
        <is>
          <t>112-6456971-4938668</t>
        </is>
      </c>
      <c r="C1147" s="3" t="inlineStr">
        <is>
          <t>Autodist</t>
        </is>
      </c>
    </row>
    <row collapsed="false" customFormat="false" customHeight="false" hidden="false" ht="12.1" outlineLevel="0" r="1148">
      <c r="A1148" s="3" t="s">
        <f>=HYPERLINK("https://mp39851918.megaplan.ua/deals/88170/card/","14619")</f>
      </c>
      <c r="B1148" s="3" t="inlineStr">
        <is>
          <t>111-2538503-9600226</t>
        </is>
      </c>
      <c r="C1148" s="3" t="inlineStr">
        <is>
          <t>Autodist</t>
        </is>
      </c>
    </row>
    <row collapsed="false" customFormat="false" customHeight="false" hidden="false" ht="12.1" outlineLevel="0" r="1149">
      <c r="A1149" s="3" t="s">
        <f>=HYPERLINK("https://mp39851918.megaplan.ua/deals/88184/card/","14622")</f>
      </c>
      <c r="B1149" s="3" t="inlineStr">
        <is>
          <t>112-2478717-4663433</t>
        </is>
      </c>
      <c r="C1149" s="3" t="inlineStr">
        <is>
          <t>PartsUnlimited</t>
        </is>
      </c>
    </row>
    <row collapsed="false" customFormat="false" customHeight="false" hidden="false" ht="12.1" outlineLevel="0" r="1150">
      <c r="A1150" s="3" t="s">
        <f>=HYPERLINK("https://mp39851918.megaplan.ua/deals/88191/card/","14623")</f>
      </c>
      <c r="B1150" s="3" t="inlineStr">
        <is>
          <t>112-9671798-1546652</t>
        </is>
      </c>
      <c r="C1150" s="3" t="inlineStr">
        <is>
          <t>Autodist</t>
        </is>
      </c>
    </row>
    <row collapsed="false" customFormat="false" customHeight="false" hidden="false" ht="12.1" outlineLevel="0" r="1151">
      <c r="A1151" s="3" t="s">
        <f>=HYPERLINK("https://mp39851918.megaplan.ua/deals/88192/card/","14624")</f>
      </c>
      <c r="B1151" s="3" t="inlineStr">
        <is>
          <t>113-8238599-2762662</t>
        </is>
      </c>
      <c r="C1151" s="3" t="inlineStr">
        <is>
          <t>RockyMountain</t>
        </is>
      </c>
    </row>
    <row collapsed="false" customFormat="false" customHeight="false" hidden="false" ht="12.1" outlineLevel="0" r="1152">
      <c r="A1152" s="3" t="s">
        <f>=HYPERLINK("https://mp39851918.megaplan.ua/deals/88193/card/","14625")</f>
      </c>
      <c r="B1152" s="3" t="inlineStr">
        <is>
          <t>112-5096394-1497818</t>
        </is>
      </c>
      <c r="C1152" s="3" t="inlineStr">
        <is>
          <t>RockyMountain</t>
        </is>
      </c>
    </row>
    <row collapsed="false" customFormat="false" customHeight="false" hidden="false" ht="12.1" outlineLevel="0" r="1153">
      <c r="A1153" s="3" t="s">
        <f>=HYPERLINK("https://mp39851918.megaplan.ua/deals/88195/card/","14626")</f>
      </c>
      <c r="B1153" s="3" t="inlineStr">
        <is>
          <t>114-4292147-8164221</t>
        </is>
      </c>
      <c r="C1153" s="3" t="inlineStr">
        <is>
          <t>RockyMountain</t>
        </is>
      </c>
    </row>
    <row collapsed="false" customFormat="false" customHeight="false" hidden="false" ht="12.1" outlineLevel="0" r="1154">
      <c r="A1154" s="3" t="s">
        <f>=HYPERLINK("https://mp39851918.megaplan.ua/deals/88196/card/","14627")</f>
      </c>
      <c r="B1154" s="3" t="inlineStr">
        <is>
          <t>112-5527259-7580266</t>
        </is>
      </c>
      <c r="C1154" s="3" t="inlineStr">
        <is>
          <t>RockyMountain</t>
        </is>
      </c>
    </row>
    <row collapsed="false" customFormat="false" customHeight="false" hidden="false" ht="12.1" outlineLevel="0" r="1155">
      <c r="A1155" s="3" t="s">
        <f>=HYPERLINK("https://mp39851918.megaplan.ua/deals/88199/card/","14628")</f>
      </c>
      <c r="B1155" s="3" t="inlineStr">
        <is>
          <t>114-0958108-6677840</t>
        </is>
      </c>
      <c r="C1155" s="3" t="inlineStr">
        <is>
          <t>RockyMountain</t>
        </is>
      </c>
    </row>
    <row collapsed="false" customFormat="false" customHeight="false" hidden="false" ht="12.1" outlineLevel="0" r="1156">
      <c r="A1156" s="3" t="s">
        <f>=HYPERLINK("https://mp39851918.megaplan.ua/deals/88201/card/","14629")</f>
      </c>
      <c r="B1156" s="3" t="inlineStr">
        <is>
          <t>113-1459891-5118623</t>
        </is>
      </c>
      <c r="C1156" s="3" t="inlineStr">
        <is>
          <t>Autodist</t>
        </is>
      </c>
    </row>
    <row collapsed="false" customFormat="false" customHeight="false" hidden="false" ht="12.1" outlineLevel="0" r="1157">
      <c r="A1157" s="3" t="s">
        <f>=HYPERLINK("https://mp39851918.megaplan.ua/deals/88202/card/","14630")</f>
      </c>
      <c r="B1157" s="3" t="inlineStr">
        <is>
          <t>111-6327945-8465854</t>
        </is>
      </c>
      <c r="C1157" s="3" t="inlineStr">
        <is>
          <t>RockyMountain</t>
        </is>
      </c>
    </row>
    <row collapsed="false" customFormat="false" customHeight="false" hidden="false" ht="12.1" outlineLevel="0" r="1158">
      <c r="A1158" s="3" t="s">
        <f>=HYPERLINK("https://mp39851918.megaplan.ua/deals/88209/card/","14631")</f>
      </c>
      <c r="B1158" s="3" t="inlineStr">
        <is>
          <t>112-1318123-4770629</t>
        </is>
      </c>
      <c r="C1158" s="3" t="inlineStr">
        <is>
          <t>PartsUnlimited</t>
        </is>
      </c>
    </row>
    <row collapsed="false" customFormat="false" customHeight="false" hidden="false" ht="12.1" outlineLevel="0" r="1159">
      <c r="A1159" s="3" t="s">
        <f>=HYPERLINK("https://mp39851918.megaplan.ua/deals/88221/card/","14632")</f>
      </c>
      <c r="B1159" s="3" t="inlineStr">
        <is>
          <t>114-3478302-1528260</t>
        </is>
      </c>
      <c r="C1159" s="3" t="inlineStr">
        <is>
          <t>PartsUnlimited</t>
        </is>
      </c>
    </row>
    <row collapsed="false" customFormat="false" customHeight="false" hidden="false" ht="12.1" outlineLevel="0" r="1160">
      <c r="A1160" s="3" t="s">
        <f>=HYPERLINK("https://mp39851918.megaplan.ua/deals/88222/card/","14633")</f>
      </c>
      <c r="B1160" s="3" t="inlineStr">
        <is>
          <t>112-6525849-6080262</t>
        </is>
      </c>
      <c r="C1160" s="3" t="inlineStr">
        <is>
          <t>Autodist</t>
        </is>
      </c>
    </row>
    <row collapsed="false" customFormat="false" customHeight="false" hidden="false" ht="12.1" outlineLevel="0" r="1161">
      <c r="A1161" s="3" t="s">
        <f>=HYPERLINK("https://mp39851918.megaplan.ua/deals/88224/card/","14634")</f>
      </c>
      <c r="B1161" s="3" t="inlineStr">
        <is>
          <t>114-5625888-0154633</t>
        </is>
      </c>
      <c r="C1161" s="3" t="inlineStr">
        <is>
          <t>PartsUnlimited</t>
        </is>
      </c>
    </row>
    <row collapsed="false" customFormat="false" customHeight="false" hidden="false" ht="12.1" outlineLevel="0" r="1162">
      <c r="A1162" s="3" t="s">
        <f>=HYPERLINK("https://mp39851918.megaplan.ua/deals/88231/card/","14635")</f>
      </c>
      <c r="B1162" s="3" t="inlineStr">
        <is>
          <t>113-4270652-5621012</t>
        </is>
      </c>
      <c r="C1162" s="3" t="inlineStr">
        <is>
          <t>PartsUnlimited</t>
        </is>
      </c>
    </row>
    <row collapsed="false" customFormat="false" customHeight="false" hidden="false" ht="12.1" outlineLevel="0" r="1163">
      <c r="A1163" s="3" t="s">
        <f>=HYPERLINK("https://mp39851918.megaplan.ua/deals/88249/card/","14638")</f>
      </c>
      <c r="B1163" s="3" t="inlineStr">
        <is>
          <t>112-7837127-7785803</t>
        </is>
      </c>
      <c r="C1163" s="3" t="inlineStr">
        <is>
          <t>Autodist</t>
        </is>
      </c>
    </row>
    <row collapsed="false" customFormat="false" customHeight="false" hidden="false" ht="12.1" outlineLevel="0" r="1164">
      <c r="A1164" s="3" t="s">
        <f>=HYPERLINK("https://mp39851918.megaplan.ua/deals/88251/card/","14639")</f>
      </c>
      <c r="B1164" s="3" t="inlineStr">
        <is>
          <t>112-1341717-2265043</t>
        </is>
      </c>
      <c r="C1164" s="3" t="inlineStr">
        <is>
          <t>PartsUnlimited</t>
        </is>
      </c>
    </row>
    <row collapsed="false" customFormat="false" customHeight="false" hidden="false" ht="12.1" outlineLevel="0" r="1165">
      <c r="A1165" s="3" t="s">
        <f>=HYPERLINK("https://mp39851918.megaplan.ua/deals/88252/card/","14640")</f>
      </c>
      <c r="B1165" s="3" t="inlineStr">
        <is>
          <t>111-1918706-8965064</t>
        </is>
      </c>
      <c r="C1165" s="3" t="inlineStr">
        <is>
          <t>RockyMountain</t>
        </is>
      </c>
    </row>
    <row collapsed="false" customFormat="false" customHeight="false" hidden="false" ht="12.1" outlineLevel="0" r="1166">
      <c r="A1166" s="3" t="s">
        <f>=HYPERLINK("https://mp39851918.megaplan.ua/deals/88256/card/","14641")</f>
      </c>
      <c r="B1166" s="3" t="inlineStr">
        <is>
          <t>114-7862020-1569002</t>
        </is>
      </c>
      <c r="C1166" s="3" t="inlineStr">
        <is>
          <t>Autodist</t>
        </is>
      </c>
    </row>
    <row collapsed="false" customFormat="false" customHeight="false" hidden="false" ht="12.1" outlineLevel="0" r="1167">
      <c r="A1167" s="3" t="s">
        <f>=HYPERLINK("https://mp39851918.megaplan.ua/deals/88272/card/","14643")</f>
      </c>
      <c r="B1167" s="3" t="inlineStr">
        <is>
          <t>114-4762716-9052205</t>
        </is>
      </c>
      <c r="C1167" s="3" t="inlineStr">
        <is>
          <t>Autodist</t>
        </is>
      </c>
    </row>
    <row collapsed="false" customFormat="false" customHeight="false" hidden="false" ht="12.1" outlineLevel="0" r="1168">
      <c r="A1168" s="3" t="s">
        <f>=HYPERLINK("https://mp39851918.megaplan.ua/deals/88282/card/","14644")</f>
      </c>
      <c r="B1168" s="3" t="inlineStr">
        <is>
          <t>113-5879505-2401862</t>
        </is>
      </c>
      <c r="C1168" s="3" t="inlineStr">
        <is>
          <t>Autodist</t>
        </is>
      </c>
    </row>
    <row collapsed="false" customFormat="false" customHeight="false" hidden="false" ht="12.1" outlineLevel="0" r="1169">
      <c r="A1169" s="3" t="s">
        <f>=HYPERLINK("https://mp39851918.megaplan.ua/deals/88283/card/","14645")</f>
      </c>
      <c r="B1169" s="3" t="inlineStr">
        <is>
          <t>114-8063681-4210644</t>
        </is>
      </c>
      <c r="C1169" s="3" t="inlineStr">
        <is>
          <t>TuckerRocky</t>
        </is>
      </c>
    </row>
    <row collapsed="false" customFormat="false" customHeight="false" hidden="false" ht="12.1" outlineLevel="0" r="1170">
      <c r="A1170" s="3" t="s">
        <f>=HYPERLINK("https://mp39851918.megaplan.ua/deals/88290/card/","14646")</f>
      </c>
      <c r="B1170" s="3" t="inlineStr">
        <is>
          <t>111-0618123-8601858</t>
        </is>
      </c>
      <c r="C1170" s="3" t="inlineStr">
        <is>
          <t>PartsUnlimited</t>
        </is>
      </c>
    </row>
    <row collapsed="false" customFormat="false" customHeight="false" hidden="false" ht="12.1" outlineLevel="0" r="1171">
      <c r="A1171" s="3" t="s">
        <f>=HYPERLINK("https://mp39851918.megaplan.ua/deals/88291/card/","14647")</f>
      </c>
      <c r="B1171" s="3" t="inlineStr">
        <is>
          <t>112-6795760-7689865</t>
        </is>
      </c>
      <c r="C1171" s="3" t="inlineStr">
        <is>
          <t>TuckerRocky</t>
        </is>
      </c>
    </row>
    <row collapsed="false" customFormat="false" customHeight="false" hidden="false" ht="12.1" outlineLevel="0" r="1172">
      <c r="A1172" s="3" t="s">
        <f>=HYPERLINK("https://mp39851918.megaplan.ua/deals/88297/card/","14649")</f>
      </c>
      <c r="B1172" s="3" t="inlineStr">
        <is>
          <t>111-8183429-5013047</t>
        </is>
      </c>
      <c r="C1172" s="3" t="inlineStr">
        <is>
          <t>RockyMountain</t>
        </is>
      </c>
    </row>
    <row collapsed="false" customFormat="false" customHeight="false" hidden="false" ht="12.1" outlineLevel="0" r="1173">
      <c r="A1173" s="3" t="s">
        <f>=HYPERLINK("https://mp39851918.megaplan.ua/deals/88301/card/","14650")</f>
      </c>
      <c r="B1173" s="3" t="inlineStr">
        <is>
          <t>114-4410187-8528202</t>
        </is>
      </c>
      <c r="C1173" s="3" t="inlineStr">
        <is>
          <t>PartsUnlimited</t>
        </is>
      </c>
    </row>
    <row collapsed="false" customFormat="false" customHeight="false" hidden="false" ht="12.1" outlineLevel="0" r="1174">
      <c r="A1174" s="3" t="s">
        <f>=HYPERLINK("https://mp39851918.megaplan.ua/deals/88302/card/","14651")</f>
      </c>
      <c r="B1174" s="3" t="inlineStr">
        <is>
          <t>112-9334197-2601045</t>
        </is>
      </c>
      <c r="C1174" s="3" t="inlineStr">
        <is>
          <t>PartsUnlimited</t>
        </is>
      </c>
    </row>
    <row collapsed="false" customFormat="false" customHeight="false" hidden="false" ht="12.1" outlineLevel="0" r="1175">
      <c r="A1175" s="3" t="s">
        <f>=HYPERLINK("https://mp39851918.megaplan.ua/deals/88305/card/","14652")</f>
      </c>
      <c r="B1175" s="3" t="inlineStr">
        <is>
          <t>111-7000112-3622651</t>
        </is>
      </c>
      <c r="C1175" s="3" t="inlineStr">
        <is>
          <t>RockyMountain</t>
        </is>
      </c>
    </row>
    <row collapsed="false" customFormat="false" customHeight="false" hidden="false" ht="12.1" outlineLevel="0" r="1176">
      <c r="A1176" s="3" t="s">
        <f>=HYPERLINK("https://mp39851918.megaplan.ua/deals/88306/card/","14653")</f>
      </c>
      <c r="B1176" s="3" t="inlineStr">
        <is>
          <t>113-9587589-2539440</t>
        </is>
      </c>
      <c r="C1176" s="3" t="inlineStr">
        <is>
          <t>Autodist</t>
        </is>
      </c>
    </row>
    <row collapsed="false" customFormat="false" customHeight="false" hidden="false" ht="12.1" outlineLevel="0" r="1177">
      <c r="A1177" s="3" t="s">
        <f>=HYPERLINK("https://mp39851918.megaplan.ua/deals/88312/card/","14654")</f>
      </c>
      <c r="B1177" s="3" t="inlineStr">
        <is>
          <t>111-3768096-5914605</t>
        </is>
      </c>
      <c r="C1177" s="3" t="inlineStr">
        <is>
          <t>RockyMountain</t>
        </is>
      </c>
    </row>
    <row collapsed="false" customFormat="false" customHeight="false" hidden="false" ht="12.1" outlineLevel="0" r="1178">
      <c r="A1178" s="3" t="s">
        <f>=HYPERLINK("https://mp39851918.megaplan.ua/deals/88313/card/","14655")</f>
      </c>
      <c r="B1178" s="3" t="inlineStr">
        <is>
          <t>112-5078977-4271441</t>
        </is>
      </c>
      <c r="C1178" s="3" t="inlineStr">
        <is>
          <t>RockyMountain</t>
        </is>
      </c>
    </row>
    <row collapsed="false" customFormat="false" customHeight="false" hidden="false" ht="12.1" outlineLevel="0" r="1179">
      <c r="A1179" s="3" t="s">
        <f>=HYPERLINK("https://mp39851918.megaplan.ua/deals/88324/card/","14656")</f>
      </c>
      <c r="B1179" s="3" t="inlineStr">
        <is>
          <t>112-6423761-2407462</t>
        </is>
      </c>
      <c r="C1179" s="3" t="inlineStr">
        <is>
          <t>Autodist</t>
        </is>
      </c>
    </row>
    <row collapsed="false" customFormat="false" customHeight="false" hidden="false" ht="12.1" outlineLevel="0" r="1180">
      <c r="A1180" s="3" t="s">
        <f>=HYPERLINK("https://mp39851918.megaplan.ua/deals/88325/card/","14657")</f>
      </c>
      <c r="B1180" s="3" t="inlineStr">
        <is>
          <t>112-0813356-8663414</t>
        </is>
      </c>
      <c r="C1180" s="3" t="inlineStr">
        <is>
          <t>RockyMountain</t>
        </is>
      </c>
    </row>
    <row collapsed="false" customFormat="false" customHeight="false" hidden="false" ht="12.1" outlineLevel="0" r="1181">
      <c r="A1181" s="3" t="s">
        <f>=HYPERLINK("https://mp39851918.megaplan.ua/deals/88335/card/","14659")</f>
      </c>
      <c r="B1181" s="3" t="inlineStr">
        <is>
          <t>111-8938885-2723435</t>
        </is>
      </c>
      <c r="C1181" s="3" t="inlineStr">
        <is>
          <t>Autodist</t>
        </is>
      </c>
    </row>
    <row collapsed="false" customFormat="false" customHeight="false" hidden="false" ht="12.1" outlineLevel="0" r="1182">
      <c r="A1182" s="3" t="s">
        <f>=HYPERLINK("https://mp39851918.megaplan.ua/deals/88352/card/","14660")</f>
      </c>
      <c r="B1182" s="3" t="inlineStr">
        <is>
          <t>113-3938999-6980220</t>
        </is>
      </c>
      <c r="C1182" s="3" t="inlineStr">
        <is>
          <t>TuckerRocky</t>
        </is>
      </c>
    </row>
    <row collapsed="false" customFormat="false" customHeight="false" hidden="false" ht="12.1" outlineLevel="0" r="1183">
      <c r="A1183" s="3" t="s">
        <f>=HYPERLINK("https://mp39851918.megaplan.ua/deals/88358/card/","14661")</f>
      </c>
      <c r="B1183" s="3" t="inlineStr">
        <is>
          <t>111-4721942-7243430</t>
        </is>
      </c>
      <c r="C1183" s="3" t="inlineStr">
        <is>
          <t>RockyMountain</t>
        </is>
      </c>
    </row>
    <row collapsed="false" customFormat="false" customHeight="false" hidden="false" ht="12.1" outlineLevel="0" r="1184">
      <c r="A1184" s="3" t="s">
        <f>=HYPERLINK("https://mp39851918.megaplan.ua/deals/88364/card/","14662")</f>
      </c>
      <c r="B1184" s="3" t="inlineStr">
        <is>
          <t>113-6015336-1587422</t>
        </is>
      </c>
      <c r="C1184" s="3" t="inlineStr">
        <is>
          <t>RockyMountain</t>
        </is>
      </c>
    </row>
    <row collapsed="false" customFormat="false" customHeight="false" hidden="false" ht="12.1" outlineLevel="0" r="1185">
      <c r="A1185" s="3" t="s">
        <f>=HYPERLINK("https://mp39851918.megaplan.ua/deals/88375/card/","14664")</f>
      </c>
      <c r="B1185" s="3" t="inlineStr">
        <is>
          <t>111-8402638-3771429</t>
        </is>
      </c>
      <c r="C1185" s="3" t="inlineStr">
        <is>
          <t>Autodist</t>
        </is>
      </c>
    </row>
    <row collapsed="false" customFormat="false" customHeight="false" hidden="false" ht="12.1" outlineLevel="0" r="1186">
      <c r="A1186" s="3" t="s">
        <f>=HYPERLINK("https://mp39851918.megaplan.ua/deals/88380/card/","14665")</f>
      </c>
      <c r="B1186" s="3" t="inlineStr">
        <is>
          <t>114-1676191-7373020</t>
        </is>
      </c>
      <c r="C1186" s="3" t="inlineStr">
        <is>
          <t>RockyMountain</t>
        </is>
      </c>
    </row>
    <row collapsed="false" customFormat="false" customHeight="false" hidden="false" ht="12.1" outlineLevel="0" r="1187">
      <c r="A1187" s="3" t="s">
        <f>=HYPERLINK("https://mp39851918.megaplan.ua/deals/88388/card/","14666")</f>
      </c>
      <c r="B1187" s="3" t="inlineStr">
        <is>
          <t>114-8530435-6111436</t>
        </is>
      </c>
      <c r="C1187" s="3" t="inlineStr">
        <is>
          <t>RockyMountain</t>
        </is>
      </c>
    </row>
    <row collapsed="false" customFormat="false" customHeight="false" hidden="false" ht="12.1" outlineLevel="0" r="1188">
      <c r="A1188" s="3" t="s">
        <f>=HYPERLINK("https://mp39851918.megaplan.ua/deals/88391/card/","14667")</f>
      </c>
      <c r="B1188" s="3" t="inlineStr">
        <is>
          <t>111-2684795-9030630</t>
        </is>
      </c>
      <c r="C1188" s="3" t="inlineStr">
        <is>
          <t>RockyMountain</t>
        </is>
      </c>
    </row>
    <row collapsed="false" customFormat="false" customHeight="false" hidden="false" ht="12.1" outlineLevel="0" r="1189">
      <c r="A1189" s="3" t="s">
        <f>=HYPERLINK("https://mp39851918.megaplan.ua/deals/88392/card/","14668")</f>
      </c>
      <c r="B1189" s="3" t="inlineStr">
        <is>
          <t>111-5413104-5865012</t>
        </is>
      </c>
      <c r="C1189" s="3" t="inlineStr">
        <is>
          <t>Autodist</t>
        </is>
      </c>
    </row>
    <row collapsed="false" customFormat="false" customHeight="false" hidden="false" ht="12.1" outlineLevel="0" r="1190">
      <c r="A1190" s="3" t="s">
        <f>=HYPERLINK("https://mp39851918.megaplan.ua/deals/88399/card/","14669")</f>
      </c>
      <c r="B1190" s="3" t="inlineStr">
        <is>
          <t>111-6112012-4467469</t>
        </is>
      </c>
      <c r="C1190" s="3" t="inlineStr">
        <is>
          <t>Autodist</t>
        </is>
      </c>
    </row>
    <row collapsed="false" customFormat="false" customHeight="false" hidden="false" ht="12.1" outlineLevel="0" r="1191">
      <c r="A1191" s="3" t="s">
        <f>=HYPERLINK("https://mp39851918.megaplan.ua/deals/88409/card/","14670")</f>
      </c>
      <c r="B1191" s="3" t="inlineStr">
        <is>
          <t>112-0568059-4899432</t>
        </is>
      </c>
      <c r="C1191" s="3" t="inlineStr">
        <is>
          <t>Autodist</t>
        </is>
      </c>
    </row>
    <row collapsed="false" customFormat="false" customHeight="false" hidden="false" ht="12.1" outlineLevel="0" r="1192">
      <c r="A1192" s="3" t="s">
        <f>=HYPERLINK("https://mp39851918.megaplan.ua/deals/88411/card/","14671")</f>
      </c>
      <c r="B1192" s="3" t="inlineStr">
        <is>
          <t>111-5408551-9693818</t>
        </is>
      </c>
      <c r="C1192" s="3" t="inlineStr">
        <is>
          <t>Autodist</t>
        </is>
      </c>
    </row>
    <row collapsed="false" customFormat="false" customHeight="false" hidden="false" ht="12.1" outlineLevel="0" r="1193">
      <c r="A1193" s="3" t="s">
        <f>=HYPERLINK("https://mp39851918.megaplan.ua/deals/88413/card/","14672")</f>
      </c>
      <c r="B1193" s="3" t="inlineStr">
        <is>
          <t>112-1420191-9637823</t>
        </is>
      </c>
      <c r="C1193" s="3" t="inlineStr">
        <is>
          <t>RockyMountain</t>
        </is>
      </c>
    </row>
    <row collapsed="false" customFormat="false" customHeight="false" hidden="false" ht="12.1" outlineLevel="0" r="1194">
      <c r="A1194" s="3" t="s">
        <f>=HYPERLINK("https://mp39851918.megaplan.ua/deals/88420/card/","14673")</f>
      </c>
      <c r="B1194" s="3" t="inlineStr">
        <is>
          <t>113-6033619-2677055</t>
        </is>
      </c>
      <c r="C1194" s="3" t="inlineStr">
        <is>
          <t>PartsUnlimited</t>
        </is>
      </c>
    </row>
    <row collapsed="false" customFormat="false" customHeight="false" hidden="false" ht="12.1" outlineLevel="0" r="1195">
      <c r="A1195" s="3" t="s">
        <f>=HYPERLINK("https://mp39851918.megaplan.ua/deals/88421/card/","14674")</f>
      </c>
      <c r="B1195" s="3" t="inlineStr">
        <is>
          <t>114-6643888-4369026</t>
        </is>
      </c>
      <c r="C1195" s="3" t="inlineStr">
        <is>
          <t>Autodist</t>
        </is>
      </c>
    </row>
    <row collapsed="false" customFormat="false" customHeight="false" hidden="false" ht="12.1" outlineLevel="0" r="1196">
      <c r="A1196" s="3" t="s">
        <f>=HYPERLINK("https://mp39851918.megaplan.ua/deals/88425/card/","14675")</f>
      </c>
      <c r="B1196" s="3" t="inlineStr">
        <is>
          <t>111-5236968-0921849</t>
        </is>
      </c>
      <c r="C1196" s="3" t="inlineStr">
        <is>
          <t>PartsUnlimited</t>
        </is>
      </c>
    </row>
    <row collapsed="false" customFormat="false" customHeight="false" hidden="false" ht="12.1" outlineLevel="0" r="1197">
      <c r="A1197" s="3" t="s">
        <f>=HYPERLINK("https://mp39851918.megaplan.ua/deals/88426/card/","14676")</f>
      </c>
      <c r="B1197" s="3" t="inlineStr">
        <is>
          <t>111-9945226-3720202</t>
        </is>
      </c>
      <c r="C1197" s="3" t="inlineStr">
        <is>
          <t>RockyMountain</t>
        </is>
      </c>
    </row>
    <row collapsed="false" customFormat="false" customHeight="false" hidden="false" ht="12.1" outlineLevel="0" r="1198">
      <c r="A1198" s="3" t="s">
        <f>=HYPERLINK("https://mp39851918.megaplan.ua/deals/88428/card/","14677")</f>
      </c>
      <c r="B1198" s="3" t="inlineStr">
        <is>
          <t>113-4080262-3759442</t>
        </is>
      </c>
      <c r="C1198" s="3" t="inlineStr">
        <is>
          <t>RockyMountain</t>
        </is>
      </c>
    </row>
    <row collapsed="false" customFormat="false" customHeight="false" hidden="false" ht="12.1" outlineLevel="0" r="1199">
      <c r="A1199" s="3" t="s">
        <f>=HYPERLINK("https://mp39851918.megaplan.ua/deals/88430/card/","14678")</f>
      </c>
      <c r="B1199" s="3" t="inlineStr">
        <is>
          <t>112-9317238-1095415</t>
        </is>
      </c>
      <c r="C1199" s="3" t="inlineStr">
        <is>
          <t>RockyMountain</t>
        </is>
      </c>
    </row>
    <row collapsed="false" customFormat="false" customHeight="false" hidden="false" ht="12.1" outlineLevel="0" r="1200">
      <c r="A1200" s="3" t="s">
        <f>=HYPERLINK("https://mp39851918.megaplan.ua/deals/88431/card/","14679")</f>
      </c>
      <c r="B1200" s="3" t="inlineStr">
        <is>
          <t>112-7203833-6287425</t>
        </is>
      </c>
      <c r="C1200" s="3" t="inlineStr">
        <is>
          <t>RockyMountain</t>
        </is>
      </c>
    </row>
    <row collapsed="false" customFormat="false" customHeight="false" hidden="false" ht="12.1" outlineLevel="0" r="1201">
      <c r="A1201" s="3" t="s">
        <f>=HYPERLINK("https://mp39851918.megaplan.ua/deals/88432/card/","14680")</f>
      </c>
      <c r="B1201" s="3" t="inlineStr">
        <is>
          <t>113-4830666-6334609</t>
        </is>
      </c>
      <c r="C1201" s="3" t="inlineStr">
        <is>
          <t>TuckerRocky</t>
        </is>
      </c>
    </row>
    <row collapsed="false" customFormat="false" customHeight="false" hidden="false" ht="12.1" outlineLevel="0" r="1202">
      <c r="A1202" s="3" t="s">
        <f>=HYPERLINK("https://mp39851918.megaplan.ua/deals/88433/card/","14681")</f>
      </c>
      <c r="B1202" s="3" t="inlineStr">
        <is>
          <t>111-2614238-9386669</t>
        </is>
      </c>
      <c r="C1202" s="3" t="inlineStr">
        <is>
          <t>RockyMountain</t>
        </is>
      </c>
    </row>
    <row collapsed="false" customFormat="false" customHeight="false" hidden="false" ht="12.1" outlineLevel="0" r="1203">
      <c r="A1203" s="3" t="s">
        <f>=HYPERLINK("https://mp39851918.megaplan.ua/deals/88435/card/","14682")</f>
      </c>
      <c r="B1203" s="3" t="inlineStr">
        <is>
          <t>114-9837017-9054606</t>
        </is>
      </c>
      <c r="C1203" s="3" t="inlineStr">
        <is>
          <t>RockyMountain</t>
        </is>
      </c>
    </row>
    <row collapsed="false" customFormat="false" customHeight="false" hidden="false" ht="12.1" outlineLevel="0" r="1204">
      <c r="A1204" s="3" t="s">
        <f>=HYPERLINK("https://mp39851918.megaplan.ua/deals/88448/card/","14684")</f>
      </c>
      <c r="B1204" s="3" t="inlineStr">
        <is>
          <t>114-2306880-5163453</t>
        </is>
      </c>
      <c r="C1204" s="3" t="inlineStr">
        <is>
          <t>RockyMountain</t>
        </is>
      </c>
    </row>
    <row collapsed="false" customFormat="false" customHeight="false" hidden="false" ht="12.1" outlineLevel="0" r="1205">
      <c r="A1205" s="3" t="s">
        <f>=HYPERLINK("https://mp39851918.megaplan.ua/deals/88452/card/","14686")</f>
      </c>
      <c r="B1205" s="3" t="inlineStr">
        <is>
          <t>111-9854969-4273816</t>
        </is>
      </c>
      <c r="C1205" s="3" t="inlineStr">
        <is>
          <t>RockyMountain</t>
        </is>
      </c>
    </row>
    <row collapsed="false" customFormat="false" customHeight="false" hidden="false" ht="12.1" outlineLevel="0" r="1206">
      <c r="A1206" s="3" t="s">
        <f>=HYPERLINK("https://mp39851918.megaplan.ua/deals/88460/card/","14687")</f>
      </c>
      <c r="B1206" s="3" t="inlineStr">
        <is>
          <t>111-5230339-0304261</t>
        </is>
      </c>
      <c r="C1206" s="3" t="inlineStr">
        <is>
          <t>RockyMountain</t>
        </is>
      </c>
    </row>
    <row collapsed="false" customFormat="false" customHeight="false" hidden="false" ht="12.1" outlineLevel="0" r="1207">
      <c r="A1207" s="3" t="s">
        <f>=HYPERLINK("https://mp39851918.megaplan.ua/deals/88470/card/","14688")</f>
      </c>
      <c r="B1207" s="3" t="inlineStr">
        <is>
          <t>112-5939988-0298664</t>
        </is>
      </c>
      <c r="C1207" s="3" t="inlineStr">
        <is>
          <t>Autodist</t>
        </is>
      </c>
    </row>
    <row collapsed="false" customFormat="false" customHeight="false" hidden="false" ht="12.1" outlineLevel="0" r="1208">
      <c r="A1208" s="3" t="s">
        <f>=HYPERLINK("https://mp39851918.megaplan.ua/deals/88472/card/","14689")</f>
      </c>
      <c r="B1208" s="3" t="inlineStr">
        <is>
          <t>113-1769177-8697041</t>
        </is>
      </c>
      <c r="C1208" s="3" t="inlineStr">
        <is>
          <t>RockyMountain</t>
        </is>
      </c>
    </row>
    <row collapsed="false" customFormat="false" customHeight="false" hidden="false" ht="12.1" outlineLevel="0" r="1209">
      <c r="A1209" s="3" t="s">
        <f>=HYPERLINK("https://mp39851918.megaplan.ua/deals/88490/card/","14691")</f>
      </c>
      <c r="B1209" s="3" t="inlineStr">
        <is>
          <t>112-4327124-4757862</t>
        </is>
      </c>
      <c r="C1209" s="3" t="inlineStr">
        <is>
          <t>TuckerRocky</t>
        </is>
      </c>
    </row>
    <row collapsed="false" customFormat="false" customHeight="false" hidden="false" ht="12.1" outlineLevel="0" r="1210">
      <c r="A1210" s="3" t="s">
        <f>=HYPERLINK("https://mp39851918.megaplan.ua/deals/88491/card/","14692")</f>
      </c>
      <c r="B1210" s="3" t="inlineStr">
        <is>
          <t>112-2573110-0258605</t>
        </is>
      </c>
      <c r="C1210" s="3" t="inlineStr">
        <is>
          <t>Autodist</t>
        </is>
      </c>
    </row>
    <row collapsed="false" customFormat="false" customHeight="false" hidden="false" ht="12.1" outlineLevel="0" r="1211">
      <c r="A1211" s="3" t="s">
        <f>=HYPERLINK("https://mp39851918.megaplan.ua/deals/88495/card/","14693")</f>
      </c>
      <c r="B1211" s="3" t="inlineStr">
        <is>
          <t>113-6830223-8068202</t>
        </is>
      </c>
      <c r="C1211" s="3" t="inlineStr">
        <is>
          <t>Autodist</t>
        </is>
      </c>
    </row>
    <row collapsed="false" customFormat="false" customHeight="false" hidden="false" ht="12.1" outlineLevel="0" r="1212">
      <c r="A1212" s="3" t="s">
        <f>=HYPERLINK("https://mp39851918.megaplan.ua/deals/88506/card/","14694")</f>
      </c>
      <c r="B1212" s="3" t="inlineStr">
        <is>
          <t>114-9902617-1425832</t>
        </is>
      </c>
      <c r="C1212" s="3" t="inlineStr">
        <is>
          <t>RockyMountain</t>
        </is>
      </c>
    </row>
    <row collapsed="false" customFormat="false" customHeight="false" hidden="false" ht="12.1" outlineLevel="0" r="1213">
      <c r="A1213" s="3" t="s">
        <f>=HYPERLINK("https://mp39851918.megaplan.ua/deals/88523/card/","14695")</f>
      </c>
      <c r="B1213" s="3" t="inlineStr">
        <is>
          <t>113-3392823-0618658</t>
        </is>
      </c>
      <c r="C1213" s="3" t="inlineStr">
        <is>
          <t>Autodist</t>
        </is>
      </c>
    </row>
    <row collapsed="false" customFormat="false" customHeight="false" hidden="false" ht="12.1" outlineLevel="0" r="1214">
      <c r="A1214" s="3" t="s">
        <f>=HYPERLINK("https://mp39851918.megaplan.ua/deals/88527/card/","14696")</f>
      </c>
      <c r="B1214" s="3" t="inlineStr">
        <is>
          <t>114-2798108-8385006</t>
        </is>
      </c>
      <c r="C1214" s="3" t="inlineStr">
        <is>
          <t>Autodist</t>
        </is>
      </c>
    </row>
    <row collapsed="false" customFormat="false" customHeight="false" hidden="false" ht="12.1" outlineLevel="0" r="1215">
      <c r="A1215" s="3" t="s">
        <f>=HYPERLINK("https://mp39851918.megaplan.ua/deals/88533/card/","14697")</f>
      </c>
      <c r="B1215" s="3" t="inlineStr">
        <is>
          <t>111-8532247-0120231</t>
        </is>
      </c>
      <c r="C1215" s="3" t="inlineStr">
        <is>
          <t>Autodist</t>
        </is>
      </c>
    </row>
    <row collapsed="false" customFormat="false" customHeight="false" hidden="false" ht="12.1" outlineLevel="0" r="1216">
      <c r="A1216" s="3" t="s">
        <f>=HYPERLINK("https://mp39851918.megaplan.ua/deals/88535/card/","14698")</f>
      </c>
      <c r="B1216" s="3" t="inlineStr">
        <is>
          <t>114-5290393-5323465</t>
        </is>
      </c>
      <c r="C1216" s="3" t="inlineStr">
        <is>
          <t>Autodist</t>
        </is>
      </c>
    </row>
    <row collapsed="false" customFormat="false" customHeight="false" hidden="false" ht="12.1" outlineLevel="0" r="1217">
      <c r="A1217" s="3" t="s">
        <f>=HYPERLINK("https://mp39851918.megaplan.ua/deals/88549/card/","14700")</f>
      </c>
      <c r="B1217" s="3" t="inlineStr">
        <is>
          <t>114-8715945-0617824</t>
        </is>
      </c>
      <c r="C1217" s="3" t="inlineStr">
        <is>
          <t>Autodist</t>
        </is>
      </c>
    </row>
    <row collapsed="false" customFormat="false" customHeight="false" hidden="false" ht="12.1" outlineLevel="0" r="1218">
      <c r="A1218" s="3" t="s">
        <f>=HYPERLINK("https://mp39851918.megaplan.ua/deals/88569/card/","14702")</f>
      </c>
      <c r="B1218" s="3" t="inlineStr">
        <is>
          <t>112-7839120-1310649</t>
        </is>
      </c>
      <c r="C1218" s="3" t="inlineStr">
        <is>
          <t>RockyMountain</t>
        </is>
      </c>
    </row>
    <row collapsed="false" customFormat="false" customHeight="false" hidden="false" ht="12.1" outlineLevel="0" r="1219">
      <c r="A1219" s="3" t="s">
        <f>=HYPERLINK("https://mp39851918.megaplan.ua/deals/88570/card/","14703")</f>
      </c>
      <c r="B1219" s="3" t="inlineStr">
        <is>
          <t>113-2845363-8529801</t>
        </is>
      </c>
      <c r="C1219" s="3" t="inlineStr">
        <is>
          <t>PartsUnlimited</t>
        </is>
      </c>
    </row>
    <row collapsed="false" customFormat="false" customHeight="false" hidden="false" ht="12.1" outlineLevel="0" r="1220">
      <c r="A1220" s="3" t="s">
        <f>=HYPERLINK("https://mp39851918.megaplan.ua/deals/88579/card/","14704")</f>
      </c>
      <c r="B1220" s="3" t="inlineStr">
        <is>
          <t>111-9125750-4053806</t>
        </is>
      </c>
      <c r="C1220" s="3" t="inlineStr">
        <is>
          <t>PartsUnlimited</t>
        </is>
      </c>
    </row>
    <row collapsed="false" customFormat="false" customHeight="false" hidden="false" ht="12.1" outlineLevel="0" r="1221">
      <c r="A1221" s="3" t="s">
        <f>=HYPERLINK("https://mp39851918.megaplan.ua/deals/88581/card/","14705")</f>
      </c>
      <c r="B1221" s="3" t="inlineStr">
        <is>
          <t>111-1340032-8049811</t>
        </is>
      </c>
      <c r="C1221" s="3" t="inlineStr">
        <is>
          <t>Autodist</t>
        </is>
      </c>
    </row>
    <row collapsed="false" customFormat="false" customHeight="false" hidden="false" ht="12.1" outlineLevel="0" r="1222">
      <c r="A1222" s="3" t="s">
        <f>=HYPERLINK("https://mp39851918.megaplan.ua/deals/88596/card/","14706")</f>
      </c>
      <c r="B1222" s="3" t="inlineStr">
        <is>
          <t>113-9509948-9553063</t>
        </is>
      </c>
      <c r="C1222" s="3" t="inlineStr">
        <is>
          <t>RockyMountain</t>
        </is>
      </c>
    </row>
    <row collapsed="false" customFormat="false" customHeight="false" hidden="false" ht="12.1" outlineLevel="0" r="1223">
      <c r="A1223" s="3" t="s">
        <f>=HYPERLINK("https://mp39851918.megaplan.ua/deals/88602/card/","14708")</f>
      </c>
      <c r="B1223" s="3" t="inlineStr">
        <is>
          <t>114-6124121-3101018</t>
        </is>
      </c>
      <c r="C1223" s="3" t="inlineStr">
        <is>
          <t>Autodist</t>
        </is>
      </c>
    </row>
    <row collapsed="false" customFormat="false" customHeight="false" hidden="false" ht="12.1" outlineLevel="0" r="1224">
      <c r="A1224" s="3" t="s">
        <f>=HYPERLINK("https://mp39851918.megaplan.ua/deals/88609/card/","14710")</f>
      </c>
      <c r="B1224" s="3" t="inlineStr">
        <is>
          <t>113-9035593-4535420</t>
        </is>
      </c>
      <c r="C1224" s="3" t="inlineStr">
        <is>
          <t>Autodist</t>
        </is>
      </c>
    </row>
    <row collapsed="false" customFormat="false" customHeight="false" hidden="false" ht="12.1" outlineLevel="0" r="1225">
      <c r="A1225" s="3" t="s">
        <f>=HYPERLINK("https://mp39851918.megaplan.ua/deals/88620/card/","14711")</f>
      </c>
      <c r="B1225" s="3" t="inlineStr">
        <is>
          <t>113-4770697-1593065</t>
        </is>
      </c>
      <c r="C1225" s="3" t="inlineStr">
        <is>
          <t>Autodist</t>
        </is>
      </c>
    </row>
    <row collapsed="false" customFormat="false" customHeight="false" hidden="false" ht="12.1" outlineLevel="0" r="1226">
      <c r="A1226" s="3" t="s">
        <f>=HYPERLINK("https://mp39851918.megaplan.ua/deals/88622/card/","14712")</f>
      </c>
      <c r="B1226" s="3" t="inlineStr">
        <is>
          <t>114-9294107-1901017</t>
        </is>
      </c>
      <c r="C1226" s="3" t="inlineStr">
        <is>
          <t>TuckerRocky</t>
        </is>
      </c>
    </row>
    <row collapsed="false" customFormat="false" customHeight="false" hidden="false" ht="12.1" outlineLevel="0" r="1227">
      <c r="A1227" s="3" t="s">
        <f>=HYPERLINK("https://mp39851918.megaplan.ua/deals/88640/card/","14714")</f>
      </c>
      <c r="B1227" s="3" t="inlineStr">
        <is>
          <t>112-0594059-3855445</t>
        </is>
      </c>
      <c r="C1227" s="3" t="inlineStr">
        <is>
          <t>Autodist</t>
        </is>
      </c>
    </row>
    <row collapsed="false" customFormat="false" customHeight="false" hidden="false" ht="12.1" outlineLevel="0" r="1228">
      <c r="A1228" s="3" t="s">
        <f>=HYPERLINK("https://mp39851918.megaplan.ua/deals/88641/card/","14715")</f>
      </c>
      <c r="B1228" s="3" t="inlineStr">
        <is>
          <t>113-0156872-9933051</t>
        </is>
      </c>
      <c r="C1228" s="3" t="inlineStr">
        <is>
          <t>Autodist</t>
        </is>
      </c>
    </row>
    <row collapsed="false" customFormat="false" customHeight="false" hidden="false" ht="12.1" outlineLevel="0" r="1229">
      <c r="A1229" s="3" t="s">
        <f>=HYPERLINK("https://mp39851918.megaplan.ua/deals/88644/card/","14716")</f>
      </c>
      <c r="B1229" s="3" t="inlineStr">
        <is>
          <t>111-1538474-2272266</t>
        </is>
      </c>
      <c r="C1229" s="3" t="inlineStr">
        <is>
          <t>RockyMountain</t>
        </is>
      </c>
    </row>
    <row collapsed="false" customFormat="false" customHeight="false" hidden="false" ht="12.1" outlineLevel="0" r="1230">
      <c r="A1230" s="3" t="s">
        <f>=HYPERLINK("https://mp39851918.megaplan.ua/deals/88669/card/","14718")</f>
      </c>
      <c r="B1230" s="3" t="inlineStr">
        <is>
          <t>113-9344499-4769057</t>
        </is>
      </c>
      <c r="C1230" s="3" t="inlineStr">
        <is>
          <t>Autodist</t>
        </is>
      </c>
    </row>
    <row collapsed="false" customFormat="false" customHeight="false" hidden="false" ht="12.1" outlineLevel="0" r="1231">
      <c r="A1231" s="3" t="s">
        <f>=HYPERLINK("https://mp39851918.megaplan.ua/deals/88675/card/","14719")</f>
      </c>
      <c r="B1231" s="3" t="inlineStr">
        <is>
          <t>111-3697614-1903403</t>
        </is>
      </c>
      <c r="C1231" s="3" t="inlineStr">
        <is>
          <t>Autodist</t>
        </is>
      </c>
    </row>
    <row collapsed="false" customFormat="false" customHeight="false" hidden="false" ht="12.1" outlineLevel="0" r="1232">
      <c r="A1232" s="3" t="s">
        <f>=HYPERLINK("https://mp39851918.megaplan.ua/deals/88676/card/","14720")</f>
      </c>
      <c r="B1232" s="3" t="inlineStr">
        <is>
          <t>114-8680307-0326645</t>
        </is>
      </c>
      <c r="C1232" s="3" t="inlineStr">
        <is>
          <t>Autodist</t>
        </is>
      </c>
    </row>
    <row collapsed="false" customFormat="false" customHeight="false" hidden="false" ht="12.1" outlineLevel="0" r="1233">
      <c r="A1233" s="3" t="s">
        <f>=HYPERLINK("https://mp39851918.megaplan.ua/deals/88704/card/","14723")</f>
      </c>
      <c r="B1233" s="3" t="inlineStr">
        <is>
          <t>112-1236098-1318615</t>
        </is>
      </c>
      <c r="C1233" s="3" t="inlineStr">
        <is>
          <t>TuckerRocky</t>
        </is>
      </c>
    </row>
    <row collapsed="false" customFormat="false" customHeight="false" hidden="false" ht="12.1" outlineLevel="0" r="1234">
      <c r="A1234" s="3" t="s">
        <f>=HYPERLINK("https://mp39851918.megaplan.ua/deals/88705/card/","14724")</f>
      </c>
      <c r="B1234" s="3" t="inlineStr">
        <is>
          <t>113-9559201-4055457</t>
        </is>
      </c>
      <c r="C1234" s="3" t="inlineStr">
        <is>
          <t>Autodist</t>
        </is>
      </c>
    </row>
    <row collapsed="false" customFormat="false" customHeight="false" hidden="false" ht="12.1" outlineLevel="0" r="1235">
      <c r="A1235" s="3" t="s">
        <f>=HYPERLINK("https://mp39851918.megaplan.ua/deals/88715/card/","14725")</f>
      </c>
      <c r="B1235" s="3" t="inlineStr">
        <is>
          <t>112-8009889-5739414</t>
        </is>
      </c>
      <c r="C1235" s="3" t="inlineStr">
        <is>
          <t>RockyMountain</t>
        </is>
      </c>
    </row>
    <row collapsed="false" customFormat="false" customHeight="false" hidden="false" ht="12.1" outlineLevel="0" r="1236">
      <c r="A1236" s="3" t="s">
        <f>=HYPERLINK("https://mp39851918.megaplan.ua/deals/88719/card/","14726")</f>
      </c>
      <c r="B1236" s="3" t="inlineStr">
        <is>
          <t>112-9813837-6065841</t>
        </is>
      </c>
      <c r="C1236" s="3" t="inlineStr">
        <is>
          <t>TuckerRocky</t>
        </is>
      </c>
    </row>
    <row collapsed="false" customFormat="false" customHeight="false" hidden="false" ht="12.1" outlineLevel="0" r="1237">
      <c r="A1237" s="3" t="s">
        <f>=HYPERLINK("https://mp39851918.megaplan.ua/deals/88725/card/","14727")</f>
      </c>
      <c r="B1237" s="3" t="inlineStr">
        <is>
          <t>113-6985257-0228214</t>
        </is>
      </c>
      <c r="C1237" s="3" t="inlineStr">
        <is>
          <t>RockyMountain</t>
        </is>
      </c>
    </row>
    <row collapsed="false" customFormat="false" customHeight="false" hidden="false" ht="12.1" outlineLevel="0" r="1238">
      <c r="A1238" s="3" t="s">
        <f>=HYPERLINK("https://mp39851918.megaplan.ua/deals/88741/card/","14728")</f>
      </c>
      <c r="B1238" s="3" t="inlineStr">
        <is>
          <t>112-2907903-3115446</t>
        </is>
      </c>
      <c r="C1238" s="3" t="inlineStr">
        <is>
          <t>Autodist</t>
        </is>
      </c>
    </row>
    <row collapsed="false" customFormat="false" customHeight="false" hidden="false" ht="12.1" outlineLevel="0" r="1239">
      <c r="A1239" s="3" t="s">
        <f>=HYPERLINK("https://mp39851918.megaplan.ua/deals/88749/card/","14729")</f>
      </c>
      <c r="B1239" s="3" t="inlineStr">
        <is>
          <t>112-4335305-1575427</t>
        </is>
      </c>
      <c r="C1239" s="3" t="inlineStr">
        <is>
          <t>RockyMountain</t>
        </is>
      </c>
    </row>
    <row collapsed="false" customFormat="false" customHeight="false" hidden="false" ht="12.1" outlineLevel="0" r="1240">
      <c r="A1240" s="3" t="s">
        <f>=HYPERLINK("https://mp39851918.megaplan.ua/deals/88754/card/","14730")</f>
      </c>
      <c r="B1240" s="3" t="inlineStr">
        <is>
          <t>111-6451496-4637819</t>
        </is>
      </c>
      <c r="C1240" s="3" t="inlineStr">
        <is>
          <t>RockyMountain</t>
        </is>
      </c>
    </row>
    <row collapsed="false" customFormat="false" customHeight="false" hidden="false" ht="12.1" outlineLevel="0" r="1241">
      <c r="A1241" s="3" t="s">
        <f>=HYPERLINK("https://mp39851918.megaplan.ua/deals/88755/card/","14731")</f>
      </c>
      <c r="B1241" s="3" t="inlineStr">
        <is>
          <t>112-2721507-3125826</t>
        </is>
      </c>
      <c r="C1241" s="3" t="inlineStr">
        <is>
          <t>TuckerRocky</t>
        </is>
      </c>
    </row>
    <row collapsed="false" customFormat="false" customHeight="false" hidden="false" ht="12.1" outlineLevel="0" r="1242">
      <c r="A1242" s="3" t="s">
        <f>=HYPERLINK("https://mp39851918.megaplan.ua/deals/88757/card/","14732")</f>
      </c>
      <c r="B1242" s="3" t="inlineStr">
        <is>
          <t>112-9016400-2739437</t>
        </is>
      </c>
      <c r="C1242" s="3" t="inlineStr">
        <is>
          <t>TuckerRocky</t>
        </is>
      </c>
    </row>
    <row collapsed="false" customFormat="false" customHeight="false" hidden="false" ht="12.1" outlineLevel="0" r="1243">
      <c r="A1243" s="3" t="s">
        <f>=HYPERLINK("https://mp39851918.megaplan.ua/deals/88758/card/","14733")</f>
      </c>
      <c r="B1243" s="3" t="inlineStr">
        <is>
          <t>112-9256868-4578632</t>
        </is>
      </c>
      <c r="C1243" s="3" t="inlineStr">
        <is>
          <t>Autodist</t>
        </is>
      </c>
    </row>
    <row collapsed="false" customFormat="false" customHeight="false" hidden="false" ht="12.1" outlineLevel="0" r="1244">
      <c r="A1244" s="3" t="s">
        <f>=HYPERLINK("https://mp39851918.megaplan.ua/deals/88761/card/","14734")</f>
      </c>
      <c r="B1244" s="3" t="inlineStr">
        <is>
          <t>113-4972493-7619457</t>
        </is>
      </c>
      <c r="C1244" s="3" t="inlineStr">
        <is>
          <t>RockyMountain</t>
        </is>
      </c>
    </row>
    <row collapsed="false" customFormat="false" customHeight="false" hidden="false" ht="12.1" outlineLevel="0" r="1245">
      <c r="A1245" s="3" t="s">
        <f>=HYPERLINK("https://mp39851918.megaplan.ua/deals/88762/card/","14735")</f>
      </c>
      <c r="B1245" s="3" t="inlineStr">
        <is>
          <t>112-4680329-4836233</t>
        </is>
      </c>
      <c r="C1245" s="3" t="inlineStr">
        <is>
          <t>Autodist</t>
        </is>
      </c>
    </row>
    <row collapsed="false" customFormat="false" customHeight="false" hidden="false" ht="12.1" outlineLevel="0" r="1246">
      <c r="A1246" s="3" t="s">
        <f>=HYPERLINK("https://mp39851918.megaplan.ua/deals/88766/card/","14737")</f>
      </c>
      <c r="B1246" s="3" t="inlineStr">
        <is>
          <t>114-6517026-8555447</t>
        </is>
      </c>
      <c r="C1246" s="3" t="inlineStr">
        <is>
          <t>RockyMountain</t>
        </is>
      </c>
    </row>
    <row collapsed="false" customFormat="false" customHeight="false" hidden="false" ht="12.1" outlineLevel="0" r="1247">
      <c r="A1247" s="3" t="s">
        <f>=HYPERLINK("https://mp39851918.megaplan.ua/deals/88782/card/","14738")</f>
      </c>
      <c r="B1247" s="3" t="inlineStr">
        <is>
          <t>111-3213949-4190625</t>
        </is>
      </c>
      <c r="C1247" s="3" t="inlineStr">
        <is>
          <t>Autodist</t>
        </is>
      </c>
    </row>
    <row collapsed="false" customFormat="false" customHeight="false" hidden="false" ht="12.1" outlineLevel="0" r="1248">
      <c r="A1248" s="3" t="s">
        <f>=HYPERLINK("https://mp39851918.megaplan.ua/deals/88787/card/","14739")</f>
      </c>
      <c r="B1248" s="3" t="inlineStr">
        <is>
          <t>112-9623170-0016202</t>
        </is>
      </c>
      <c r="C1248" s="3" t="inlineStr">
        <is>
          <t>Autodist</t>
        </is>
      </c>
    </row>
    <row collapsed="false" customFormat="false" customHeight="false" hidden="false" ht="12.1" outlineLevel="0" r="1249">
      <c r="A1249" s="3" t="s">
        <f>=HYPERLINK("https://mp39851918.megaplan.ua/deals/88789/card/","14740")</f>
      </c>
      <c r="B1249" s="3" t="inlineStr">
        <is>
          <t>114-8161912-0249841</t>
        </is>
      </c>
      <c r="C1249" s="3" t="inlineStr">
        <is>
          <t>PartsUnlimited</t>
        </is>
      </c>
    </row>
    <row collapsed="false" customFormat="false" customHeight="false" hidden="false" ht="12.1" outlineLevel="0" r="1250">
      <c r="A1250" s="3" t="s">
        <f>=HYPERLINK("https://mp39851918.megaplan.ua/deals/88793/card/","14742")</f>
      </c>
      <c r="B1250" s="3" t="inlineStr">
        <is>
          <t>114-7881703-7349837</t>
        </is>
      </c>
      <c r="C1250" s="3" t="inlineStr">
        <is>
          <t>PartsUnlimited</t>
        </is>
      </c>
    </row>
    <row collapsed="false" customFormat="false" customHeight="false" hidden="false" ht="12.1" outlineLevel="0" r="1251">
      <c r="A1251" s="3" t="s">
        <f>=HYPERLINK("https://mp39851918.megaplan.ua/deals/88807/card/","14743")</f>
      </c>
      <c r="B1251" s="3" t="inlineStr">
        <is>
          <t>111-9517477-3668261</t>
        </is>
      </c>
      <c r="C1251" s="3" t="inlineStr">
        <is>
          <t>RockyMountain</t>
        </is>
      </c>
    </row>
    <row collapsed="false" customFormat="false" customHeight="false" hidden="false" ht="12.1" outlineLevel="0" r="1252">
      <c r="A1252" s="3" t="s">
        <f>=HYPERLINK("https://mp39851918.megaplan.ua/deals/88808/card/","14744")</f>
      </c>
      <c r="B1252" s="3" t="inlineStr">
        <is>
          <t>113-0095100-0413040</t>
        </is>
      </c>
      <c r="C1252" s="3" t="inlineStr">
        <is>
          <t>RockyMountain</t>
        </is>
      </c>
    </row>
    <row collapsed="false" customFormat="false" customHeight="false" hidden="false" ht="12.1" outlineLevel="0" r="1253">
      <c r="A1253" s="3" t="s">
        <f>=HYPERLINK("https://mp39851918.megaplan.ua/deals/88809/card/","14745")</f>
      </c>
      <c r="B1253" s="3" t="inlineStr">
        <is>
          <t>113-9804257-1646647</t>
        </is>
      </c>
      <c r="C1253" s="3" t="inlineStr">
        <is>
          <t>Autodist</t>
        </is>
      </c>
    </row>
    <row collapsed="false" customFormat="false" customHeight="false" hidden="false" ht="12.1" outlineLevel="0" r="1254">
      <c r="A1254" s="3" t="s">
        <f>=HYPERLINK("https://mp39851918.megaplan.ua/deals/88818/card/","14746")</f>
      </c>
      <c r="B1254" s="3" t="inlineStr">
        <is>
          <t>112-8721441-5386666</t>
        </is>
      </c>
      <c r="C1254" s="3" t="inlineStr">
        <is>
          <t>Autodist</t>
        </is>
      </c>
    </row>
    <row collapsed="false" customFormat="false" customHeight="false" hidden="false" ht="12.1" outlineLevel="0" r="1255">
      <c r="A1255" s="3" t="s">
        <f>=HYPERLINK("https://mp39851918.megaplan.ua/deals/88823/card/","14747")</f>
      </c>
      <c r="B1255" s="3" t="inlineStr">
        <is>
          <t>111-7989676-2715443</t>
        </is>
      </c>
      <c r="C1255" s="3" t="inlineStr">
        <is>
          <t>RockyMountain</t>
        </is>
      </c>
    </row>
    <row collapsed="false" customFormat="false" customHeight="false" hidden="false" ht="12.1" outlineLevel="0" r="1256">
      <c r="A1256" s="3" t="s">
        <f>=HYPERLINK("https://mp39851918.megaplan.ua/deals/88831/card/","14748")</f>
      </c>
      <c r="B1256" s="3" t="inlineStr">
        <is>
          <t>114-9443329-6236200</t>
        </is>
      </c>
      <c r="C1256" s="3" t="inlineStr">
        <is>
          <t>TuckerRocky</t>
        </is>
      </c>
    </row>
    <row collapsed="false" customFormat="false" customHeight="false" hidden="false" ht="12.1" outlineLevel="0" r="1257">
      <c r="A1257" s="3" t="s">
        <f>=HYPERLINK("https://mp39851918.megaplan.ua/deals/88837/card/","14749")</f>
      </c>
      <c r="B1257" s="3" t="inlineStr">
        <is>
          <t>112-8168392-6259435</t>
        </is>
      </c>
      <c r="C1257" s="3" t="inlineStr">
        <is>
          <t>RockyMountain</t>
        </is>
      </c>
    </row>
    <row collapsed="false" customFormat="false" customHeight="false" hidden="false" ht="12.1" outlineLevel="0" r="1258">
      <c r="A1258" s="3" t="s">
        <f>=HYPERLINK("https://mp39851918.megaplan.ua/deals/88841/card/","14750")</f>
      </c>
      <c r="B1258" s="3" t="inlineStr">
        <is>
          <t>112-8312481-3381843</t>
        </is>
      </c>
      <c r="C1258" s="3" t="inlineStr">
        <is>
          <t>Autodist</t>
        </is>
      </c>
    </row>
    <row collapsed="false" customFormat="false" customHeight="false" hidden="false" ht="12.1" outlineLevel="0" r="1259">
      <c r="A1259" s="3" t="s">
        <f>=HYPERLINK("https://mp39851918.megaplan.ua/deals/88847/card/","14751")</f>
      </c>
      <c r="B1259" s="3" t="inlineStr">
        <is>
          <t>113-4064865-0337849</t>
        </is>
      </c>
      <c r="C1259" s="3" t="inlineStr">
        <is>
          <t>Autodist</t>
        </is>
      </c>
    </row>
    <row collapsed="false" customFormat="false" customHeight="false" hidden="false" ht="12.1" outlineLevel="0" r="1260">
      <c r="A1260" s="3" t="s">
        <f>=HYPERLINK("https://mp39851918.megaplan.ua/deals/88850/card/","14752")</f>
      </c>
      <c r="B1260" s="3" t="inlineStr">
        <is>
          <t>114-2303856-0526615</t>
        </is>
      </c>
      <c r="C1260" s="3" t="inlineStr">
        <is>
          <t>RockyMountain</t>
        </is>
      </c>
    </row>
    <row collapsed="false" customFormat="false" customHeight="false" hidden="false" ht="12.1" outlineLevel="0" r="1261">
      <c r="A1261" s="3" t="s">
        <f>=HYPERLINK("https://mp39851918.megaplan.ua/deals/88857/card/","14753")</f>
      </c>
      <c r="B1261" s="3" t="inlineStr">
        <is>
          <t>111-5715104-2750635</t>
        </is>
      </c>
      <c r="C1261" s="3" t="inlineStr">
        <is>
          <t>PartsUnlimited</t>
        </is>
      </c>
    </row>
    <row collapsed="false" customFormat="false" customHeight="false" hidden="false" ht="12.1" outlineLevel="0" r="1262">
      <c r="A1262" s="3" t="s">
        <f>=HYPERLINK("https://mp39851918.megaplan.ua/deals/88858/card/","14754")</f>
      </c>
      <c r="B1262" s="3" t="inlineStr">
        <is>
          <t>111-3505170-8697859</t>
        </is>
      </c>
      <c r="C1262" s="3" t="inlineStr">
        <is>
          <t>Autodist</t>
        </is>
      </c>
    </row>
    <row collapsed="false" customFormat="false" customHeight="false" hidden="false" ht="12.1" outlineLevel="0" r="1263">
      <c r="A1263" s="3" t="s">
        <f>=HYPERLINK("https://mp39851918.megaplan.ua/deals/88869/card/","14755")</f>
      </c>
      <c r="B1263" s="3" t="inlineStr">
        <is>
          <t>114-8217297-7857033</t>
        </is>
      </c>
      <c r="C1263" s="3" t="inlineStr">
        <is>
          <t>RockyMountain</t>
        </is>
      </c>
    </row>
    <row collapsed="false" customFormat="false" customHeight="false" hidden="false" ht="12.1" outlineLevel="0" r="1264">
      <c r="A1264" s="3" t="s">
        <f>=HYPERLINK("https://mp39851918.megaplan.ua/deals/88876/card/","14756")</f>
      </c>
      <c r="B1264" s="3" t="inlineStr">
        <is>
          <t>114-2902733-4629020</t>
        </is>
      </c>
      <c r="C1264" s="3" t="inlineStr">
        <is>
          <t>RockyMountain</t>
        </is>
      </c>
    </row>
    <row collapsed="false" customFormat="false" customHeight="false" hidden="false" ht="12.1" outlineLevel="0" r="1265">
      <c r="A1265" s="3" t="s">
        <f>=HYPERLINK("https://mp39851918.megaplan.ua/deals/88883/card/","14757")</f>
      </c>
      <c r="B1265" s="3" t="inlineStr">
        <is>
          <t>111-1788647-5184263</t>
        </is>
      </c>
      <c r="C1265" s="3" t="inlineStr">
        <is>
          <t>Autodist</t>
        </is>
      </c>
    </row>
    <row collapsed="false" customFormat="false" customHeight="false" hidden="false" ht="12.1" outlineLevel="0" r="1266">
      <c r="A1266" s="3" t="s">
        <f>=HYPERLINK("https://mp39851918.megaplan.ua/deals/88907/card/","14759")</f>
      </c>
      <c r="B1266" s="3" t="inlineStr">
        <is>
          <t>112-5486068-0870608</t>
        </is>
      </c>
      <c r="C1266" s="3" t="inlineStr">
        <is>
          <t>Autodist</t>
        </is>
      </c>
    </row>
    <row collapsed="false" customFormat="false" customHeight="false" hidden="false" ht="12.1" outlineLevel="0" r="1267">
      <c r="A1267" s="3" t="s">
        <f>=HYPERLINK("https://mp39851918.megaplan.ua/deals/88912/card/","14760")</f>
      </c>
      <c r="B1267" s="3" t="inlineStr">
        <is>
          <t>111-0370479-4532269</t>
        </is>
      </c>
      <c r="C1267" s="3" t="inlineStr">
        <is>
          <t>RockyMountain</t>
        </is>
      </c>
    </row>
    <row collapsed="false" customFormat="false" customHeight="false" hidden="false" ht="12.1" outlineLevel="0" r="1268">
      <c r="A1268" s="3" t="s">
        <f>=HYPERLINK("https://mp39851918.megaplan.ua/deals/88913/card/","14761")</f>
      </c>
      <c r="B1268" s="3" t="inlineStr">
        <is>
          <t>111-3479087-1429811</t>
        </is>
      </c>
      <c r="C1268" s="3" t="inlineStr">
        <is>
          <t>RockyMountain</t>
        </is>
      </c>
    </row>
    <row collapsed="false" customFormat="false" customHeight="false" hidden="false" ht="12.1" outlineLevel="0" r="1269">
      <c r="A1269" s="3" t="s">
        <f>=HYPERLINK("https://mp39851918.megaplan.ua/deals/88917/card/","14762")</f>
      </c>
      <c r="B1269" s="3" t="inlineStr">
        <is>
          <t>111-4658149-0467468</t>
        </is>
      </c>
      <c r="C1269" s="3" t="inlineStr">
        <is>
          <t>Autodist</t>
        </is>
      </c>
    </row>
    <row collapsed="false" customFormat="false" customHeight="false" hidden="false" ht="12.1" outlineLevel="0" r="1270">
      <c r="A1270" s="3" t="s">
        <f>=HYPERLINK("https://mp39851918.megaplan.ua/deals/88922/card/","14763")</f>
      </c>
      <c r="B1270" s="3" t="inlineStr">
        <is>
          <t>111-0760196-6778638</t>
        </is>
      </c>
      <c r="C1270" s="3" t="inlineStr">
        <is>
          <t>RockyMountain</t>
        </is>
      </c>
    </row>
    <row collapsed="false" customFormat="false" customHeight="false" hidden="false" ht="12.1" outlineLevel="0" r="1271">
      <c r="A1271" s="3" t="s">
        <f>=HYPERLINK("https://mp39851918.megaplan.ua/deals/88923/card/","14764")</f>
      </c>
      <c r="B1271" s="3" t="inlineStr">
        <is>
          <t>113-3437422-5957868</t>
        </is>
      </c>
      <c r="C1271" s="3" t="inlineStr">
        <is>
          <t>Autodist</t>
        </is>
      </c>
    </row>
    <row collapsed="false" customFormat="false" customHeight="false" hidden="false" ht="12.1" outlineLevel="0" r="1272">
      <c r="A1272" s="3" t="s">
        <f>=HYPERLINK("https://mp39851918.megaplan.ua/deals/88944/card/","14766")</f>
      </c>
      <c r="B1272" s="3" t="inlineStr">
        <is>
          <t>114-5501754-1396218</t>
        </is>
      </c>
      <c r="C1272" s="3" t="inlineStr">
        <is>
          <t>PartsUnlimited</t>
        </is>
      </c>
    </row>
    <row collapsed="false" customFormat="false" customHeight="false" hidden="false" ht="12.1" outlineLevel="0" r="1273">
      <c r="A1273" s="3" t="s">
        <f>=HYPERLINK("https://mp39851918.megaplan.ua/deals/88945/card/","14767")</f>
      </c>
      <c r="B1273" s="3" t="inlineStr">
        <is>
          <t>111-5725087-8996218</t>
        </is>
      </c>
      <c r="C1273" s="3" t="inlineStr">
        <is>
          <t>Autodist</t>
        </is>
      </c>
    </row>
    <row collapsed="false" customFormat="false" customHeight="false" hidden="false" ht="12.1" outlineLevel="0" r="1274">
      <c r="A1274" s="3" t="s">
        <f>=HYPERLINK("https://mp39851918.megaplan.ua/deals/88958/card/","14768")</f>
      </c>
      <c r="B1274" s="3" t="inlineStr">
        <is>
          <t>112-1030423-0790631</t>
        </is>
      </c>
      <c r="C1274" s="3" t="inlineStr">
        <is>
          <t>Autodist</t>
        </is>
      </c>
    </row>
    <row collapsed="false" customFormat="false" customHeight="false" hidden="false" ht="12.1" outlineLevel="0" r="1275">
      <c r="A1275" s="3" t="s">
        <f>=HYPERLINK("https://mp39851918.megaplan.ua/deals/88960/card/","14769")</f>
      </c>
      <c r="B1275" s="3" t="inlineStr">
        <is>
          <t>112-8614842-0000213</t>
        </is>
      </c>
      <c r="C1275" s="3" t="inlineStr">
        <is>
          <t>Autodist</t>
        </is>
      </c>
    </row>
    <row collapsed="false" customFormat="false" customHeight="false" hidden="false" ht="12.1" outlineLevel="0" r="1276">
      <c r="A1276" s="3" t="s">
        <f>=HYPERLINK("https://mp39851918.megaplan.ua/deals/88966/card/","14770")</f>
      </c>
      <c r="B1276" s="3" t="inlineStr">
        <is>
          <t>111-6269413-1529812</t>
        </is>
      </c>
      <c r="C1276" s="3" t="inlineStr">
        <is>
          <t>Autodist</t>
        </is>
      </c>
    </row>
    <row collapsed="false" customFormat="false" customHeight="false" hidden="false" ht="12.1" outlineLevel="0" r="1277">
      <c r="A1277" s="3" t="s">
        <f>=HYPERLINK("https://mp39851918.megaplan.ua/deals/88976/card/","14771")</f>
      </c>
      <c r="B1277" s="3" t="inlineStr">
        <is>
          <t>112-6260823-4297059</t>
        </is>
      </c>
      <c r="C1277" s="3" t="inlineStr">
        <is>
          <t>Autodist</t>
        </is>
      </c>
    </row>
    <row collapsed="false" customFormat="false" customHeight="false" hidden="false" ht="12.1" outlineLevel="0" r="1278">
      <c r="A1278" s="3" t="s">
        <f>=HYPERLINK("https://mp39851918.megaplan.ua/deals/88985/card/","14773")</f>
      </c>
      <c r="B1278" s="3" t="inlineStr">
        <is>
          <t>114-7250448-8068268</t>
        </is>
      </c>
      <c r="C1278" s="3" t="inlineStr">
        <is>
          <t>RockyMountain</t>
        </is>
      </c>
    </row>
    <row collapsed="false" customFormat="false" customHeight="false" hidden="false" ht="12.1" outlineLevel="0" r="1279">
      <c r="A1279" s="3" t="s">
        <f>=HYPERLINK("https://mp39851918.megaplan.ua/deals/88995/card/","14777")</f>
      </c>
      <c r="B1279" s="3" t="inlineStr">
        <is>
          <t>114-4481513-5037821</t>
        </is>
      </c>
      <c r="C1279" s="3" t="inlineStr">
        <is>
          <t>Autodist</t>
        </is>
      </c>
    </row>
    <row collapsed="false" customFormat="false" customHeight="false" hidden="false" ht="12.1" outlineLevel="0" r="1280">
      <c r="A1280" s="3" t="s">
        <f>=HYPERLINK("https://mp39851918.megaplan.ua/deals/88996/card/","14778")</f>
      </c>
      <c r="B1280" s="3" t="inlineStr">
        <is>
          <t>112-9098305-8931434</t>
        </is>
      </c>
      <c r="C1280" s="3" t="inlineStr">
        <is>
          <t>Autodist</t>
        </is>
      </c>
    </row>
    <row collapsed="false" customFormat="false" customHeight="false" hidden="false" ht="12.1" outlineLevel="0" r="1281">
      <c r="A1281" s="3" t="s">
        <f>=HYPERLINK("https://mp39851918.megaplan.ua/deals/89000/card/","14779")</f>
      </c>
      <c r="B1281" s="3" t="inlineStr">
        <is>
          <t>114-9444393-1217028</t>
        </is>
      </c>
      <c r="C1281" s="3" t="inlineStr">
        <is>
          <t>Autodist</t>
        </is>
      </c>
    </row>
    <row collapsed="false" customFormat="false" customHeight="false" hidden="false" ht="12.1" outlineLevel="0" r="1282">
      <c r="A1282" s="3" t="s">
        <f>=HYPERLINK("https://mp39851918.megaplan.ua/deals/89012/card/","14780")</f>
      </c>
      <c r="B1282" s="3" t="inlineStr">
        <is>
          <t>112-5443688-1124247</t>
        </is>
      </c>
      <c r="C1282" s="3" t="inlineStr">
        <is>
          <t>RockyMountain</t>
        </is>
      </c>
    </row>
    <row collapsed="false" customFormat="false" customHeight="false" hidden="false" ht="12.1" outlineLevel="0" r="1283">
      <c r="A1283" s="3" t="s">
        <f>=HYPERLINK("https://mp39851918.megaplan.ua/deals/89013/card/","14781")</f>
      </c>
      <c r="B1283" s="3" t="inlineStr">
        <is>
          <t>113-3152159-0226612</t>
        </is>
      </c>
      <c r="C1283" s="3" t="inlineStr">
        <is>
          <t>RockyMountain</t>
        </is>
      </c>
    </row>
    <row collapsed="false" customFormat="false" customHeight="false" hidden="false" ht="12.1" outlineLevel="0" r="1284">
      <c r="A1284" s="3" t="s">
        <f>=HYPERLINK("https://mp39851918.megaplan.ua/deals/89021/card/","14782")</f>
      </c>
      <c r="B1284" s="3" t="inlineStr">
        <is>
          <t>113-3841449-1081001</t>
        </is>
      </c>
      <c r="C1284" s="3" t="inlineStr">
        <is>
          <t>RockyMountain</t>
        </is>
      </c>
    </row>
    <row collapsed="false" customFormat="false" customHeight="false" hidden="false" ht="12.1" outlineLevel="0" r="1285">
      <c r="A1285" s="3" t="s">
        <f>=HYPERLINK("https://mp39851918.megaplan.ua/deals/89027/card/","14783")</f>
      </c>
      <c r="B1285" s="3" t="inlineStr">
        <is>
          <t>113-0254588-2682653</t>
        </is>
      </c>
      <c r="C1285" s="3" t="inlineStr">
        <is>
          <t>RockyMountain</t>
        </is>
      </c>
    </row>
    <row collapsed="false" customFormat="false" customHeight="false" hidden="false" ht="12.1" outlineLevel="0" r="1286">
      <c r="A1286" s="3" t="s">
        <f>=HYPERLINK("https://mp39851918.megaplan.ua/deals/89034/card/","14784")</f>
      </c>
      <c r="B1286" s="3" t="inlineStr">
        <is>
          <t>114-0852896-8153816</t>
        </is>
      </c>
      <c r="C1286" s="3" t="inlineStr">
        <is>
          <t>RockyMountain</t>
        </is>
      </c>
    </row>
    <row collapsed="false" customFormat="false" customHeight="false" hidden="false" ht="12.1" outlineLevel="0" r="1287">
      <c r="A1287" s="3" t="s">
        <f>=HYPERLINK("https://mp39851918.megaplan.ua/deals/89035/card/","14785")</f>
      </c>
      <c r="B1287" s="3" t="inlineStr">
        <is>
          <t>114-7878323-6060236</t>
        </is>
      </c>
      <c r="C1287" s="3" t="inlineStr">
        <is>
          <t>Autodist</t>
        </is>
      </c>
    </row>
    <row collapsed="false" customFormat="false" customHeight="false" hidden="false" ht="12.1" outlineLevel="0" r="1288">
      <c r="A1288" s="3" t="s">
        <f>=HYPERLINK("https://mp39851918.megaplan.ua/deals/89046/card/","14787")</f>
      </c>
      <c r="B1288" s="3" t="inlineStr">
        <is>
          <t>111-4980574-5475442</t>
        </is>
      </c>
      <c r="C1288" s="3" t="inlineStr">
        <is>
          <t>RockyMountain</t>
        </is>
      </c>
    </row>
    <row collapsed="false" customFormat="false" customHeight="false" hidden="false" ht="12.1" outlineLevel="0" r="1289">
      <c r="A1289" s="3" t="s">
        <f>=HYPERLINK("https://mp39851918.megaplan.ua/deals/89058/card/","14790")</f>
      </c>
      <c r="B1289" s="3" t="inlineStr">
        <is>
          <t>113-1088616-9136226</t>
        </is>
      </c>
      <c r="C1289" s="3" t="inlineStr">
        <is>
          <t>Autodist</t>
        </is>
      </c>
    </row>
    <row collapsed="false" customFormat="false" customHeight="false" hidden="false" ht="12.1" outlineLevel="0" r="1290">
      <c r="A1290" s="3" t="s">
        <f>=HYPERLINK("https://mp39851918.megaplan.ua/deals/89060/card/","14791")</f>
      </c>
      <c r="B1290" s="3" t="inlineStr">
        <is>
          <t>111-5035152-9505020</t>
        </is>
      </c>
      <c r="C1290" s="3" t="inlineStr">
        <is>
          <t>Autodist</t>
        </is>
      </c>
    </row>
    <row collapsed="false" customFormat="false" customHeight="false" hidden="false" ht="12.1" outlineLevel="0" r="1291">
      <c r="A1291" s="3" t="s">
        <f>=HYPERLINK("https://mp39851918.megaplan.ua/deals/89086/card/","14801")</f>
      </c>
      <c r="B1291" s="3" t="inlineStr">
        <is>
          <t>112-2324612-2810661</t>
        </is>
      </c>
      <c r="C1291" s="3" t="inlineStr">
        <is>
          <t>Autodist</t>
        </is>
      </c>
    </row>
    <row collapsed="false" customFormat="false" customHeight="false" hidden="false" ht="12.1" outlineLevel="0" r="1292">
      <c r="A1292" s="3" t="s">
        <f>=HYPERLINK("https://mp39851918.megaplan.ua/deals/89089/card/","14802")</f>
      </c>
      <c r="B1292" s="3" t="inlineStr">
        <is>
          <t>114-9983583-4172204</t>
        </is>
      </c>
      <c r="C1292" s="3" t="inlineStr">
        <is>
          <t>RockyMountain</t>
        </is>
      </c>
    </row>
    <row collapsed="false" customFormat="false" customHeight="false" hidden="false" ht="12.1" outlineLevel="0" r="1293">
      <c r="A1293" s="3" t="s">
        <f>=HYPERLINK("https://mp39851918.megaplan.ua/deals/89093/card/","14803")</f>
      </c>
      <c r="B1293" s="3" t="inlineStr">
        <is>
          <t>112-3419760-6947463</t>
        </is>
      </c>
      <c r="C1293" s="3" t="inlineStr">
        <is>
          <t>RockyMountain</t>
        </is>
      </c>
    </row>
    <row collapsed="false" customFormat="false" customHeight="false" hidden="false" ht="12.1" outlineLevel="0" r="1294">
      <c r="A1294" s="3" t="s">
        <f>=HYPERLINK("https://mp39851918.megaplan.ua/deals/89094/card/","14804")</f>
      </c>
      <c r="B1294" s="3" t="inlineStr">
        <is>
          <t>113-6529528-6549026</t>
        </is>
      </c>
      <c r="C1294" s="3" t="inlineStr">
        <is>
          <t>RockyMountain</t>
        </is>
      </c>
    </row>
    <row collapsed="false" customFormat="false" customHeight="false" hidden="false" ht="12.1" outlineLevel="0" r="1295">
      <c r="A1295" s="3" t="s">
        <f>=HYPERLINK("https://mp39851918.megaplan.ua/deals/89095/card/","14805")</f>
      </c>
      <c r="B1295" s="3" t="inlineStr">
        <is>
          <t>113-7647888-6692262</t>
        </is>
      </c>
      <c r="C1295" s="3" t="inlineStr">
        <is>
          <t>RockyMountain</t>
        </is>
      </c>
    </row>
    <row collapsed="false" customFormat="false" customHeight="false" hidden="false" ht="12.1" outlineLevel="0" r="1296">
      <c r="A1296" s="3" t="s">
        <f>=HYPERLINK("https://mp39851918.megaplan.ua/deals/89097/card/","14806")</f>
      </c>
      <c r="B1296" s="3" t="inlineStr">
        <is>
          <t>114-5463753-3306611</t>
        </is>
      </c>
      <c r="C1296" s="3" t="inlineStr">
        <is>
          <t>PartsUnlimited</t>
        </is>
      </c>
    </row>
    <row collapsed="false" customFormat="false" customHeight="false" hidden="false" ht="12.1" outlineLevel="0" r="1297">
      <c r="A1297" s="3" t="s">
        <f>=HYPERLINK("https://mp39851918.megaplan.ua/deals/89099/card/","14807")</f>
      </c>
      <c r="B1297" s="3" t="inlineStr">
        <is>
          <t>113-0192359-4442616</t>
        </is>
      </c>
      <c r="C1297" s="3" t="inlineStr">
        <is>
          <t>RockyMountain</t>
        </is>
      </c>
    </row>
    <row collapsed="false" customFormat="false" customHeight="false" hidden="false" ht="12.1" outlineLevel="0" r="1298">
      <c r="A1298" s="3" t="s">
        <f>=HYPERLINK("https://mp39851918.megaplan.ua/deals/89106/card/","14808")</f>
      </c>
      <c r="B1298" s="3" t="inlineStr">
        <is>
          <t>111-8535696-4993832</t>
        </is>
      </c>
      <c r="C1298" s="3" t="inlineStr">
        <is>
          <t>RockyMountain</t>
        </is>
      </c>
    </row>
    <row collapsed="false" customFormat="false" customHeight="false" hidden="false" ht="12.1" outlineLevel="0" r="1299">
      <c r="A1299" s="3" t="s">
        <f>=HYPERLINK("https://mp39851918.megaplan.ua/deals/89107/card/","14809")</f>
      </c>
      <c r="B1299" s="3" t="inlineStr">
        <is>
          <t>112-8606820-3685015</t>
        </is>
      </c>
      <c r="C1299" s="3" t="inlineStr">
        <is>
          <t>RockyMountain</t>
        </is>
      </c>
    </row>
    <row collapsed="false" customFormat="false" customHeight="false" hidden="false" ht="12.1" outlineLevel="0" r="1300">
      <c r="A1300" s="3" t="s">
        <f>=HYPERLINK("https://mp39851918.megaplan.ua/deals/89110/card/","14810")</f>
      </c>
      <c r="B1300" s="3" t="inlineStr">
        <is>
          <t>114-3288993-0823409</t>
        </is>
      </c>
      <c r="C1300" s="3" t="inlineStr">
        <is>
          <t>RockyMountain</t>
        </is>
      </c>
    </row>
    <row collapsed="false" customFormat="false" customHeight="false" hidden="false" ht="12.1" outlineLevel="0" r="1301">
      <c r="A1301" s="3" t="s">
        <f>=HYPERLINK("https://mp39851918.megaplan.ua/deals/89113/card/","14811")</f>
      </c>
      <c r="B1301" s="3" t="inlineStr">
        <is>
          <t>112-7136455-1345063</t>
        </is>
      </c>
      <c r="C1301" s="3" t="inlineStr">
        <is>
          <t>RockyMountain</t>
        </is>
      </c>
    </row>
    <row collapsed="false" customFormat="false" customHeight="false" hidden="false" ht="12.1" outlineLevel="0" r="1302">
      <c r="A1302" s="3" t="s">
        <f>=HYPERLINK("https://mp39851918.megaplan.ua/deals/89115/card/","14812")</f>
      </c>
      <c r="B1302" s="3" t="inlineStr">
        <is>
          <t>112-8314825-1512237</t>
        </is>
      </c>
      <c r="C1302" s="3" t="inlineStr">
        <is>
          <t>RockyMountain</t>
        </is>
      </c>
    </row>
    <row collapsed="false" customFormat="false" customHeight="false" hidden="false" ht="12.1" outlineLevel="0" r="1303">
      <c r="A1303" s="3" t="s">
        <f>=HYPERLINK("https://mp39851918.megaplan.ua/deals/89116/card/","14813")</f>
      </c>
      <c r="B1303" s="3" t="inlineStr">
        <is>
          <t>114-8427446-7283421</t>
        </is>
      </c>
      <c r="C1303" s="3" t="inlineStr">
        <is>
          <t>RockyMountain</t>
        </is>
      </c>
    </row>
    <row collapsed="false" customFormat="false" customHeight="false" hidden="false" ht="12.1" outlineLevel="0" r="1304">
      <c r="A1304" s="3" t="s">
        <f>=HYPERLINK("https://mp39851918.megaplan.ua/deals/89118/card/","14814")</f>
      </c>
      <c r="B1304" s="3" t="inlineStr">
        <is>
          <t>113-6262998-8203421</t>
        </is>
      </c>
      <c r="C1304" s="3" t="inlineStr">
        <is>
          <t>Autodist</t>
        </is>
      </c>
    </row>
    <row collapsed="false" customFormat="false" customHeight="false" hidden="false" ht="12.1" outlineLevel="0" r="1305">
      <c r="A1305" s="3" t="s">
        <f>=HYPERLINK("https://mp39851918.megaplan.ua/deals/89119/card/","14815")</f>
      </c>
      <c r="B1305" s="3" t="inlineStr">
        <is>
          <t>113-6986518-9330606</t>
        </is>
      </c>
      <c r="C1305" s="3" t="inlineStr">
        <is>
          <t>RockyMountain</t>
        </is>
      </c>
    </row>
    <row collapsed="false" customFormat="false" customHeight="false" hidden="false" ht="12.1" outlineLevel="0" r="1306">
      <c r="A1306" s="3" t="s">
        <f>=HYPERLINK("https://mp39851918.megaplan.ua/deals/89121/card/","14816")</f>
      </c>
      <c r="B1306" s="3" t="inlineStr">
        <is>
          <t>114-8463775-3037010</t>
        </is>
      </c>
      <c r="C1306" s="3" t="inlineStr">
        <is>
          <t>RockyMountain</t>
        </is>
      </c>
    </row>
    <row collapsed="false" customFormat="false" customHeight="false" hidden="false" ht="12.1" outlineLevel="0" r="1307">
      <c r="A1307" s="3" t="s">
        <f>=HYPERLINK("https://mp39851918.megaplan.ua/deals/89123/card/","14817")</f>
      </c>
      <c r="B1307" s="3" t="inlineStr">
        <is>
          <t>111-7041158-0533022</t>
        </is>
      </c>
      <c r="C1307" s="3" t="inlineStr">
        <is>
          <t>RockyMountain</t>
        </is>
      </c>
    </row>
    <row collapsed="false" customFormat="false" customHeight="false" hidden="false" ht="12.1" outlineLevel="0" r="1308">
      <c r="A1308" s="3" t="s">
        <f>=HYPERLINK("https://mp39851918.megaplan.ua/deals/89124/card/","14818")</f>
      </c>
      <c r="B1308" s="3" t="inlineStr">
        <is>
          <t>114-8218383-8848251</t>
        </is>
      </c>
      <c r="C1308" s="3" t="inlineStr">
        <is>
          <t>PartsUnlimited</t>
        </is>
      </c>
    </row>
    <row collapsed="false" customFormat="false" customHeight="false" hidden="false" ht="12.1" outlineLevel="0" r="1309">
      <c r="A1309" s="3" t="s">
        <f>=HYPERLINK("https://mp39851918.megaplan.ua/deals/89126/card/","14819")</f>
      </c>
      <c r="B1309" s="3" t="inlineStr">
        <is>
          <t>113-9505562-9956233</t>
        </is>
      </c>
      <c r="C1309" s="3" t="inlineStr">
        <is>
          <t>RockyMountain</t>
        </is>
      </c>
    </row>
    <row collapsed="false" customFormat="false" customHeight="false" hidden="false" ht="12.1" outlineLevel="0" r="1310">
      <c r="A1310" s="3" t="s">
        <f>=HYPERLINK("https://mp39851918.megaplan.ua/deals/89131/card/","14820")</f>
      </c>
      <c r="B1310" s="3" t="inlineStr">
        <is>
          <t>113-3466409-8884266</t>
        </is>
      </c>
      <c r="C1310" s="3" t="inlineStr">
        <is>
          <t>PartsUnlimited</t>
        </is>
      </c>
    </row>
    <row collapsed="false" customFormat="false" customHeight="false" hidden="false" ht="12.1" outlineLevel="0" r="1311">
      <c r="A1311" s="3" t="s">
        <f>=HYPERLINK("https://mp39851918.megaplan.ua/deals/89132/card/","14821")</f>
      </c>
      <c r="B1311" s="3" t="inlineStr">
        <is>
          <t>111-7369621-9823413</t>
        </is>
      </c>
      <c r="C1311" s="3" t="inlineStr">
        <is>
          <t>Autodist</t>
        </is>
      </c>
    </row>
    <row collapsed="false" customFormat="false" customHeight="false" hidden="false" ht="12.1" outlineLevel="0" r="1312">
      <c r="A1312" s="3" t="s">
        <f>=HYPERLINK("https://mp39851918.megaplan.ua/deals/89142/card/","14822")</f>
      </c>
      <c r="B1312" s="3" t="inlineStr">
        <is>
          <t>112-3142507-2972204</t>
        </is>
      </c>
      <c r="C1312" s="3" t="inlineStr">
        <is>
          <t>Autodist</t>
        </is>
      </c>
    </row>
    <row collapsed="false" customFormat="false" customHeight="false" hidden="false" ht="12.1" outlineLevel="0" r="1313">
      <c r="A1313" s="3" t="s">
        <f>=HYPERLINK("https://mp39851918.megaplan.ua/deals/89146/card/","14823")</f>
      </c>
      <c r="B1313" s="3" t="inlineStr">
        <is>
          <t>113-2866818-0836239</t>
        </is>
      </c>
      <c r="C1313" s="3" t="inlineStr">
        <is>
          <t>RockyMountain</t>
        </is>
      </c>
    </row>
    <row collapsed="false" customFormat="false" customHeight="false" hidden="false" ht="12.1" outlineLevel="0" r="1314">
      <c r="A1314" s="3" t="s">
        <f>=HYPERLINK("https://mp39851918.megaplan.ua/deals/89244/card/","14826")</f>
      </c>
      <c r="B1314" s="3" t="inlineStr">
        <is>
          <t>113-1988609-0588221</t>
        </is>
      </c>
      <c r="C1314" s="3" t="inlineStr">
        <is>
          <t>PartsUnlimited</t>
        </is>
      </c>
    </row>
    <row collapsed="false" customFormat="false" customHeight="false" hidden="false" ht="12.1" outlineLevel="0" r="1315">
      <c r="A1315" s="3" t="s">
        <f>=HYPERLINK("https://mp39851918.megaplan.ua/deals/89246/card/","14827")</f>
      </c>
      <c r="B1315" s="3" t="inlineStr">
        <is>
          <t>113-5460817-5649006</t>
        </is>
      </c>
      <c r="C1315" s="3" t="inlineStr">
        <is>
          <t>RockyMountain</t>
        </is>
      </c>
    </row>
    <row collapsed="false" customFormat="false" customHeight="false" hidden="false" ht="12.1" outlineLevel="0" r="1316">
      <c r="A1316" s="3" t="s">
        <f>=HYPERLINK("https://mp39851918.megaplan.ua/deals/89247/card/","14828")</f>
      </c>
      <c r="B1316" s="3" t="inlineStr">
        <is>
          <t>114-3442009-2056220</t>
        </is>
      </c>
      <c r="C1316" s="3" t="inlineStr">
        <is>
          <t>RockyMountain</t>
        </is>
      </c>
    </row>
    <row collapsed="false" customFormat="false" customHeight="false" hidden="false" ht="12.1" outlineLevel="0" r="1317">
      <c r="A1317" s="3" t="s">
        <f>=HYPERLINK("https://mp39851918.megaplan.ua/deals/89262/card/","14829")</f>
      </c>
      <c r="B1317" s="3" t="inlineStr">
        <is>
          <t>111-2794179-1795462</t>
        </is>
      </c>
      <c r="C1317" s="3" t="inlineStr">
        <is>
          <t>RockyMountain</t>
        </is>
      </c>
    </row>
    <row collapsed="false" customFormat="false" customHeight="false" hidden="false" ht="12.1" outlineLevel="0" r="1318">
      <c r="A1318" s="3" t="s">
        <f>=HYPERLINK("https://mp39851918.megaplan.ua/deals/89263/card/","14830")</f>
      </c>
      <c r="B1318" s="3" t="inlineStr">
        <is>
          <t>114-8474804-7214648</t>
        </is>
      </c>
      <c r="C1318" s="3" t="inlineStr">
        <is>
          <t>PartsUnlimited</t>
        </is>
      </c>
    </row>
    <row collapsed="false" customFormat="false" customHeight="false" hidden="false" ht="12.1" outlineLevel="0" r="1319">
      <c r="A1319" s="3" t="s">
        <f>=HYPERLINK("https://mp39851918.megaplan.ua/deals/89268/card/","14831")</f>
      </c>
      <c r="B1319" s="3" t="inlineStr">
        <is>
          <t>112-5849888-0128221</t>
        </is>
      </c>
      <c r="C1319" s="3" t="inlineStr">
        <is>
          <t>RockyMountain</t>
        </is>
      </c>
    </row>
    <row collapsed="false" customFormat="false" customHeight="false" hidden="false" ht="12.1" outlineLevel="0" r="1320">
      <c r="A1320" s="3" t="s">
        <f>=HYPERLINK("https://mp39851918.megaplan.ua/deals/89269/card/","14832")</f>
      </c>
      <c r="B1320" s="3" t="inlineStr">
        <is>
          <t>113-0497673-3645824</t>
        </is>
      </c>
      <c r="C1320" s="3" t="inlineStr">
        <is>
          <t>RockyMountain</t>
        </is>
      </c>
    </row>
    <row collapsed="false" customFormat="false" customHeight="false" hidden="false" ht="12.1" outlineLevel="0" r="1321">
      <c r="A1321" s="3" t="s">
        <f>=HYPERLINK("https://mp39851918.megaplan.ua/deals/89271/card/","14833")</f>
      </c>
      <c r="B1321" s="3" t="inlineStr">
        <is>
          <t>111-2115973-6593822</t>
        </is>
      </c>
      <c r="C1321" s="3" t="inlineStr">
        <is>
          <t>RockyMountain</t>
        </is>
      </c>
    </row>
    <row collapsed="false" customFormat="false" customHeight="false" hidden="false" ht="12.1" outlineLevel="0" r="1322">
      <c r="A1322" s="3" t="s">
        <f>=HYPERLINK("https://mp39851918.megaplan.ua/deals/89272/card/","14834")</f>
      </c>
      <c r="B1322" s="3" t="inlineStr">
        <is>
          <t>114-5111103-7817820</t>
        </is>
      </c>
      <c r="C1322" s="3" t="inlineStr">
        <is>
          <t>RockyMountain</t>
        </is>
      </c>
    </row>
    <row collapsed="false" customFormat="false" customHeight="false" hidden="false" ht="12.1" outlineLevel="0" r="1323">
      <c r="A1323" s="3" t="s">
        <f>=HYPERLINK("https://mp39851918.megaplan.ua/deals/89276/card/","14835")</f>
      </c>
      <c r="B1323" s="3" t="inlineStr">
        <is>
          <t>114-9329787-5006630</t>
        </is>
      </c>
      <c r="C1323" s="3" t="inlineStr">
        <is>
          <t>RockyMountain</t>
        </is>
      </c>
    </row>
    <row collapsed="false" customFormat="false" customHeight="false" hidden="false" ht="12.1" outlineLevel="0" r="1324">
      <c r="A1324" s="3" t="s">
        <f>=HYPERLINK("https://mp39851918.megaplan.ua/deals/89298/card/","14836")</f>
      </c>
      <c r="B1324" s="3" t="inlineStr">
        <is>
          <t>111-4622993-6479437</t>
        </is>
      </c>
      <c r="C1324" s="3" t="inlineStr">
        <is>
          <t>RockyMountain</t>
        </is>
      </c>
    </row>
    <row collapsed="false" customFormat="false" customHeight="false" hidden="false" ht="12.1" outlineLevel="0" r="1325">
      <c r="A1325" s="3" t="s">
        <f>=HYPERLINK("https://mp39851918.megaplan.ua/deals/89299/card/","14837")</f>
      </c>
      <c r="B1325" s="3" t="inlineStr">
        <is>
          <t>113-2521788-0221818</t>
        </is>
      </c>
      <c r="C1325" s="3" t="inlineStr">
        <is>
          <t>RockyMountain</t>
        </is>
      </c>
    </row>
    <row collapsed="false" customFormat="false" customHeight="false" hidden="false" ht="12.1" outlineLevel="0" r="1326">
      <c r="A1326" s="3" t="s">
        <f>=HYPERLINK("https://mp39851918.megaplan.ua/deals/89305/card/","14838")</f>
      </c>
      <c r="B1326" s="3" t="inlineStr">
        <is>
          <t>114-6932594-7853016</t>
        </is>
      </c>
      <c r="C1326" s="3" t="inlineStr">
        <is>
          <t>RockyMountain</t>
        </is>
      </c>
    </row>
    <row collapsed="false" customFormat="false" customHeight="false" hidden="false" ht="12.1" outlineLevel="0" r="1327">
      <c r="A1327" s="3" t="s">
        <f>=HYPERLINK("https://mp39851918.megaplan.ua/deals/89332/card/","14840")</f>
      </c>
      <c r="B1327" s="3" t="inlineStr">
        <is>
          <t>113-2130559-4902608</t>
        </is>
      </c>
      <c r="C1327" s="3" t="inlineStr">
        <is>
          <t>RockyMountain</t>
        </is>
      </c>
    </row>
    <row collapsed="false" customFormat="false" customHeight="false" hidden="false" ht="12.1" outlineLevel="0" r="1328">
      <c r="A1328" s="3" t="s">
        <f>=HYPERLINK("https://mp39851918.megaplan.ua/deals/89346/card/","14841")</f>
      </c>
      <c r="B1328" s="3" t="inlineStr">
        <is>
          <t>113-5038957-7477849</t>
        </is>
      </c>
      <c r="C1328" s="3" t="inlineStr">
        <is>
          <t>PartsUnlimited</t>
        </is>
      </c>
    </row>
    <row collapsed="false" customFormat="false" customHeight="false" hidden="false" ht="12.1" outlineLevel="0" r="1329">
      <c r="A1329" s="3" t="s">
        <f>=HYPERLINK("https://mp39851918.megaplan.ua/deals/89347/card/","14842")</f>
      </c>
      <c r="B1329" s="3" t="inlineStr">
        <is>
          <t>112-6770532-6176201</t>
        </is>
      </c>
      <c r="C1329" s="3" t="inlineStr">
        <is>
          <t>RockyMountain</t>
        </is>
      </c>
    </row>
    <row collapsed="false" customFormat="false" customHeight="false" hidden="false" ht="12.1" outlineLevel="0" r="1330">
      <c r="A1330" s="3" t="s">
        <f>=HYPERLINK("https://mp39851918.megaplan.ua/deals/89356/card/","14843")</f>
      </c>
      <c r="B1330" s="3" t="inlineStr">
        <is>
          <t>112-5025140-1720267</t>
        </is>
      </c>
      <c r="C1330" s="3" t="inlineStr">
        <is>
          <t>RockyMountain</t>
        </is>
      </c>
    </row>
    <row collapsed="false" customFormat="false" customHeight="false" hidden="false" ht="12.1" outlineLevel="0" r="1331">
      <c r="A1331" s="3" t="s">
        <f>=HYPERLINK("https://mp39851918.megaplan.ua/deals/89413/card/","14846")</f>
      </c>
      <c r="B1331" s="3" t="inlineStr">
        <is>
          <t>112-1984305-6543456</t>
        </is>
      </c>
      <c r="C1331" s="3" t="inlineStr">
        <is>
          <t>RockyMountain</t>
        </is>
      </c>
    </row>
    <row collapsed="false" customFormat="false" customHeight="false" hidden="false" ht="12.1" outlineLevel="0" r="1332">
      <c r="A1332" s="3" t="s">
        <f>=HYPERLINK("https://mp39851918.megaplan.ua/deals/89414/card/","14847")</f>
      </c>
      <c r="B1332" s="3" t="inlineStr">
        <is>
          <t>112-8101225-7417015</t>
        </is>
      </c>
      <c r="C1332" s="3" t="inlineStr">
        <is>
          <t>PartsUnlimited</t>
        </is>
      </c>
    </row>
    <row collapsed="false" customFormat="false" customHeight="false" hidden="false" ht="12.1" outlineLevel="0" r="1333">
      <c r="A1333" s="3" t="s">
        <f>=HYPERLINK("https://mp39851918.megaplan.ua/deals/89415/card/","14848")</f>
      </c>
      <c r="B1333" s="3" t="inlineStr">
        <is>
          <t>113-0444628-6641808</t>
        </is>
      </c>
      <c r="C1333" s="3" t="inlineStr">
        <is>
          <t>RockyMountain</t>
        </is>
      </c>
    </row>
    <row collapsed="false" customFormat="false" customHeight="false" hidden="false" ht="12.1" outlineLevel="0" r="1334">
      <c r="A1334" s="3" t="s">
        <f>=HYPERLINK("https://mp39851918.megaplan.ua/deals/89427/card/","14849")</f>
      </c>
      <c r="B1334" s="3" t="inlineStr">
        <is>
          <t>111-1887251-1972204</t>
        </is>
      </c>
      <c r="C1334" s="3" t="inlineStr">
        <is>
          <t>RockyMountain</t>
        </is>
      </c>
    </row>
    <row collapsed="false" customFormat="false" customHeight="false" hidden="false" ht="12.1" outlineLevel="0" r="1335">
      <c r="A1335" s="3" t="s">
        <f>=HYPERLINK("https://mp39851918.megaplan.ua/deals/89433/card/","14850")</f>
      </c>
      <c r="B1335" s="3" t="inlineStr">
        <is>
          <t>112-3234463-7998622</t>
        </is>
      </c>
      <c r="C1335" s="3" t="inlineStr">
        <is>
          <t>RockyMountain</t>
        </is>
      </c>
    </row>
    <row collapsed="false" customFormat="false" customHeight="false" hidden="false" ht="12.1" outlineLevel="0" r="1336">
      <c r="A1336" s="3" t="s">
        <f>=HYPERLINK("https://mp39851918.megaplan.ua/deals/89444/card/","14851")</f>
      </c>
      <c r="B1336" s="3" t="inlineStr">
        <is>
          <t>113-3324796-9499432</t>
        </is>
      </c>
      <c r="C1336" s="3" t="inlineStr">
        <is>
          <t>RockyMountain</t>
        </is>
      </c>
    </row>
    <row collapsed="false" customFormat="false" customHeight="false" hidden="false" ht="12.1" outlineLevel="0" r="1337">
      <c r="A1337" s="3" t="s">
        <f>=HYPERLINK("https://mp39851918.megaplan.ua/deals/89449/card/","14852")</f>
      </c>
      <c r="B1337" s="3" t="inlineStr">
        <is>
          <t>113-9777007-5330639</t>
        </is>
      </c>
      <c r="C1337" s="3" t="inlineStr">
        <is>
          <t>RockyMountain</t>
        </is>
      </c>
    </row>
    <row collapsed="false" customFormat="false" customHeight="false" hidden="false" ht="12.1" outlineLevel="0" r="1338">
      <c r="A1338" s="3" t="s">
        <f>=HYPERLINK("https://mp39851918.megaplan.ua/deals/89458/card/","14853")</f>
      </c>
      <c r="B1338" s="3" t="inlineStr">
        <is>
          <t>111-4435806-7225866</t>
        </is>
      </c>
      <c r="C1338" s="3" t="inlineStr">
        <is>
          <t>RockyMountain</t>
        </is>
      </c>
    </row>
    <row collapsed="false" customFormat="false" customHeight="false" hidden="false" ht="12.1" outlineLevel="0" r="1339">
      <c r="A1339" s="3" t="s">
        <f>=HYPERLINK("https://mp39851918.megaplan.ua/deals/89459/card/","14854")</f>
      </c>
      <c r="B1339" s="3" t="inlineStr">
        <is>
          <t>112-8587763-0987468</t>
        </is>
      </c>
      <c r="C1339" s="3" t="inlineStr">
        <is>
          <t>PartsUnlimited</t>
        </is>
      </c>
    </row>
    <row collapsed="false" customFormat="false" customHeight="false" hidden="false" ht="12.1" outlineLevel="0" r="1340">
      <c r="A1340" s="3" t="s">
        <f>=HYPERLINK("https://mp39851918.megaplan.ua/deals/89464/card/","14855")</f>
      </c>
      <c r="B1340" s="3" t="inlineStr">
        <is>
          <t>113-6906264-1374604</t>
        </is>
      </c>
      <c r="C1340" s="3" t="inlineStr">
        <is>
          <t>RockyMountain</t>
        </is>
      </c>
    </row>
    <row collapsed="false" customFormat="false" customHeight="false" hidden="false" ht="12.1" outlineLevel="0" r="1341">
      <c r="A1341" s="3" t="s">
        <f>=HYPERLINK("https://mp39851918.megaplan.ua/deals/89465/card/","14856")</f>
      </c>
      <c r="B1341" s="3" t="inlineStr">
        <is>
          <t>112-4997596-7178608</t>
        </is>
      </c>
      <c r="C1341" s="3" t="inlineStr">
        <is>
          <t>PartsUnlimited</t>
        </is>
      </c>
    </row>
    <row collapsed="false" customFormat="false" customHeight="false" hidden="false" ht="12.1" outlineLevel="0" r="1342">
      <c r="A1342" s="3" t="s">
        <f>=HYPERLINK("https://mp39851918.megaplan.ua/deals/89467/card/","14857")</f>
      </c>
      <c r="B1342" s="3" t="inlineStr">
        <is>
          <t>112-5817253-9385831</t>
        </is>
      </c>
      <c r="C1342" s="3" t="inlineStr">
        <is>
          <t>Autodist</t>
        </is>
      </c>
    </row>
    <row collapsed="false" customFormat="false" customHeight="false" hidden="false" ht="12.1" outlineLevel="0" r="1343">
      <c r="A1343" s="3" t="s">
        <f>=HYPERLINK("https://mp39851918.megaplan.ua/deals/89468/card/","14858")</f>
      </c>
      <c r="B1343" s="3" t="inlineStr">
        <is>
          <t>112-5780723-7519401</t>
        </is>
      </c>
      <c r="C1343" s="3" t="inlineStr">
        <is>
          <t>PartsUnlimited</t>
        </is>
      </c>
    </row>
    <row collapsed="false" customFormat="false" customHeight="false" hidden="false" ht="12.1" outlineLevel="0" r="1344">
      <c r="A1344" s="3" t="s">
        <f>=HYPERLINK("https://mp39851918.megaplan.ua/deals/89470/card/","14860")</f>
      </c>
      <c r="B1344" s="3" t="inlineStr">
        <is>
          <t>114-4333389-8833019</t>
        </is>
      </c>
      <c r="C1344" s="3" t="inlineStr">
        <is>
          <t>PartsUnlimited</t>
        </is>
      </c>
    </row>
    <row collapsed="false" customFormat="false" customHeight="false" hidden="false" ht="12.1" outlineLevel="0" r="1345">
      <c r="A1345" s="3" t="s">
        <f>=HYPERLINK("https://mp39851918.megaplan.ua/deals/89472/card/","14861")</f>
      </c>
      <c r="B1345" s="3" t="inlineStr">
        <is>
          <t>114-4045891-6266631</t>
        </is>
      </c>
      <c r="C1345" s="3" t="inlineStr">
        <is>
          <t>Autodist</t>
        </is>
      </c>
    </row>
    <row collapsed="false" customFormat="false" customHeight="false" hidden="false" ht="12.1" outlineLevel="0" r="1346">
      <c r="A1346" s="3" t="s">
        <f>=HYPERLINK("https://mp39851918.megaplan.ua/deals/89473/card/","14862")</f>
      </c>
      <c r="B1346" s="3" t="inlineStr">
        <is>
          <t>113-7815468-0017054</t>
        </is>
      </c>
      <c r="C1346" s="3" t="inlineStr">
        <is>
          <t>Autodist</t>
        </is>
      </c>
    </row>
    <row collapsed="false" customFormat="false" customHeight="false" hidden="false" ht="12.1" outlineLevel="0" r="1347">
      <c r="A1347" s="3" t="s">
        <f>=HYPERLINK("https://mp39851918.megaplan.ua/deals/89474/card/","14863")</f>
      </c>
      <c r="B1347" s="3" t="inlineStr">
        <is>
          <t>112-2771351-1866644</t>
        </is>
      </c>
      <c r="C1347" s="3" t="inlineStr">
        <is>
          <t>Autodist</t>
        </is>
      </c>
    </row>
    <row collapsed="false" customFormat="false" customHeight="false" hidden="false" ht="12.1" outlineLevel="0" r="1348">
      <c r="A1348" s="3" t="s">
        <f>=HYPERLINK("https://mp39851918.megaplan.ua/deals/89475/card/","14864")</f>
      </c>
      <c r="B1348" s="3" t="inlineStr">
        <is>
          <t>113-2634738-3815409</t>
        </is>
      </c>
      <c r="C1348" s="3" t="inlineStr">
        <is>
          <t>Autodist</t>
        </is>
      </c>
    </row>
    <row collapsed="false" customFormat="false" customHeight="false" hidden="false" ht="12.1" outlineLevel="0" r="1349">
      <c r="A1349" s="3" t="s">
        <f>=HYPERLINK("https://mp39851918.megaplan.ua/deals/89478/card/","14865")</f>
      </c>
      <c r="B1349" s="3" t="inlineStr">
        <is>
          <t>111-3982142-2432232</t>
        </is>
      </c>
      <c r="C1349" s="3" t="inlineStr">
        <is>
          <t>Autodist</t>
        </is>
      </c>
    </row>
    <row collapsed="false" customFormat="false" customHeight="false" hidden="false" ht="12.1" outlineLevel="0" r="1350">
      <c r="A1350" s="3" t="s">
        <f>=HYPERLINK("https://mp39851918.megaplan.ua/deals/89479/card/","14866")</f>
      </c>
      <c r="B1350" s="3" t="inlineStr">
        <is>
          <t>111-1034096-5185025</t>
        </is>
      </c>
      <c r="C1350" s="3" t="inlineStr">
        <is>
          <t>PartsUnlimited</t>
        </is>
      </c>
    </row>
    <row collapsed="false" customFormat="false" customHeight="false" hidden="false" ht="12.1" outlineLevel="0" r="1351">
      <c r="A1351" s="3" t="s">
        <f>=HYPERLINK("https://mp39851918.megaplan.ua/deals/89481/card/","14867")</f>
      </c>
      <c r="B1351" s="3" t="inlineStr">
        <is>
          <t>111-6027038-7171436</t>
        </is>
      </c>
      <c r="C1351" s="3" t="inlineStr">
        <is>
          <t>TuckerRocky</t>
        </is>
      </c>
    </row>
    <row collapsed="false" customFormat="false" customHeight="false" hidden="false" ht="12.1" outlineLevel="0" r="1352">
      <c r="A1352" s="3" t="s">
        <f>=HYPERLINK("https://mp39851918.megaplan.ua/deals/89482/card/","14868")</f>
      </c>
      <c r="B1352" s="3" t="inlineStr">
        <is>
          <t>113-9314771-6046614</t>
        </is>
      </c>
      <c r="C1352" s="3" t="inlineStr">
        <is>
          <t>Autodist</t>
        </is>
      </c>
    </row>
    <row collapsed="false" customFormat="false" customHeight="false" hidden="false" ht="12.1" outlineLevel="0" r="1353">
      <c r="A1353" s="3" t="s">
        <f>=HYPERLINK("https://mp39851918.megaplan.ua/deals/89484/card/","14870")</f>
      </c>
      <c r="B1353" s="3" t="inlineStr">
        <is>
          <t>114-8091374-2286616</t>
        </is>
      </c>
      <c r="C1353" s="3" t="inlineStr">
        <is>
          <t>Autodist</t>
        </is>
      </c>
    </row>
    <row collapsed="false" customFormat="false" customHeight="false" hidden="false" ht="12.1" outlineLevel="0" r="1354">
      <c r="A1354" s="3" t="s">
        <f>=HYPERLINK("https://mp39851918.megaplan.ua/deals/89486/card/","14871")</f>
      </c>
      <c r="B1354" s="3" t="inlineStr">
        <is>
          <t>112-9351714-7405845</t>
        </is>
      </c>
      <c r="C1354" s="3" t="inlineStr">
        <is>
          <t>Autodist</t>
        </is>
      </c>
    </row>
    <row collapsed="false" customFormat="false" customHeight="false" hidden="false" ht="12.1" outlineLevel="0" r="1355">
      <c r="A1355" s="3" t="s">
        <f>=HYPERLINK("https://mp39851918.megaplan.ua/deals/89488/card/","14872")</f>
      </c>
      <c r="B1355" s="3" t="inlineStr">
        <is>
          <t>113-5200790-9652261</t>
        </is>
      </c>
      <c r="C1355" s="3" t="inlineStr">
        <is>
          <t>PartsUnlimited</t>
        </is>
      </c>
    </row>
    <row collapsed="false" customFormat="false" customHeight="false" hidden="false" ht="12.1" outlineLevel="0" r="1356">
      <c r="A1356" s="3" t="s">
        <f>=HYPERLINK("https://mp39851918.megaplan.ua/deals/89490/card/","14874")</f>
      </c>
      <c r="B1356" s="3" t="inlineStr">
        <is>
          <t>111-9086505-8700249</t>
        </is>
      </c>
      <c r="C1356" s="3" t="inlineStr">
        <is>
          <t>Autodist</t>
        </is>
      </c>
    </row>
    <row collapsed="false" customFormat="false" customHeight="false" hidden="false" ht="12.1" outlineLevel="0" r="1357">
      <c r="A1357" s="3" t="s">
        <f>=HYPERLINK("https://mp39851918.megaplan.ua/deals/89491/card/","14875")</f>
      </c>
      <c r="B1357" s="3" t="inlineStr">
        <is>
          <t>111-3899018-7974637</t>
        </is>
      </c>
      <c r="C1357" s="3" t="inlineStr">
        <is>
          <t>Autodist</t>
        </is>
      </c>
    </row>
    <row collapsed="false" customFormat="false" customHeight="false" hidden="false" ht="12.1" outlineLevel="0" r="1358">
      <c r="A1358" s="3" t="s">
        <f>=HYPERLINK("https://mp39851918.megaplan.ua/deals/89492/card/","14876")</f>
      </c>
      <c r="B1358" s="3" t="inlineStr">
        <is>
          <t>114-3308432-8589027</t>
        </is>
      </c>
      <c r="C1358" s="3" t="inlineStr">
        <is>
          <t>Autodist</t>
        </is>
      </c>
    </row>
    <row collapsed="false" customFormat="false" customHeight="false" hidden="false" ht="12.1" outlineLevel="0" r="1359">
      <c r="A1359" s="3" t="s">
        <f>=HYPERLINK("https://mp39851918.megaplan.ua/deals/89494/card/","14877")</f>
      </c>
      <c r="B1359" s="3" t="inlineStr">
        <is>
          <t>114-5666673-5083410</t>
        </is>
      </c>
      <c r="C1359" s="3" t="inlineStr">
        <is>
          <t>PartsUnlimited</t>
        </is>
      </c>
    </row>
    <row collapsed="false" customFormat="false" customHeight="false" hidden="false" ht="12.1" outlineLevel="0" r="1360">
      <c r="A1360" s="3" t="s">
        <f>=HYPERLINK("https://mp39851918.megaplan.ua/deals/89495/card/","14878")</f>
      </c>
      <c r="B1360" s="3" t="inlineStr">
        <is>
          <t>113-2955831-5612255</t>
        </is>
      </c>
      <c r="C1360" s="3" t="inlineStr">
        <is>
          <t>Autodist</t>
        </is>
      </c>
    </row>
    <row collapsed="false" customFormat="false" customHeight="false" hidden="false" ht="12.1" outlineLevel="0" r="1361">
      <c r="A1361" s="3" t="s">
        <f>=HYPERLINK("https://mp39851918.megaplan.ua/deals/89498/card/","14881")</f>
      </c>
      <c r="B1361" s="3" t="inlineStr">
        <is>
          <t>113-0267996-2093009</t>
        </is>
      </c>
      <c r="C1361" s="3" t="inlineStr">
        <is>
          <t>Autodist</t>
        </is>
      </c>
    </row>
    <row collapsed="false" customFormat="false" customHeight="false" hidden="false" ht="12.1" outlineLevel="0" r="1362">
      <c r="A1362" s="3" t="s">
        <f>=HYPERLINK("https://mp39851918.megaplan.ua/deals/89501/card/","14884")</f>
      </c>
      <c r="B1362" s="3" t="inlineStr">
        <is>
          <t>112-2695946-8253851</t>
        </is>
      </c>
      <c r="C1362" s="3" t="inlineStr">
        <is>
          <t>PartsUnlimited</t>
        </is>
      </c>
    </row>
    <row collapsed="false" customFormat="false" customHeight="false" hidden="false" ht="12.1" outlineLevel="0" r="1363">
      <c r="A1363" s="3" t="s">
        <f>=HYPERLINK("https://mp39851918.megaplan.ua/deals/89504/card/","14885")</f>
      </c>
      <c r="B1363" s="3" t="inlineStr">
        <is>
          <t>112-3708547-6726628</t>
        </is>
      </c>
      <c r="C1363" s="3" t="inlineStr">
        <is>
          <t>TuckerRocky</t>
        </is>
      </c>
    </row>
    <row collapsed="false" customFormat="false" customHeight="false" hidden="false" ht="12.1" outlineLevel="0" r="1364">
      <c r="A1364" s="3" t="s">
        <f>=HYPERLINK("https://mp39851918.megaplan.ua/deals/89506/card/","14886")</f>
      </c>
      <c r="B1364" s="3" t="inlineStr">
        <is>
          <t>111-3203381-7437010</t>
        </is>
      </c>
      <c r="C1364" s="3" t="inlineStr">
        <is>
          <t>PartsUnlimited</t>
        </is>
      </c>
    </row>
    <row collapsed="false" customFormat="false" customHeight="false" hidden="false" ht="12.1" outlineLevel="0" r="1365">
      <c r="A1365" s="3" t="s">
        <f>=HYPERLINK("https://mp39851918.megaplan.ua/deals/89507/card/","14887")</f>
      </c>
      <c r="B1365" s="3" t="inlineStr">
        <is>
          <t>111-8012140-2639423</t>
        </is>
      </c>
      <c r="C1365" s="3" t="inlineStr">
        <is>
          <t>RockyMountain</t>
        </is>
      </c>
    </row>
    <row collapsed="false" customFormat="false" customHeight="false" hidden="false" ht="12.1" outlineLevel="0" r="1366">
      <c r="A1366" s="3" t="s">
        <f>=HYPERLINK("https://mp39851918.megaplan.ua/deals/89508/card/","14888")</f>
      </c>
      <c r="B1366" s="3" t="inlineStr">
        <is>
          <t>111-0536223-7329859</t>
        </is>
      </c>
      <c r="C1366" s="3" t="inlineStr">
        <is>
          <t>RockyMountain</t>
        </is>
      </c>
    </row>
    <row collapsed="false" customFormat="false" customHeight="false" hidden="false" ht="12.1" outlineLevel="0" r="1367">
      <c r="A1367" s="3" t="s">
        <f>=HYPERLINK("https://mp39851918.megaplan.ua/deals/89509/card/","14889")</f>
      </c>
      <c r="B1367" s="3" t="inlineStr">
        <is>
          <t>113-2502386-3636229</t>
        </is>
      </c>
      <c r="C1367" s="3" t="inlineStr">
        <is>
          <t>RockyMountain</t>
        </is>
      </c>
    </row>
    <row collapsed="false" customFormat="false" customHeight="false" hidden="false" ht="12.1" outlineLevel="0" r="1368">
      <c r="A1368" s="3" t="s">
        <f>=HYPERLINK("https://mp39851918.megaplan.ua/deals/89510/card/","14890")</f>
      </c>
      <c r="B1368" s="3" t="inlineStr">
        <is>
          <t>112-5600946-9018617</t>
        </is>
      </c>
      <c r="C1368" s="3" t="inlineStr">
        <is>
          <t>RockyMountain</t>
        </is>
      </c>
    </row>
    <row collapsed="false" customFormat="false" customHeight="false" hidden="false" ht="12.1" outlineLevel="0" r="1369">
      <c r="A1369" s="3" t="s">
        <f>=HYPERLINK("https://mp39851918.megaplan.ua/deals/89511/card/","14891")</f>
      </c>
      <c r="B1369" s="3" t="inlineStr">
        <is>
          <t>112-9389749-1117819</t>
        </is>
      </c>
      <c r="C1369" s="3" t="inlineStr">
        <is>
          <t>RockyMountain</t>
        </is>
      </c>
    </row>
    <row collapsed="false" customFormat="false" customHeight="false" hidden="false" ht="12.1" outlineLevel="0" r="1370">
      <c r="A1370" s="3" t="s">
        <f>=HYPERLINK("https://mp39851918.megaplan.ua/deals/89512/card/","14892")</f>
      </c>
      <c r="B1370" s="3" t="inlineStr">
        <is>
          <t>113-4527333-0901027</t>
        </is>
      </c>
      <c r="C1370" s="3" t="inlineStr">
        <is>
          <t>RockyMountain</t>
        </is>
      </c>
    </row>
    <row collapsed="false" customFormat="false" customHeight="false" hidden="false" ht="12.1" outlineLevel="0" r="1371">
      <c r="A1371" s="3" t="s">
        <f>=HYPERLINK("https://mp39851918.megaplan.ua/deals/89513/card/","14893")</f>
      </c>
      <c r="B1371" s="3" t="inlineStr">
        <is>
          <t>111-6536996-7280267</t>
        </is>
      </c>
      <c r="C1371" s="3" t="inlineStr">
        <is>
          <t>TuckerRocky</t>
        </is>
      </c>
    </row>
    <row collapsed="false" customFormat="false" customHeight="false" hidden="false" ht="12.1" outlineLevel="0" r="1372">
      <c r="A1372" s="3" t="s">
        <f>=HYPERLINK("https://mp39851918.megaplan.ua/deals/89514/card/","14894")</f>
      </c>
      <c r="B1372" s="3" t="inlineStr">
        <is>
          <t>112-6957710-8885820</t>
        </is>
      </c>
      <c r="C1372" s="3" t="inlineStr">
        <is>
          <t>RockyMountain</t>
        </is>
      </c>
    </row>
    <row collapsed="false" customFormat="false" customHeight="false" hidden="false" ht="12.1" outlineLevel="0" r="1373">
      <c r="A1373" s="3" t="s">
        <f>=HYPERLINK("https://mp39851918.megaplan.ua/deals/89515/card/","14895")</f>
      </c>
      <c r="B1373" s="3" t="inlineStr">
        <is>
          <t>112-8471685-6744206</t>
        </is>
      </c>
      <c r="C1373" s="3" t="inlineStr">
        <is>
          <t>RockyMountain</t>
        </is>
      </c>
    </row>
    <row collapsed="false" customFormat="false" customHeight="false" hidden="false" ht="12.1" outlineLevel="0" r="1374">
      <c r="A1374" s="3" t="s">
        <f>=HYPERLINK("https://mp39851918.megaplan.ua/deals/89516/card/","14896")</f>
      </c>
      <c r="B1374" s="3" t="inlineStr">
        <is>
          <t>112-2380636-5880218</t>
        </is>
      </c>
      <c r="C1374" s="3" t="inlineStr">
        <is>
          <t>RockyMountain</t>
        </is>
      </c>
    </row>
    <row collapsed="false" customFormat="false" customHeight="false" hidden="false" ht="12.1" outlineLevel="0" r="1375">
      <c r="A1375" s="3" t="s">
        <f>=HYPERLINK("https://mp39851918.megaplan.ua/deals/89527/card/","14897")</f>
      </c>
      <c r="B1375" s="3" t="inlineStr">
        <is>
          <t>113-9820537-1792237</t>
        </is>
      </c>
      <c r="C1375" s="3" t="inlineStr">
        <is>
          <t>RockyMountain</t>
        </is>
      </c>
    </row>
    <row collapsed="false" customFormat="false" customHeight="false" hidden="false" ht="12.1" outlineLevel="0" r="1376">
      <c r="A1376" s="3" t="s">
        <f>=HYPERLINK("https://mp39851918.megaplan.ua/deals/89536/card/","14899")</f>
      </c>
      <c r="B1376" s="3" t="inlineStr">
        <is>
          <t>114-0617827-4457806</t>
        </is>
      </c>
      <c r="C1376" s="3" t="inlineStr">
        <is>
          <t>RockyMountain</t>
        </is>
      </c>
    </row>
    <row collapsed="false" customFormat="false" customHeight="false" hidden="false" ht="12.1" outlineLevel="0" r="1377">
      <c r="A1377" s="3" t="s">
        <f>=HYPERLINK("https://mp39851918.megaplan.ua/deals/89543/card/","14900")</f>
      </c>
      <c r="B1377" s="3" t="inlineStr">
        <is>
          <t>113-1420294-9999440</t>
        </is>
      </c>
      <c r="C1377" s="3" t="inlineStr">
        <is>
          <t>RockyMountain</t>
        </is>
      </c>
    </row>
    <row collapsed="false" customFormat="false" customHeight="false" hidden="false" ht="12.1" outlineLevel="0" r="1378">
      <c r="A1378" s="3" t="s">
        <f>=HYPERLINK("https://mp39851918.megaplan.ua/deals/89548/card/","14901")</f>
      </c>
      <c r="B1378" s="3" t="inlineStr">
        <is>
          <t>112-8171404-6094600</t>
        </is>
      </c>
      <c r="C1378" s="3" t="inlineStr">
        <is>
          <t>RockyMountain</t>
        </is>
      </c>
    </row>
    <row collapsed="false" customFormat="false" customHeight="false" hidden="false" ht="12.1" outlineLevel="0" r="1379">
      <c r="A1379" s="3" t="s">
        <f>=HYPERLINK("https://mp39851918.megaplan.ua/deals/89550/card/","14902")</f>
      </c>
      <c r="B1379" s="3" t="inlineStr">
        <is>
          <t>111-2086672-6593013</t>
        </is>
      </c>
      <c r="C1379" s="3" t="inlineStr">
        <is>
          <t>RockyMountain</t>
        </is>
      </c>
    </row>
    <row collapsed="false" customFormat="false" customHeight="false" hidden="false" ht="12.1" outlineLevel="0" r="1380">
      <c r="A1380" s="3" t="s">
        <f>=HYPERLINK("https://mp39851918.megaplan.ua/deals/89552/card/","14903")</f>
      </c>
      <c r="B1380" s="3" t="inlineStr">
        <is>
          <t>114-5059135-6286605</t>
        </is>
      </c>
      <c r="C1380" s="3" t="inlineStr">
        <is>
          <t>RockyMountain</t>
        </is>
      </c>
    </row>
    <row collapsed="false" customFormat="false" customHeight="false" hidden="false" ht="12.1" outlineLevel="0" r="1381">
      <c r="A1381" s="3" t="s">
        <f>=HYPERLINK("https://mp39851918.megaplan.ua/deals/89563/card/","14904")</f>
      </c>
      <c r="B1381" s="3" t="inlineStr">
        <is>
          <t>114-1132367-3246648</t>
        </is>
      </c>
      <c r="C1381" s="3" t="inlineStr">
        <is>
          <t>PartsUnlimited</t>
        </is>
      </c>
    </row>
    <row collapsed="false" customFormat="false" customHeight="false" hidden="false" ht="12.1" outlineLevel="0" r="1382">
      <c r="A1382" s="3" t="s">
        <f>=HYPERLINK("https://mp39851918.megaplan.ua/deals/89591/card/","14906")</f>
      </c>
      <c r="B1382" s="3" t="inlineStr">
        <is>
          <t>114-1885647-3413808</t>
        </is>
      </c>
      <c r="C1382" s="3" t="inlineStr">
        <is>
          <t>PartsUnlimited</t>
        </is>
      </c>
    </row>
    <row collapsed="false" customFormat="false" customHeight="false" hidden="false" ht="12.1" outlineLevel="0" r="1383">
      <c r="A1383" s="3" t="s">
        <f>=HYPERLINK("https://mp39851918.megaplan.ua/deals/89592/card/","14907")</f>
      </c>
      <c r="B1383" s="3" t="inlineStr">
        <is>
          <t>111-1801180-1812246</t>
        </is>
      </c>
      <c r="C1383" s="3" t="inlineStr">
        <is>
          <t>RockyMountain</t>
        </is>
      </c>
    </row>
    <row collapsed="false" customFormat="false" customHeight="false" hidden="false" ht="12.1" outlineLevel="0" r="1384">
      <c r="A1384" s="3" t="s">
        <f>=HYPERLINK("https://mp39851918.megaplan.ua/deals/89594/card/","14908")</f>
      </c>
      <c r="B1384" s="3" t="inlineStr">
        <is>
          <t>112-0059958-4805002</t>
        </is>
      </c>
      <c r="C1384" s="3" t="inlineStr">
        <is>
          <t>RockyMountain</t>
        </is>
      </c>
    </row>
    <row collapsed="false" customFormat="false" customHeight="false" hidden="false" ht="12.1" outlineLevel="0" r="1385">
      <c r="A1385" s="3" t="s">
        <f>=HYPERLINK("https://mp39851918.megaplan.ua/deals/89620/card/","14910")</f>
      </c>
      <c r="B1385" s="3" t="inlineStr">
        <is>
          <t>114-0139734-7281800</t>
        </is>
      </c>
      <c r="C1385" s="3" t="inlineStr">
        <is>
          <t>PartsUnlimited</t>
        </is>
      </c>
    </row>
    <row collapsed="false" customFormat="false" customHeight="false" hidden="false" ht="12.1" outlineLevel="0" r="1386">
      <c r="A1386" s="3" t="s">
        <f>=HYPERLINK("https://mp39851918.megaplan.ua/deals/89633/card/","14911")</f>
      </c>
      <c r="B1386" s="3" t="inlineStr">
        <is>
          <t>112-2568393-6429050</t>
        </is>
      </c>
      <c r="C1386" s="3" t="inlineStr">
        <is>
          <t>RockyMountain</t>
        </is>
      </c>
    </row>
    <row collapsed="false" customFormat="false" customHeight="false" hidden="false" ht="12.1" outlineLevel="0" r="1387">
      <c r="A1387" s="3" t="s">
        <f>=HYPERLINK("https://mp39851918.megaplan.ua/deals/89649/card/","14912")</f>
      </c>
      <c r="B1387" s="3" t="inlineStr">
        <is>
          <t>111-1090203-1881018</t>
        </is>
      </c>
      <c r="C1387" s="3" t="inlineStr">
        <is>
          <t>RockyMountain</t>
        </is>
      </c>
    </row>
    <row collapsed="false" customFormat="false" customHeight="false" hidden="false" ht="12.1" outlineLevel="0" r="1388">
      <c r="A1388" s="3" t="s">
        <f>=HYPERLINK("https://mp39851918.megaplan.ua/deals/89655/card/","14913")</f>
      </c>
      <c r="B1388" s="3" t="inlineStr">
        <is>
          <t>111-9455353-8950650</t>
        </is>
      </c>
      <c r="C1388" s="3" t="inlineStr">
        <is>
          <t>RockyMountain</t>
        </is>
      </c>
    </row>
    <row collapsed="false" customFormat="false" customHeight="false" hidden="false" ht="12.1" outlineLevel="0" r="1389">
      <c r="A1389" s="3" t="s">
        <f>=HYPERLINK("https://mp39851918.megaplan.ua/deals/89681/card/","14914")</f>
      </c>
      <c r="B1389" s="3" t="inlineStr">
        <is>
          <t>113-6276293-6817061</t>
        </is>
      </c>
      <c r="C1389" s="3" t="inlineStr">
        <is>
          <t>PartsUnlimited</t>
        </is>
      </c>
    </row>
    <row collapsed="false" customFormat="false" customHeight="false" hidden="false" ht="12.1" outlineLevel="0" r="1390">
      <c r="A1390" s="3" t="s">
        <f>=HYPERLINK("https://mp39851918.megaplan.ua/deals/89682/card/","14915")</f>
      </c>
      <c r="B1390" s="3" t="inlineStr">
        <is>
          <t>114-7776812-5093816</t>
        </is>
      </c>
      <c r="C1390" s="3" t="inlineStr">
        <is>
          <t>RockyMountain</t>
        </is>
      </c>
    </row>
    <row collapsed="false" customFormat="false" customHeight="false" hidden="false" ht="12.1" outlineLevel="0" r="1391">
      <c r="A1391" s="3" t="s">
        <f>=HYPERLINK("https://mp39851918.megaplan.ua/deals/89683/card/","14916")</f>
      </c>
      <c r="B1391" s="3" t="inlineStr">
        <is>
          <t>111-5543927-2756230</t>
        </is>
      </c>
      <c r="C1391" s="3" t="inlineStr">
        <is>
          <t>RockyMountain</t>
        </is>
      </c>
    </row>
    <row collapsed="false" customFormat="false" customHeight="false" hidden="false" ht="12.1" outlineLevel="0" r="1392">
      <c r="A1392" s="3" t="s">
        <f>=HYPERLINK("https://mp39851918.megaplan.ua/deals/89744/card/","14918")</f>
      </c>
      <c r="B1392" s="3" t="inlineStr">
        <is>
          <t>114-1755847-4504261</t>
        </is>
      </c>
      <c r="C1392" s="3" t="inlineStr">
        <is>
          <t>RockyMountain</t>
        </is>
      </c>
    </row>
    <row collapsed="false" customFormat="false" customHeight="false" hidden="false" ht="12.1" outlineLevel="0" r="1393">
      <c r="A1393" s="3" t="s">
        <f>=HYPERLINK("https://mp39851918.megaplan.ua/deals/89751/card/","14919")</f>
      </c>
      <c r="B1393" s="3" t="inlineStr">
        <is>
          <t>114-8515344-5085005</t>
        </is>
      </c>
      <c r="C1393" s="3" t="inlineStr">
        <is>
          <t>RockyMountain</t>
        </is>
      </c>
    </row>
    <row collapsed="false" customFormat="false" customHeight="false" hidden="false" ht="12.1" outlineLevel="0" r="1394">
      <c r="A1394" s="3" t="s">
        <f>=HYPERLINK("https://mp39851918.megaplan.ua/deals/89765/card/","14921")</f>
      </c>
      <c r="B1394" s="3" t="inlineStr">
        <is>
          <t>111-6964315-2562650</t>
        </is>
      </c>
      <c r="C1394" s="3" t="inlineStr">
        <is>
          <t>RockyMountain</t>
        </is>
      </c>
    </row>
    <row collapsed="false" customFormat="false" customHeight="false" hidden="false" ht="12.1" outlineLevel="0" r="1395">
      <c r="A1395" s="3" t="s">
        <f>=HYPERLINK("https://mp39851918.megaplan.ua/deals/89769/card/","14922")</f>
      </c>
      <c r="B1395" s="3" t="inlineStr">
        <is>
          <t>111-1092314-5388233</t>
        </is>
      </c>
      <c r="C1395" s="3" t="inlineStr">
        <is>
          <t>RockyMountain</t>
        </is>
      </c>
    </row>
    <row collapsed="false" customFormat="false" customHeight="false" hidden="false" ht="12.1" outlineLevel="0" r="1396">
      <c r="A1396" s="3" t="s">
        <f>=HYPERLINK("https://mp39851918.megaplan.ua/deals/89772/card/","14923")</f>
      </c>
      <c r="B1396" s="3" t="inlineStr">
        <is>
          <t>111-5484596-3133866</t>
        </is>
      </c>
      <c r="C1396" s="3" t="inlineStr">
        <is>
          <t>RockyMountain</t>
        </is>
      </c>
    </row>
    <row collapsed="false" customFormat="false" customHeight="false" hidden="false" ht="12.1" outlineLevel="0" r="1397">
      <c r="A1397" s="3" t="s">
        <f>=HYPERLINK("https://mp39851918.megaplan.ua/deals/89773/card/","14924")</f>
      </c>
      <c r="B1397" s="3" t="inlineStr">
        <is>
          <t>112-0413844-6566600</t>
        </is>
      </c>
      <c r="C1397" s="3" t="inlineStr">
        <is>
          <t>RockyMountain</t>
        </is>
      </c>
    </row>
    <row collapsed="false" customFormat="false" customHeight="false" hidden="false" ht="12.1" outlineLevel="0" r="1398">
      <c r="A1398" s="3" t="s">
        <f>=HYPERLINK("https://mp39851918.megaplan.ua/deals/89775/card/","14925")</f>
      </c>
      <c r="B1398" s="3" t="inlineStr">
        <is>
          <t>112-2055397-4773017</t>
        </is>
      </c>
      <c r="C1398" s="3" t="inlineStr">
        <is>
          <t>RockyMountain</t>
        </is>
      </c>
    </row>
    <row collapsed="false" customFormat="false" customHeight="false" hidden="false" ht="12.1" outlineLevel="0" r="1399">
      <c r="A1399" s="3" t="s">
        <f>=HYPERLINK("https://mp39851918.megaplan.ua/deals/89777/card/","14926")</f>
      </c>
      <c r="B1399" s="3" t="inlineStr">
        <is>
          <t>114-4769318-5616242</t>
        </is>
      </c>
      <c r="C1399" s="3" t="inlineStr">
        <is>
          <t>RockyMountain</t>
        </is>
      </c>
    </row>
    <row collapsed="false" customFormat="false" customHeight="false" hidden="false" ht="12.1" outlineLevel="0" r="1400">
      <c r="A1400" s="3" t="s">
        <f>=HYPERLINK("https://mp39851918.megaplan.ua/deals/89783/card/","14927")</f>
      </c>
      <c r="B1400" s="3" t="inlineStr">
        <is>
          <t>112-1704251-8786634</t>
        </is>
      </c>
      <c r="C1400" s="3" t="inlineStr">
        <is>
          <t>RockyMountain</t>
        </is>
      </c>
    </row>
    <row collapsed="false" customFormat="false" customHeight="false" hidden="false" ht="12.1" outlineLevel="0" r="1401">
      <c r="A1401" s="3" t="s">
        <f>=HYPERLINK("https://mp39851918.megaplan.ua/deals/89785/card/","14928")</f>
      </c>
      <c r="B1401" s="3" t="inlineStr">
        <is>
          <t>113-9619046-7609054</t>
        </is>
      </c>
      <c r="C1401" s="3" t="inlineStr">
        <is>
          <t>RockyMountain</t>
        </is>
      </c>
    </row>
    <row collapsed="false" customFormat="false" customHeight="false" hidden="false" ht="12.1" outlineLevel="0" r="1402">
      <c r="A1402" s="3" t="s">
        <f>=HYPERLINK("https://mp39851918.megaplan.ua/deals/89787/card/","14929")</f>
      </c>
      <c r="B1402" s="3" t="inlineStr">
        <is>
          <t>113-2264781-4495413</t>
        </is>
      </c>
      <c r="C1402" s="3" t="inlineStr">
        <is>
          <t>Autodist</t>
        </is>
      </c>
    </row>
    <row collapsed="false" customFormat="false" customHeight="false" hidden="false" ht="12.1" outlineLevel="0" r="1403">
      <c r="A1403" s="3" t="s">
        <f>=HYPERLINK("https://mp39851918.megaplan.ua/deals/89788/card/","14930")</f>
      </c>
      <c r="B1403" s="3" t="inlineStr">
        <is>
          <t>113-2182467-0915434</t>
        </is>
      </c>
      <c r="C1403" s="3" t="inlineStr">
        <is>
          <t>Autodist</t>
        </is>
      </c>
    </row>
    <row collapsed="false" customFormat="false" customHeight="false" hidden="false" ht="12.1" outlineLevel="0" r="1404">
      <c r="A1404" s="3" t="s">
        <f>=HYPERLINK("https://mp39851918.megaplan.ua/deals/89789/card/","14931")</f>
      </c>
      <c r="B1404" s="3" t="inlineStr">
        <is>
          <t>112-7163947-9212218</t>
        </is>
      </c>
      <c r="C1404" s="3" t="inlineStr">
        <is>
          <t>Autodist</t>
        </is>
      </c>
    </row>
    <row collapsed="false" customFormat="false" customHeight="false" hidden="false" ht="12.1" outlineLevel="0" r="1405">
      <c r="A1405" s="3" t="s">
        <f>=HYPERLINK("https://mp39851918.megaplan.ua/deals/89790/card/","14932")</f>
      </c>
      <c r="B1405" s="3" t="inlineStr">
        <is>
          <t>113-7208575-2675410</t>
        </is>
      </c>
      <c r="C1405" s="3" t="inlineStr">
        <is>
          <t>Autodist</t>
        </is>
      </c>
    </row>
    <row collapsed="false" customFormat="false" customHeight="false" hidden="false" ht="12.1" outlineLevel="0" r="1406">
      <c r="A1406" s="3" t="s">
        <f>=HYPERLINK("https://mp39851918.megaplan.ua/deals/89791/card/","14933")</f>
      </c>
      <c r="B1406" s="3" t="inlineStr">
        <is>
          <t>114-5710587-9218663</t>
        </is>
      </c>
      <c r="C1406" s="3" t="inlineStr">
        <is>
          <t>Autodist</t>
        </is>
      </c>
    </row>
    <row collapsed="false" customFormat="false" customHeight="false" hidden="false" ht="12.1" outlineLevel="0" r="1407">
      <c r="A1407" s="3" t="s">
        <f>=HYPERLINK("https://mp39851918.megaplan.ua/deals/89792/card/","14934")</f>
      </c>
      <c r="B1407" s="3" t="inlineStr">
        <is>
          <t>113-4985137-9162620</t>
        </is>
      </c>
      <c r="C1407" s="3" t="inlineStr">
        <is>
          <t>RockyMountain</t>
        </is>
      </c>
    </row>
    <row collapsed="false" customFormat="false" customHeight="false" hidden="false" ht="12.1" outlineLevel="0" r="1408">
      <c r="A1408" s="3" t="s">
        <f>=HYPERLINK("https://mp39851918.megaplan.ua/deals/89793/card/","14935")</f>
      </c>
      <c r="B1408" s="3" t="inlineStr">
        <is>
          <t>112-7542608-4267447</t>
        </is>
      </c>
      <c r="C1408" s="3" t="inlineStr">
        <is>
          <t>Autodist</t>
        </is>
      </c>
    </row>
    <row collapsed="false" customFormat="false" customHeight="false" hidden="false" ht="12.1" outlineLevel="0" r="1409">
      <c r="A1409" s="3" t="s">
        <f>=HYPERLINK("https://mp39851918.megaplan.ua/deals/89794/card/","14936")</f>
      </c>
      <c r="B1409" s="3" t="inlineStr">
        <is>
          <t>111-8690523-4279426</t>
        </is>
      </c>
      <c r="C1409" s="3" t="inlineStr">
        <is>
          <t>Autodist</t>
        </is>
      </c>
    </row>
    <row collapsed="false" customFormat="false" customHeight="false" hidden="false" ht="12.1" outlineLevel="0" r="1410">
      <c r="A1410" s="3" t="s">
        <f>=HYPERLINK("https://mp39851918.megaplan.ua/deals/89795/card/","14937")</f>
      </c>
      <c r="B1410" s="3" t="inlineStr">
        <is>
          <t>113-8505254-3145002</t>
        </is>
      </c>
      <c r="C1410" s="3" t="inlineStr">
        <is>
          <t>Autodist</t>
        </is>
      </c>
    </row>
    <row collapsed="false" customFormat="false" customHeight="false" hidden="false" ht="12.1" outlineLevel="0" r="1411">
      <c r="A1411" s="3" t="s">
        <f>=HYPERLINK("https://mp39851918.megaplan.ua/deals/89796/card/","14938")</f>
      </c>
      <c r="B1411" s="3" t="inlineStr">
        <is>
          <t>112-6816044-8834622</t>
        </is>
      </c>
      <c r="C1411" s="3" t="inlineStr">
        <is>
          <t>Autodist</t>
        </is>
      </c>
    </row>
    <row collapsed="false" customFormat="false" customHeight="false" hidden="false" ht="12.1" outlineLevel="0" r="1412">
      <c r="A1412" s="3" t="s">
        <f>=HYPERLINK("https://mp39851918.megaplan.ua/deals/89797/card/","14939")</f>
      </c>
      <c r="B1412" s="3" t="inlineStr">
        <is>
          <t>111-0815320-9451408</t>
        </is>
      </c>
      <c r="C1412" s="3" t="inlineStr">
        <is>
          <t>Autodist</t>
        </is>
      </c>
    </row>
    <row collapsed="false" customFormat="false" customHeight="false" hidden="false" ht="12.1" outlineLevel="0" r="1413">
      <c r="A1413" s="3" t="s">
        <f>=HYPERLINK("https://mp39851918.megaplan.ua/deals/89798/card/","14940")</f>
      </c>
      <c r="B1413" s="3" t="inlineStr">
        <is>
          <t>111-8777689-2375423</t>
        </is>
      </c>
      <c r="C1413" s="3" t="inlineStr">
        <is>
          <t>Autodist</t>
        </is>
      </c>
    </row>
    <row collapsed="false" customFormat="false" customHeight="false" hidden="false" ht="12.1" outlineLevel="0" r="1414">
      <c r="A1414" s="3" t="s">
        <f>=HYPERLINK("https://mp39851918.megaplan.ua/deals/89799/card/","14941")</f>
      </c>
      <c r="B1414" s="3" t="inlineStr">
        <is>
          <t>111-9080665-6766659</t>
        </is>
      </c>
      <c r="C1414" s="3" t="inlineStr">
        <is>
          <t>Autodist</t>
        </is>
      </c>
    </row>
    <row collapsed="false" customFormat="false" customHeight="false" hidden="false" ht="12.1" outlineLevel="0" r="1415">
      <c r="A1415" s="3" t="s">
        <f>=HYPERLINK("https://mp39851918.megaplan.ua/deals/89800/card/","14942")</f>
      </c>
      <c r="B1415" s="3" t="inlineStr">
        <is>
          <t>113-9717108-9977814</t>
        </is>
      </c>
      <c r="C1415" s="3" t="inlineStr">
        <is>
          <t>Autodist</t>
        </is>
      </c>
    </row>
    <row collapsed="false" customFormat="false" customHeight="false" hidden="false" ht="12.1" outlineLevel="0" r="1416">
      <c r="A1416" s="3" t="s">
        <f>=HYPERLINK("https://mp39851918.megaplan.ua/deals/89801/card/","14943")</f>
      </c>
      <c r="B1416" s="3" t="inlineStr">
        <is>
          <t>111-1281268-6722616</t>
        </is>
      </c>
      <c r="C1416" s="3" t="inlineStr">
        <is>
          <t>Autodist</t>
        </is>
      </c>
    </row>
    <row collapsed="false" customFormat="false" customHeight="false" hidden="false" ht="12.1" outlineLevel="0" r="1417">
      <c r="A1417" s="3" t="s">
        <f>=HYPERLINK("https://mp39851918.megaplan.ua/deals/89802/card/","14944")</f>
      </c>
      <c r="B1417" s="3" t="inlineStr">
        <is>
          <t>111-1245206-1558635</t>
        </is>
      </c>
      <c r="C1417" s="3" t="inlineStr">
        <is>
          <t>Autodist</t>
        </is>
      </c>
    </row>
    <row collapsed="false" customFormat="false" customHeight="false" hidden="false" ht="12.1" outlineLevel="0" r="1418">
      <c r="A1418" s="3" t="s">
        <f>=HYPERLINK("https://mp39851918.megaplan.ua/deals/89803/card/","14945")</f>
      </c>
      <c r="B1418" s="3" t="inlineStr">
        <is>
          <t>114-6691499-3173037</t>
        </is>
      </c>
      <c r="C1418" s="3" t="inlineStr">
        <is>
          <t>Autodist</t>
        </is>
      </c>
    </row>
    <row collapsed="false" customFormat="false" customHeight="false" hidden="false" ht="12.1" outlineLevel="0" r="1419">
      <c r="A1419" s="3" t="s">
        <f>=HYPERLINK("https://mp39851918.megaplan.ua/deals/89804/card/","14946")</f>
      </c>
      <c r="B1419" s="3" t="inlineStr">
        <is>
          <t>113-3384347-4924268</t>
        </is>
      </c>
      <c r="C1419" s="3" t="inlineStr">
        <is>
          <t>Autodist</t>
        </is>
      </c>
    </row>
    <row collapsed="false" customFormat="false" customHeight="false" hidden="false" ht="12.1" outlineLevel="0" r="1420">
      <c r="A1420" s="3" t="s">
        <f>=HYPERLINK("https://mp39851918.megaplan.ua/deals/89805/card/","14947")</f>
      </c>
      <c r="B1420" s="3" t="inlineStr">
        <is>
          <t>111-9621579-7180218</t>
        </is>
      </c>
      <c r="C1420" s="3" t="inlineStr">
        <is>
          <t>Autodist</t>
        </is>
      </c>
    </row>
    <row collapsed="false" customFormat="false" customHeight="false" hidden="false" ht="12.1" outlineLevel="0" r="1421">
      <c r="A1421" s="3" t="s">
        <f>=HYPERLINK("https://mp39851918.megaplan.ua/deals/89806/card/","14948")</f>
      </c>
      <c r="B1421" s="3" t="inlineStr">
        <is>
          <t>112-5358236-5005867</t>
        </is>
      </c>
      <c r="C1421" s="3" t="inlineStr">
        <is>
          <t>Autodist</t>
        </is>
      </c>
    </row>
    <row collapsed="false" customFormat="false" customHeight="false" hidden="false" ht="12.1" outlineLevel="0" r="1422">
      <c r="A1422" s="3" t="s">
        <f>=HYPERLINK("https://mp39851918.megaplan.ua/deals/89807/card/","14949")</f>
      </c>
      <c r="B1422" s="3" t="inlineStr">
        <is>
          <t>111-5570130-4657054</t>
        </is>
      </c>
      <c r="C1422" s="3" t="inlineStr">
        <is>
          <t>RockyMountain</t>
        </is>
      </c>
    </row>
    <row collapsed="false" customFormat="false" customHeight="false" hidden="false" ht="12.1" outlineLevel="0" r="1423">
      <c r="A1423" s="3" t="s">
        <f>=HYPERLINK("https://mp39851918.megaplan.ua/deals/89808/card/","14950")</f>
      </c>
      <c r="B1423" s="3" t="inlineStr">
        <is>
          <t>114-6306256-0216231</t>
        </is>
      </c>
      <c r="C1423" s="3" t="inlineStr">
        <is>
          <t>Autodist</t>
        </is>
      </c>
    </row>
    <row collapsed="false" customFormat="false" customHeight="false" hidden="false" ht="12.1" outlineLevel="0" r="1424">
      <c r="A1424" s="3" t="s">
        <f>=HYPERLINK("https://mp39851918.megaplan.ua/deals/89811/card/","14951")</f>
      </c>
      <c r="B1424" s="3" t="inlineStr">
        <is>
          <t>111-7784436-0505812</t>
        </is>
      </c>
      <c r="C1424" s="3" t="inlineStr">
        <is>
          <t>RockyMountain</t>
        </is>
      </c>
    </row>
    <row collapsed="false" customFormat="false" customHeight="false" hidden="false" ht="12.1" outlineLevel="0" r="1425">
      <c r="A1425" s="3" t="s">
        <f>=HYPERLINK("https://mp39851918.megaplan.ua/deals/89824/card/","14952")</f>
      </c>
      <c r="B1425" s="3" t="inlineStr">
        <is>
          <t>114-0763427-7919400</t>
        </is>
      </c>
      <c r="C1425" s="3" t="inlineStr">
        <is>
          <t>Autodist</t>
        </is>
      </c>
    </row>
    <row collapsed="false" customFormat="false" customHeight="false" hidden="false" ht="12.1" outlineLevel="0" r="1426">
      <c r="A1426" s="3" t="s">
        <f>=HYPERLINK("https://mp39851918.megaplan.ua/deals/89854/card/","14957")</f>
      </c>
      <c r="B1426" s="3" t="inlineStr">
        <is>
          <t>114-9386624-2282606</t>
        </is>
      </c>
      <c r="C1426" s="3" t="inlineStr">
        <is>
          <t>RockyMountain</t>
        </is>
      </c>
    </row>
    <row collapsed="false" customFormat="false" customHeight="false" hidden="false" ht="12.1" outlineLevel="0" r="1427">
      <c r="A1427" s="3" t="s">
        <f>=HYPERLINK("https://mp39851918.megaplan.ua/deals/89878/card/","14960")</f>
      </c>
      <c r="B1427" s="3" t="inlineStr">
        <is>
          <t>111-3146087-8721009</t>
        </is>
      </c>
      <c r="C1427" s="3" t="inlineStr">
        <is>
          <t>RockyMountain</t>
        </is>
      </c>
    </row>
    <row collapsed="false" customFormat="false" customHeight="false" hidden="false" ht="12.1" outlineLevel="0" r="1428">
      <c r="A1428" s="3" t="s">
        <f>=HYPERLINK("https://mp39851918.megaplan.ua/deals/89904/card/","14961")</f>
      </c>
      <c r="B1428" s="3" t="inlineStr">
        <is>
          <t>112-2888780-9201867</t>
        </is>
      </c>
      <c r="C1428" s="3" t="inlineStr">
        <is>
          <t>RockyMountain</t>
        </is>
      </c>
    </row>
    <row collapsed="false" customFormat="false" customHeight="false" hidden="false" ht="12.1" outlineLevel="0" r="1429">
      <c r="A1429" s="3" t="s">
        <f>=HYPERLINK("https://mp39851918.megaplan.ua/deals/89914/card/","14963")</f>
      </c>
      <c r="B1429" s="3" t="inlineStr">
        <is>
          <t>111-2062201-8163432</t>
        </is>
      </c>
      <c r="C1429" s="3" t="inlineStr">
        <is>
          <t>RockyMountain</t>
        </is>
      </c>
    </row>
    <row collapsed="false" customFormat="false" customHeight="false" hidden="false" ht="12.1" outlineLevel="0" r="1430">
      <c r="A1430" s="3" t="s">
        <f>=HYPERLINK("https://mp39851918.megaplan.ua/deals/89915/card/","14964")</f>
      </c>
      <c r="B1430" s="3" t="inlineStr">
        <is>
          <t>111-7058884-5817830</t>
        </is>
      </c>
      <c r="C1430" s="3" t="inlineStr">
        <is>
          <t>RockyMountain</t>
        </is>
      </c>
    </row>
    <row collapsed="false" customFormat="false" customHeight="false" hidden="false" ht="12.1" outlineLevel="0" r="1431">
      <c r="A1431" s="3" t="s">
        <f>=HYPERLINK("https://mp39851918.megaplan.ua/deals/89925/card/","14965")</f>
      </c>
      <c r="B1431" s="3" t="inlineStr">
        <is>
          <t>114-8066872-8692267</t>
        </is>
      </c>
      <c r="C1431" s="3" t="inlineStr">
        <is>
          <t>RockyMountain</t>
        </is>
      </c>
    </row>
    <row collapsed="false" customFormat="false" customHeight="false" hidden="false" ht="12.1" outlineLevel="0" r="1432">
      <c r="A1432" s="3" t="s">
        <f>=HYPERLINK("https://mp39851918.megaplan.ua/deals/89930/card/","14966")</f>
      </c>
      <c r="B1432" s="3" t="inlineStr">
        <is>
          <t>112-4612236-3288218</t>
        </is>
      </c>
      <c r="C1432" s="3" t="inlineStr">
        <is>
          <t>RockyMountain</t>
        </is>
      </c>
    </row>
    <row collapsed="false" customFormat="false" customHeight="false" hidden="false" ht="12.1" outlineLevel="0" r="1433">
      <c r="A1433" s="3" t="s">
        <f>=HYPERLINK("https://mp39851918.megaplan.ua/deals/89934/card/","14967")</f>
      </c>
      <c r="B1433" s="3" t="inlineStr">
        <is>
          <t>112-1353270-5245059</t>
        </is>
      </c>
      <c r="C1433" s="3" t="inlineStr">
        <is>
          <t>RockyMountain</t>
        </is>
      </c>
    </row>
    <row collapsed="false" customFormat="false" customHeight="false" hidden="false" ht="12.1" outlineLevel="0" r="1434">
      <c r="A1434" s="3" t="s">
        <f>=HYPERLINK("https://mp39851918.megaplan.ua/deals/89937/card/","14968")</f>
      </c>
      <c r="B1434" s="3" t="inlineStr">
        <is>
          <t>113-5383341-3386626</t>
        </is>
      </c>
      <c r="C1434" s="3" t="inlineStr">
        <is>
          <t>RockyMountain</t>
        </is>
      </c>
    </row>
    <row collapsed="false" customFormat="false" customHeight="false" hidden="false" ht="12.1" outlineLevel="0" r="1435">
      <c r="A1435" s="3" t="s">
        <f>=HYPERLINK("https://mp39851918.megaplan.ua/deals/90005/card/","14974")</f>
      </c>
      <c r="B1435" s="3" t="inlineStr">
        <is>
          <t>112-1743103-9877063</t>
        </is>
      </c>
      <c r="C1435" s="3" t="inlineStr">
        <is>
          <t>RockyMountain</t>
        </is>
      </c>
    </row>
    <row collapsed="false" customFormat="false" customHeight="false" hidden="false" ht="12.1" outlineLevel="0" r="1436">
      <c r="A1436" s="3" t="s">
        <f>=HYPERLINK("https://mp39851918.megaplan.ua/deals/90022/card/","14975")</f>
      </c>
      <c r="B1436" s="3" t="inlineStr">
        <is>
          <t>111-7018627-6852200</t>
        </is>
      </c>
      <c r="C1436" s="3" t="inlineStr">
        <is>
          <t>RockyMountain</t>
        </is>
      </c>
    </row>
    <row collapsed="false" customFormat="false" customHeight="false" hidden="false" ht="12.1" outlineLevel="0" r="1437">
      <c r="A1437" s="3" t="s">
        <f>=HYPERLINK("https://mp39851918.megaplan.ua/deals/90042/card/","14978")</f>
      </c>
      <c r="B1437" s="3" t="inlineStr">
        <is>
          <t>113-5804240-1168233</t>
        </is>
      </c>
      <c r="C1437" s="3" t="inlineStr">
        <is>
          <t>RockyMountain</t>
        </is>
      </c>
    </row>
    <row collapsed="false" customFormat="false" customHeight="false" hidden="false" ht="12.1" outlineLevel="0" r="1438">
      <c r="A1438" s="3" t="s">
        <f>=HYPERLINK("https://mp39851918.megaplan.ua/deals/90057/card/","14985")</f>
      </c>
      <c r="B1438" s="3" t="inlineStr">
        <is>
          <t>111-6266473-7658630</t>
        </is>
      </c>
      <c r="C1438" s="3" t="inlineStr">
        <is>
          <t>Autodist</t>
        </is>
      </c>
    </row>
    <row collapsed="false" customFormat="false" customHeight="false" hidden="false" ht="12.1" outlineLevel="0" r="1439">
      <c r="A1439" s="3" t="s">
        <f>=HYPERLINK("https://mp39851918.megaplan.ua/deals/90058/card/","14986")</f>
      </c>
      <c r="B1439" s="3" t="inlineStr">
        <is>
          <t>114-2559502-9781006</t>
        </is>
      </c>
      <c r="C1439" s="3" t="inlineStr">
        <is>
          <t>Autodist</t>
        </is>
      </c>
    </row>
    <row collapsed="false" customFormat="false" customHeight="false" hidden="false" ht="12.1" outlineLevel="0" r="1440">
      <c r="A1440" s="3" t="s">
        <f>=HYPERLINK("https://mp39851918.megaplan.ua/deals/90059/card/","14987")</f>
      </c>
      <c r="B1440" s="3" t="inlineStr">
        <is>
          <t>111-1287328-7237865</t>
        </is>
      </c>
      <c r="C1440" s="3" t="inlineStr">
        <is>
          <t>Autodist</t>
        </is>
      </c>
    </row>
    <row collapsed="false" customFormat="false" customHeight="false" hidden="false" ht="12.1" outlineLevel="0" r="1441">
      <c r="A1441" s="3" t="s">
        <f>=HYPERLINK("https://mp39851918.megaplan.ua/deals/90060/card/","14988")</f>
      </c>
      <c r="B1441" s="3" t="inlineStr">
        <is>
          <t>111-4783087-4663402</t>
        </is>
      </c>
      <c r="C1441" s="3" t="inlineStr">
        <is>
          <t>Autodist</t>
        </is>
      </c>
    </row>
    <row collapsed="false" customFormat="false" customHeight="false" hidden="false" ht="12.1" outlineLevel="0" r="1442">
      <c r="A1442" s="3" t="s">
        <f>=HYPERLINK("https://mp39851918.megaplan.ua/deals/90062/card/","14989")</f>
      </c>
      <c r="B1442" s="3" t="inlineStr">
        <is>
          <t>112-9646131-1067423</t>
        </is>
      </c>
      <c r="C1442" s="3" t="inlineStr">
        <is>
          <t>Autodist</t>
        </is>
      </c>
    </row>
    <row collapsed="false" customFormat="false" customHeight="false" hidden="false" ht="12.1" outlineLevel="0" r="1443">
      <c r="A1443" s="3" t="s">
        <f>=HYPERLINK("https://mp39851918.megaplan.ua/deals/90067/card/","14990")</f>
      </c>
      <c r="B1443" s="3" t="inlineStr">
        <is>
          <t>111-2789008-1647406</t>
        </is>
      </c>
      <c r="C1443" s="3" t="inlineStr">
        <is>
          <t>Autodist</t>
        </is>
      </c>
    </row>
    <row collapsed="false" customFormat="false" customHeight="false" hidden="false" ht="12.1" outlineLevel="0" r="1444">
      <c r="A1444" s="3" t="s">
        <f>=HYPERLINK("https://mp39851918.megaplan.ua/deals/90073/card/","14991")</f>
      </c>
      <c r="B1444" s="3" t="inlineStr">
        <is>
          <t>112-8297569-5118657</t>
        </is>
      </c>
      <c r="C1444" s="3" t="inlineStr">
        <is>
          <t>RockyMountain</t>
        </is>
      </c>
    </row>
    <row collapsed="false" customFormat="false" customHeight="false" hidden="false" ht="12.1" outlineLevel="0" r="1445">
      <c r="A1445" s="3" t="s">
        <f>=HYPERLINK("https://mp39851918.megaplan.ua/deals/90086/card/","14992")</f>
      </c>
      <c r="B1445" s="3" t="inlineStr">
        <is>
          <t>111-8295922-2354626</t>
        </is>
      </c>
      <c r="C1445" s="3" t="inlineStr">
        <is>
          <t>PartsUnlimited</t>
        </is>
      </c>
    </row>
    <row collapsed="false" customFormat="false" customHeight="false" hidden="false" ht="12.1" outlineLevel="0" r="1446">
      <c r="A1446" s="3" t="s">
        <f>=HYPERLINK("https://mp39851918.megaplan.ua/deals/90102/card/","14995")</f>
      </c>
      <c r="B1446" s="3" t="inlineStr">
        <is>
          <t>113-0685133-4404210</t>
        </is>
      </c>
      <c r="C1446" s="3" t="inlineStr">
        <is>
          <t>Autodist</t>
        </is>
      </c>
    </row>
    <row collapsed="false" customFormat="false" customHeight="false" hidden="false" ht="12.1" outlineLevel="0" r="1447">
      <c r="A1447" s="3" t="s">
        <f>=HYPERLINK("https://mp39851918.megaplan.ua/deals/90103/card/","14996")</f>
      </c>
      <c r="B1447" s="3" t="inlineStr">
        <is>
          <t>112-0468858-5476205</t>
        </is>
      </c>
      <c r="C1447" s="3" t="inlineStr">
        <is>
          <t>RockyMountain</t>
        </is>
      </c>
    </row>
    <row collapsed="false" customFormat="false" customHeight="false" hidden="false" ht="12.1" outlineLevel="0" r="1448">
      <c r="A1448" s="3" t="s">
        <f>=HYPERLINK("https://mp39851918.megaplan.ua/deals/90104/card/","14997")</f>
      </c>
      <c r="B1448" s="3" t="inlineStr">
        <is>
          <t>113-5366186-2268235</t>
        </is>
      </c>
      <c r="C1448" s="3" t="inlineStr">
        <is>
          <t>TuckerRocky</t>
        </is>
      </c>
    </row>
    <row collapsed="false" customFormat="false" customHeight="false" hidden="false" ht="12.1" outlineLevel="0" r="1449">
      <c r="A1449" s="3" t="s">
        <f>=HYPERLINK("https://mp39851918.megaplan.ua/deals/90136/card/","14998")</f>
      </c>
      <c r="B1449" s="3" t="inlineStr">
        <is>
          <t>114-0871861-2485804</t>
        </is>
      </c>
      <c r="C1449" s="3" t="inlineStr">
        <is>
          <t>TuckerRocky</t>
        </is>
      </c>
    </row>
    <row collapsed="false" customFormat="false" customHeight="false" hidden="false" ht="12.1" outlineLevel="0" r="1450">
      <c r="A1450" s="3" t="s">
        <f>=HYPERLINK("https://mp39851918.megaplan.ua/deals/90152/card/","15000")</f>
      </c>
      <c r="B1450" s="3" t="inlineStr">
        <is>
          <t>113-6490325-3613010</t>
        </is>
      </c>
      <c r="C1450" s="3" t="inlineStr">
        <is>
          <t>TuckerRocky</t>
        </is>
      </c>
    </row>
    <row collapsed="false" customFormat="false" customHeight="false" hidden="false" ht="12.1" outlineLevel="0" r="1451">
      <c r="A1451" s="3" t="s">
        <f>=HYPERLINK("https://mp39851918.megaplan.ua/deals/90157/card/","15001")</f>
      </c>
      <c r="B1451" s="3" t="inlineStr">
        <is>
          <t>112-7696672-2313065</t>
        </is>
      </c>
      <c r="C1451" s="3" t="inlineStr">
        <is>
          <t>Autodist</t>
        </is>
      </c>
    </row>
    <row collapsed="false" customFormat="false" customHeight="false" hidden="false" ht="12.1" outlineLevel="0" r="1452">
      <c r="A1452" s="3" t="s">
        <f>=HYPERLINK("https://mp39851918.megaplan.ua/deals/90160/card/","15002")</f>
      </c>
      <c r="B1452" s="3" t="inlineStr">
        <is>
          <t>114-6800091-0835436</t>
        </is>
      </c>
      <c r="C1452" s="3" t="inlineStr">
        <is>
          <t>TuckerRocky</t>
        </is>
      </c>
    </row>
    <row collapsed="false" customFormat="false" customHeight="false" hidden="false" ht="12.1" outlineLevel="0" r="1453">
      <c r="A1453" s="3" t="s">
        <f>=HYPERLINK("https://mp39851918.megaplan.ua/deals/90189/card/","15005")</f>
      </c>
      <c r="B1453" s="3" t="inlineStr">
        <is>
          <t>114-4456909-9830619</t>
        </is>
      </c>
      <c r="C1453" s="3" t="inlineStr">
        <is>
          <t>RockyMountain</t>
        </is>
      </c>
    </row>
    <row collapsed="false" customFormat="false" customHeight="false" hidden="false" ht="12.1" outlineLevel="0" r="1454">
      <c r="A1454" s="3" t="s">
        <f>=HYPERLINK("https://mp39851918.megaplan.ua/deals/90193/card/","15006")</f>
      </c>
      <c r="B1454" s="3" t="inlineStr">
        <is>
          <t>114-3075281-5323459</t>
        </is>
      </c>
      <c r="C1454" s="3" t="inlineStr">
        <is>
          <t>RockyMountain</t>
        </is>
      </c>
    </row>
    <row collapsed="false" customFormat="false" customHeight="false" hidden="false" ht="12.1" outlineLevel="0" r="1455">
      <c r="A1455" s="3" t="s">
        <f>=HYPERLINK("https://mp39851918.megaplan.ua/deals/90194/card/","15007")</f>
      </c>
      <c r="B1455" s="3" t="inlineStr">
        <is>
          <t>112-0778042-9236240</t>
        </is>
      </c>
      <c r="C1455" s="3" t="inlineStr">
        <is>
          <t>TuckerRocky</t>
        </is>
      </c>
    </row>
    <row collapsed="false" customFormat="false" customHeight="false" hidden="false" ht="12.1" outlineLevel="0" r="1456">
      <c r="A1456" s="3" t="s">
        <f>=HYPERLINK("https://mp39851918.megaplan.ua/deals/90208/card/","15008")</f>
      </c>
      <c r="B1456" s="3" t="inlineStr">
        <is>
          <t>113-5400706-1517846</t>
        </is>
      </c>
      <c r="C1456" s="3" t="inlineStr">
        <is>
          <t>TuckerRocky</t>
        </is>
      </c>
    </row>
    <row collapsed="false" customFormat="false" customHeight="false" hidden="false" ht="12.1" outlineLevel="0" r="1457">
      <c r="A1457" s="3" t="s">
        <f>=HYPERLINK("https://mp39851918.megaplan.ua/deals/90245/card/","15010")</f>
      </c>
      <c r="B1457" s="3" t="inlineStr">
        <is>
          <t>113-8989354-5027405</t>
        </is>
      </c>
      <c r="C1457" s="3" t="inlineStr">
        <is>
          <t>Autodist</t>
        </is>
      </c>
    </row>
    <row collapsed="false" customFormat="false" customHeight="false" hidden="false" ht="12.1" outlineLevel="0" r="1458">
      <c r="A1458" s="3" t="s">
        <f>=HYPERLINK("https://mp39851918.megaplan.ua/deals/90250/card/","15011")</f>
      </c>
      <c r="B1458" s="3" t="inlineStr">
        <is>
          <t>112-6806417-1685800</t>
        </is>
      </c>
      <c r="C1458" s="3" t="inlineStr">
        <is>
          <t>TuckerRocky</t>
        </is>
      </c>
    </row>
    <row collapsed="false" customFormat="false" customHeight="false" hidden="false" ht="12.1" outlineLevel="0" r="1459">
      <c r="A1459" s="3" t="s">
        <f>=HYPERLINK("https://mp39851918.megaplan.ua/deals/90292/card/","15014")</f>
      </c>
      <c r="B1459" s="3" t="inlineStr">
        <is>
          <t>113-8579994-6394615</t>
        </is>
      </c>
      <c r="C1459" s="3" t="inlineStr">
        <is>
          <t>Autodist</t>
        </is>
      </c>
    </row>
    <row collapsed="false" customFormat="false" customHeight="false" hidden="false" ht="12.1" outlineLevel="0" r="1460">
      <c r="A1460" s="3" t="s">
        <f>=HYPERLINK("https://mp39851918.megaplan.ua/deals/90301/card/","15017")</f>
      </c>
      <c r="B1460" s="3" t="inlineStr">
        <is>
          <t>113-4462667-2557844</t>
        </is>
      </c>
      <c r="C1460" s="3" t="inlineStr">
        <is>
          <t>RockyMountain</t>
        </is>
      </c>
    </row>
    <row collapsed="false" customFormat="false" customHeight="false" hidden="false" ht="12.1" outlineLevel="0" r="1461">
      <c r="A1461" s="3" t="s">
        <f>=HYPERLINK("https://mp39851918.megaplan.ua/deals/90303/card/","15018")</f>
      </c>
      <c r="B1461" s="3" t="inlineStr">
        <is>
          <t>113-4156832-5125057</t>
        </is>
      </c>
      <c r="C1461" s="3" t="inlineStr">
        <is>
          <t>TuckerRocky</t>
        </is>
      </c>
    </row>
    <row collapsed="false" customFormat="false" customHeight="false" hidden="false" ht="12.1" outlineLevel="0" r="1462">
      <c r="A1462" s="3" t="s">
        <f>=HYPERLINK("https://mp39851918.megaplan.ua/deals/90306/card/","15019")</f>
      </c>
      <c r="B1462" s="3" t="inlineStr">
        <is>
          <t>114-6904646-7043461</t>
        </is>
      </c>
      <c r="C1462" s="3" t="inlineStr">
        <is>
          <t>RockyMountain</t>
        </is>
      </c>
    </row>
    <row collapsed="false" customFormat="false" customHeight="false" hidden="false" ht="12.1" outlineLevel="0" r="1463">
      <c r="A1463" s="3" t="s">
        <f>=HYPERLINK("https://mp39851918.megaplan.ua/deals/90310/card/","15020")</f>
      </c>
      <c r="B1463" s="3" t="inlineStr">
        <is>
          <t>112-6410617-4771467</t>
        </is>
      </c>
      <c r="C1463" s="3" t="inlineStr">
        <is>
          <t>RockyMountain</t>
        </is>
      </c>
    </row>
    <row collapsed="false" customFormat="false" customHeight="false" hidden="false" ht="12.1" outlineLevel="0" r="1464">
      <c r="A1464" s="3" t="s">
        <f>=HYPERLINK("https://mp39851918.megaplan.ua/deals/90313/card/","15021")</f>
      </c>
      <c r="B1464" s="3" t="inlineStr">
        <is>
          <t>114-0483264-2401867</t>
        </is>
      </c>
      <c r="C1464" s="3" t="inlineStr">
        <is>
          <t>RockyMountain</t>
        </is>
      </c>
    </row>
    <row collapsed="false" customFormat="false" customHeight="false" hidden="false" ht="12.1" outlineLevel="0" r="1465">
      <c r="A1465" s="3" t="s">
        <f>=HYPERLINK("https://mp39851918.megaplan.ua/deals/90316/card/","15022")</f>
      </c>
      <c r="B1465" s="3" t="inlineStr">
        <is>
          <t>114-4602772-0827427</t>
        </is>
      </c>
      <c r="C1465" s="3" t="inlineStr">
        <is>
          <t>TuckerRocky</t>
        </is>
      </c>
    </row>
    <row collapsed="false" customFormat="false" customHeight="false" hidden="false" ht="12.1" outlineLevel="0" r="1466">
      <c r="A1466" s="3" t="s">
        <f>=HYPERLINK("https://mp39851918.megaplan.ua/deals/90369/card/","15024")</f>
      </c>
      <c r="B1466" s="3" t="inlineStr">
        <is>
          <t>111-8521216-7197847</t>
        </is>
      </c>
      <c r="C1466" s="3" t="inlineStr">
        <is>
          <t>Autodist</t>
        </is>
      </c>
    </row>
    <row collapsed="false" customFormat="false" customHeight="false" hidden="false" ht="12.1" outlineLevel="0" r="1467">
      <c r="A1467" s="3" t="s">
        <f>=HYPERLINK("https://mp39851918.megaplan.ua/deals/90382/card/","15025")</f>
      </c>
      <c r="B1467" s="3" t="inlineStr">
        <is>
          <t>114-9153946-1157863</t>
        </is>
      </c>
      <c r="C1467" s="3" t="inlineStr">
        <is>
          <t>RockyMountain</t>
        </is>
      </c>
    </row>
    <row collapsed="false" customFormat="false" customHeight="false" hidden="false" ht="12.1" outlineLevel="0" r="1468">
      <c r="A1468" s="3" t="s">
        <f>=HYPERLINK("https://mp39851918.megaplan.ua/deals/90396/card/","15026")</f>
      </c>
      <c r="B1468" s="3" t="inlineStr">
        <is>
          <t>113-5859370-1698604</t>
        </is>
      </c>
      <c r="C1468" s="3" t="inlineStr">
        <is>
          <t>RockyMountain</t>
        </is>
      </c>
    </row>
    <row collapsed="false" customFormat="false" customHeight="false" hidden="false" ht="12.1" outlineLevel="0" r="1469">
      <c r="A1469" s="3" t="s">
        <f>=HYPERLINK("https://mp39851918.megaplan.ua/deals/90407/card/","15027")</f>
      </c>
      <c r="B1469" s="3" t="inlineStr">
        <is>
          <t>113-0435902-1002655</t>
        </is>
      </c>
      <c r="C1469" s="3" t="inlineStr">
        <is>
          <t>Autodist</t>
        </is>
      </c>
    </row>
    <row collapsed="false" customFormat="false" customHeight="false" hidden="false" ht="12.1" outlineLevel="0" r="1470">
      <c r="A1470" s="3" t="s">
        <f>=HYPERLINK("https://mp39851918.megaplan.ua/deals/90414/card/","15028")</f>
      </c>
      <c r="B1470" s="3" t="inlineStr">
        <is>
          <t>111-3172346-7836224</t>
        </is>
      </c>
      <c r="C1470" s="3" t="inlineStr">
        <is>
          <t>TuckerRocky</t>
        </is>
      </c>
    </row>
    <row collapsed="false" customFormat="false" customHeight="false" hidden="false" ht="12.1" outlineLevel="0" r="1471">
      <c r="A1471" s="3" t="s">
        <f>=HYPERLINK("https://mp39851918.megaplan.ua/deals/90419/card/","15029")</f>
      </c>
      <c r="B1471" s="3" t="inlineStr">
        <is>
          <t>112-4961122-0652224</t>
        </is>
      </c>
      <c r="C1471" s="3" t="inlineStr">
        <is>
          <t>Autodist</t>
        </is>
      </c>
    </row>
    <row collapsed="false" customFormat="false" customHeight="false" hidden="false" ht="12.1" outlineLevel="0" r="1472">
      <c r="A1472" s="3" t="s">
        <f>=HYPERLINK("https://mp39851918.megaplan.ua/deals/90442/card/","15031")</f>
      </c>
      <c r="B1472" s="3" t="inlineStr">
        <is>
          <t>114-1292670-9873001</t>
        </is>
      </c>
      <c r="C1472" s="3" t="inlineStr">
        <is>
          <t>RockyMountain</t>
        </is>
      </c>
    </row>
    <row collapsed="false" customFormat="false" customHeight="false" hidden="false" ht="12.1" outlineLevel="0" r="1473">
      <c r="A1473" s="3" t="s">
        <f>=HYPERLINK("https://mp39851918.megaplan.ua/deals/90443/card/","15032")</f>
      </c>
      <c r="B1473" s="3" t="inlineStr">
        <is>
          <t>112-6914974-4022651</t>
        </is>
      </c>
      <c r="C1473" s="3" t="inlineStr">
        <is>
          <t>RockyMountain</t>
        </is>
      </c>
    </row>
    <row collapsed="false" customFormat="false" customHeight="false" hidden="false" ht="12.1" outlineLevel="0" r="1474">
      <c r="A1474" s="3" t="s">
        <f>=HYPERLINK("https://mp39851918.megaplan.ua/deals/90454/card/","15034")</f>
      </c>
      <c r="B1474" s="3" t="inlineStr">
        <is>
          <t>111-9473509-6713004</t>
        </is>
      </c>
      <c r="C1474" s="3" t="inlineStr">
        <is>
          <t>RockyMountain</t>
        </is>
      </c>
    </row>
    <row collapsed="false" customFormat="false" customHeight="false" hidden="false" ht="12.1" outlineLevel="0" r="1475">
      <c r="A1475" s="3" t="s">
        <f>=HYPERLINK("https://mp39851918.megaplan.ua/deals/90460/card/","15036")</f>
      </c>
      <c r="B1475" s="3" t="inlineStr">
        <is>
          <t>114-6145741-6719429</t>
        </is>
      </c>
      <c r="C1475" s="3" t="inlineStr">
        <is>
          <t>TuckerRocky</t>
        </is>
      </c>
    </row>
    <row collapsed="false" customFormat="false" customHeight="false" hidden="false" ht="12.1" outlineLevel="0" r="1476">
      <c r="A1476" s="3" t="s">
        <f>=HYPERLINK("https://mp39851918.megaplan.ua/deals/90467/card/","15037")</f>
      </c>
      <c r="B1476" s="3" t="inlineStr">
        <is>
          <t>111-8603686-2899448</t>
        </is>
      </c>
      <c r="C1476" s="3" t="inlineStr">
        <is>
          <t>TuckerRocky</t>
        </is>
      </c>
    </row>
    <row collapsed="false" customFormat="false" customHeight="false" hidden="false" ht="12.1" outlineLevel="0" r="1477">
      <c r="A1477" s="3" t="s">
        <f>=HYPERLINK("https://mp39851918.megaplan.ua/deals/90479/card/","15038")</f>
      </c>
      <c r="B1477" s="3" t="inlineStr">
        <is>
          <t>112-3505659-5081012</t>
        </is>
      </c>
      <c r="C1477" s="3" t="inlineStr">
        <is>
          <t>RockyMountain</t>
        </is>
      </c>
    </row>
    <row collapsed="false" customFormat="false" customHeight="false" hidden="false" ht="12.1" outlineLevel="0" r="1478">
      <c r="A1478" s="3" t="s">
        <f>=HYPERLINK("https://mp39851918.megaplan.ua/deals/90510/card/","15039")</f>
      </c>
      <c r="B1478" s="3" t="inlineStr">
        <is>
          <t>112-6129117-4443459</t>
        </is>
      </c>
      <c r="C1478" s="3" t="inlineStr">
        <is>
          <t>TuckerRocky</t>
        </is>
      </c>
    </row>
    <row collapsed="false" customFormat="false" customHeight="false" hidden="false" ht="12.1" outlineLevel="0" r="1479">
      <c r="A1479" s="3" t="s">
        <f>=HYPERLINK("https://mp39851918.megaplan.ua/deals/90511/card/","15040")</f>
      </c>
      <c r="B1479" s="3" t="inlineStr">
        <is>
          <t>114-6168375-6121807</t>
        </is>
      </c>
      <c r="C1479" s="3" t="inlineStr">
        <is>
          <t>RockyMountain</t>
        </is>
      </c>
    </row>
    <row collapsed="false" customFormat="false" customHeight="false" hidden="false" ht="12.1" outlineLevel="0" r="1480">
      <c r="A1480" s="3" t="s">
        <f>=HYPERLINK("https://mp39851918.megaplan.ua/deals/90515/card/","15042")</f>
      </c>
      <c r="B1480" s="3" t="inlineStr">
        <is>
          <t>112-2044608-1973032</t>
        </is>
      </c>
      <c r="C1480" s="3" t="inlineStr">
        <is>
          <t>TuckerRocky</t>
        </is>
      </c>
    </row>
    <row collapsed="false" customFormat="false" customHeight="false" hidden="false" ht="12.1" outlineLevel="0" r="1481">
      <c r="A1481" s="3" t="s">
        <f>=HYPERLINK("https://mp39851918.megaplan.ua/deals/90516/card/","15043")</f>
      </c>
      <c r="B1481" s="3" t="inlineStr">
        <is>
          <t>112-9912897-2405826</t>
        </is>
      </c>
      <c r="C1481" s="3" t="inlineStr">
        <is>
          <t>Autodist</t>
        </is>
      </c>
    </row>
    <row collapsed="false" customFormat="false" customHeight="false" hidden="false" ht="12.1" outlineLevel="0" r="1482">
      <c r="A1482" s="3" t="s">
        <f>=HYPERLINK("https://mp39851918.megaplan.ua/deals/90518/card/","15044")</f>
      </c>
      <c r="B1482" s="3" t="inlineStr">
        <is>
          <t>112-9882878-0237026</t>
        </is>
      </c>
      <c r="C1482" s="3" t="inlineStr">
        <is>
          <t>Autodist</t>
        </is>
      </c>
    </row>
    <row collapsed="false" customFormat="false" customHeight="false" hidden="false" ht="12.1" outlineLevel="0" r="1483">
      <c r="A1483" s="3" t="s">
        <f>=HYPERLINK("https://mp39851918.megaplan.ua/deals/90530/card/","15046")</f>
      </c>
      <c r="B1483" s="3" t="inlineStr">
        <is>
          <t>113-0963922-1873853</t>
        </is>
      </c>
      <c r="C1483" s="3" t="inlineStr">
        <is>
          <t>TuckerRocky</t>
        </is>
      </c>
    </row>
    <row collapsed="false" customFormat="false" customHeight="false" hidden="false" ht="12.1" outlineLevel="0" r="1484">
      <c r="A1484" s="3" t="s">
        <f>=HYPERLINK("https://mp39851918.megaplan.ua/deals/90535/card/","15047")</f>
      </c>
      <c r="B1484" s="3" t="inlineStr">
        <is>
          <t>111-7034880-2357806</t>
        </is>
      </c>
      <c r="C1484" s="3" t="inlineStr">
        <is>
          <t>RockyMountain</t>
        </is>
      </c>
    </row>
    <row collapsed="false" customFormat="false" customHeight="false" hidden="false" ht="12.1" outlineLevel="0" r="1485">
      <c r="A1485" s="3" t="s">
        <f>=HYPERLINK("https://mp39851918.megaplan.ua/deals/90540/card/","15048")</f>
      </c>
      <c r="B1485" s="3" t="inlineStr">
        <is>
          <t>114-1463683-3540226</t>
        </is>
      </c>
      <c r="C1485" s="3" t="inlineStr">
        <is>
          <t>TuckerRocky</t>
        </is>
      </c>
    </row>
    <row collapsed="false" customFormat="false" customHeight="false" hidden="false" ht="12.1" outlineLevel="0" r="1486">
      <c r="A1486" s="3" t="s">
        <f>=HYPERLINK("https://mp39851918.megaplan.ua/deals/90545/card/","15049")</f>
      </c>
      <c r="B1486" s="3" t="inlineStr">
        <is>
          <t>112-1630185-6808211</t>
        </is>
      </c>
      <c r="C1486" s="3" t="inlineStr">
        <is>
          <t>RockyMountain</t>
        </is>
      </c>
    </row>
    <row collapsed="false" customFormat="false" customHeight="false" hidden="false" ht="12.1" outlineLevel="0" r="1487">
      <c r="A1487" s="3" t="s">
        <f>=HYPERLINK("https://mp39851918.megaplan.ua/deals/90553/card/","15050")</f>
      </c>
      <c r="B1487" s="3" t="inlineStr">
        <is>
          <t>113-8851860-6029062</t>
        </is>
      </c>
      <c r="C1487" s="3" t="inlineStr">
        <is>
          <t>Autodist</t>
        </is>
      </c>
    </row>
    <row collapsed="false" customFormat="false" customHeight="false" hidden="false" ht="12.1" outlineLevel="0" r="1488">
      <c r="A1488" s="3" t="s">
        <f>=HYPERLINK("https://mp39851918.megaplan.ua/deals/90562/card/","15052")</f>
      </c>
      <c r="B1488" s="3" t="inlineStr">
        <is>
          <t>111-2421767-7839401</t>
        </is>
      </c>
      <c r="C1488" s="3" t="inlineStr">
        <is>
          <t>Autodist</t>
        </is>
      </c>
    </row>
    <row collapsed="false" customFormat="false" customHeight="false" hidden="false" ht="12.1" outlineLevel="0" r="1489">
      <c r="A1489" s="3" t="s">
        <f>=HYPERLINK("https://mp39851918.megaplan.ua/deals/90575/card/","15053")</f>
      </c>
      <c r="B1489" s="3" t="inlineStr">
        <is>
          <t>114-0905512-8863439</t>
        </is>
      </c>
      <c r="C1489" s="3" t="inlineStr">
        <is>
          <t>Autodist</t>
        </is>
      </c>
    </row>
    <row collapsed="false" customFormat="false" customHeight="false" hidden="false" ht="12.1" outlineLevel="0" r="1490">
      <c r="A1490" s="3" t="s">
        <f>=HYPERLINK("https://mp39851918.megaplan.ua/deals/90576/card/","15054")</f>
      </c>
      <c r="B1490" s="3" t="inlineStr">
        <is>
          <t>114-0822704-1623431</t>
        </is>
      </c>
      <c r="C1490" s="3" t="inlineStr">
        <is>
          <t>RockyMountain</t>
        </is>
      </c>
    </row>
    <row collapsed="false" customFormat="false" customHeight="false" hidden="false" ht="12.1" outlineLevel="0" r="1491">
      <c r="A1491" s="3" t="s">
        <f>=HYPERLINK("https://mp39851918.megaplan.ua/deals/90578/card/","15055")</f>
      </c>
      <c r="B1491" s="3" t="inlineStr">
        <is>
          <t>114-0389463-8398661</t>
        </is>
      </c>
      <c r="C1491" s="3" t="inlineStr">
        <is>
          <t>Autodist</t>
        </is>
      </c>
    </row>
    <row collapsed="false" customFormat="false" customHeight="false" hidden="false" ht="12.1" outlineLevel="0" r="1492">
      <c r="A1492" s="3" t="s">
        <f>=HYPERLINK("https://mp39851918.megaplan.ua/deals/90579/card/","15056")</f>
      </c>
      <c r="B1492" s="3" t="inlineStr">
        <is>
          <t>113-2095648-3371449</t>
        </is>
      </c>
      <c r="C1492" s="3" t="inlineStr">
        <is>
          <t>RockyMountain</t>
        </is>
      </c>
    </row>
    <row collapsed="false" customFormat="false" customHeight="false" hidden="false" ht="12.1" outlineLevel="0" r="1493">
      <c r="A1493" s="3" t="s">
        <f>=HYPERLINK("https://mp39851918.megaplan.ua/deals/90585/card/","15058")</f>
      </c>
      <c r="B1493" s="3" t="inlineStr">
        <is>
          <t>111-6210522-7763450</t>
        </is>
      </c>
      <c r="C1493" s="3" t="inlineStr">
        <is>
          <t>TuckerRocky</t>
        </is>
      </c>
    </row>
    <row collapsed="false" customFormat="false" customHeight="false" hidden="false" ht="12.1" outlineLevel="0" r="1494">
      <c r="A1494" s="3" t="s">
        <f>=HYPERLINK("https://mp39851918.megaplan.ua/deals/90595/card/","15059")</f>
      </c>
      <c r="B1494" s="3" t="inlineStr">
        <is>
          <t>113-0724898-4299419</t>
        </is>
      </c>
      <c r="C1494" s="3" t="inlineStr">
        <is>
          <t>RockyMountain</t>
        </is>
      </c>
    </row>
    <row collapsed="false" customFormat="false" customHeight="false" hidden="false" ht="12.1" outlineLevel="0" r="1495">
      <c r="A1495" s="3" t="s">
        <f>=HYPERLINK("https://mp39851918.megaplan.ua/deals/90597/card/","15060")</f>
      </c>
      <c r="B1495" s="3" t="inlineStr">
        <is>
          <t>113-6327210-4249030</t>
        </is>
      </c>
      <c r="C1495" s="3" t="inlineStr">
        <is>
          <t>RockyMountain</t>
        </is>
      </c>
    </row>
    <row collapsed="false" customFormat="false" customHeight="false" hidden="false" ht="12.1" outlineLevel="0" r="1496">
      <c r="A1496" s="3" t="s">
        <f>=HYPERLINK("https://mp39851918.megaplan.ua/deals/90652/card/","15064")</f>
      </c>
      <c r="B1496" s="3" t="inlineStr">
        <is>
          <t>114-8197230-6970637</t>
        </is>
      </c>
      <c r="C1496" s="3" t="inlineStr">
        <is>
          <t>Autodist</t>
        </is>
      </c>
    </row>
    <row collapsed="false" customFormat="false" customHeight="false" hidden="false" ht="12.1" outlineLevel="0" r="1497">
      <c r="A1497" s="3" t="s">
        <f>=HYPERLINK("https://mp39851918.megaplan.ua/deals/90657/card/","15065")</f>
      </c>
      <c r="B1497" s="3" t="inlineStr">
        <is>
          <t>113-2912084-2946616</t>
        </is>
      </c>
      <c r="C1497" s="3" t="inlineStr">
        <is>
          <t>RockyMountain</t>
        </is>
      </c>
    </row>
    <row collapsed="false" customFormat="false" customHeight="false" hidden="false" ht="12.1" outlineLevel="0" r="1498">
      <c r="A1498" s="3" t="s">
        <f>=HYPERLINK("https://mp39851918.megaplan.ua/deals/90658/card/","15066")</f>
      </c>
      <c r="B1498" s="3" t="inlineStr">
        <is>
          <t>112-1948631-4766614</t>
        </is>
      </c>
      <c r="C1498" s="3" t="inlineStr">
        <is>
          <t>Autodist</t>
        </is>
      </c>
    </row>
    <row collapsed="false" customFormat="false" customHeight="false" hidden="false" ht="12.1" outlineLevel="0" r="1499">
      <c r="A1499" s="3" t="s">
        <f>=HYPERLINK("https://mp39851918.megaplan.ua/deals/90663/card/","15067")</f>
      </c>
      <c r="B1499" s="3" t="inlineStr">
        <is>
          <t>113-7011890-4853862</t>
        </is>
      </c>
      <c r="C1499" s="3" t="inlineStr">
        <is>
          <t>TuckerRocky</t>
        </is>
      </c>
    </row>
    <row collapsed="false" customFormat="false" customHeight="false" hidden="false" ht="12.1" outlineLevel="0" r="1500">
      <c r="A1500" s="3" t="s">
        <f>=HYPERLINK("https://mp39851918.megaplan.ua/deals/90696/card/","15070")</f>
      </c>
      <c r="B1500" s="3" t="inlineStr">
        <is>
          <t>112-7405353-8205053</t>
        </is>
      </c>
      <c r="C1500" s="3" t="inlineStr">
        <is>
          <t>TuckerRocky</t>
        </is>
      </c>
    </row>
    <row collapsed="false" customFormat="false" customHeight="false" hidden="false" ht="12.1" outlineLevel="0" r="1501">
      <c r="A1501" s="3" t="s">
        <f>=HYPERLINK("https://mp39851918.megaplan.ua/deals/90727/card/","15072")</f>
      </c>
      <c r="B1501" s="3" t="inlineStr">
        <is>
          <t>113-8918791-7627441</t>
        </is>
      </c>
      <c r="C1501" s="3" t="inlineStr">
        <is>
          <t>PartsUnlimited</t>
        </is>
      </c>
    </row>
    <row collapsed="false" customFormat="false" customHeight="false" hidden="false" ht="12.1" outlineLevel="0" r="1502">
      <c r="A1502" s="3" t="s">
        <f>=HYPERLINK("https://mp39851918.megaplan.ua/deals/90728/card/","15073")</f>
      </c>
      <c r="B1502" s="3" t="inlineStr">
        <is>
          <t>111-9035908-3232260</t>
        </is>
      </c>
      <c r="C1502" s="3" t="inlineStr">
        <is>
          <t>RockyMountain</t>
        </is>
      </c>
    </row>
    <row collapsed="false" customFormat="false" customHeight="false" hidden="false" ht="12.1" outlineLevel="0" r="1503">
      <c r="A1503" s="3" t="s">
        <f>=HYPERLINK("https://mp39851918.megaplan.ua/deals/90733/card/","15074")</f>
      </c>
      <c r="B1503" s="3" t="inlineStr">
        <is>
          <t>114-5976121-3663454</t>
        </is>
      </c>
      <c r="C1503" s="3" t="inlineStr">
        <is>
          <t>RockyMountain</t>
        </is>
      </c>
    </row>
    <row collapsed="false" customFormat="false" customHeight="false" hidden="false" ht="12.1" outlineLevel="0" r="1504">
      <c r="A1504" s="3" t="s">
        <f>=HYPERLINK("https://mp39851918.megaplan.ua/deals/90758/card/","15076")</f>
      </c>
      <c r="B1504" s="3" t="inlineStr">
        <is>
          <t>113-1632987-0181843</t>
        </is>
      </c>
      <c r="C1504" s="3" t="inlineStr">
        <is>
          <t>TuckerRocky</t>
        </is>
      </c>
    </row>
    <row collapsed="false" customFormat="false" customHeight="false" hidden="false" ht="12.1" outlineLevel="0" r="1505">
      <c r="A1505" s="3" t="s">
        <f>=HYPERLINK("https://mp39851918.megaplan.ua/deals/90768/card/","15078")</f>
      </c>
      <c r="B1505" s="3" t="inlineStr">
        <is>
          <t>112-0593028-7711451</t>
        </is>
      </c>
      <c r="C1505" s="3" t="inlineStr">
        <is>
          <t>RockyMountain</t>
        </is>
      </c>
    </row>
    <row collapsed="false" customFormat="false" customHeight="false" hidden="false" ht="12.1" outlineLevel="0" r="1506">
      <c r="A1506" s="3" t="s">
        <f>=HYPERLINK("https://mp39851918.megaplan.ua/deals/90769/card/","15079")</f>
      </c>
      <c r="B1506" s="3" t="inlineStr">
        <is>
          <t>114-7921919-5695401</t>
        </is>
      </c>
      <c r="C1506" s="3" t="inlineStr">
        <is>
          <t>RockyMountain</t>
        </is>
      </c>
    </row>
    <row collapsed="false" customFormat="false" customHeight="false" hidden="false" ht="12.1" outlineLevel="0" r="1507">
      <c r="A1507" s="3" t="s">
        <f>=HYPERLINK("https://mp39851918.megaplan.ua/deals/90780/card/","15080")</f>
      </c>
      <c r="B1507" s="3" t="inlineStr">
        <is>
          <t>113-9947010-5952216</t>
        </is>
      </c>
      <c r="C1507" s="3" t="inlineStr">
        <is>
          <t>TuckerRocky</t>
        </is>
      </c>
    </row>
    <row collapsed="false" customFormat="false" customHeight="false" hidden="false" ht="12.1" outlineLevel="0" r="1508">
      <c r="A1508" s="3" t="s">
        <f>=HYPERLINK("https://mp39851918.megaplan.ua/deals/90781/card/","15081")</f>
      </c>
      <c r="B1508" s="3" t="inlineStr">
        <is>
          <t>113-8883206-8720242</t>
        </is>
      </c>
      <c r="C1508" s="3" t="inlineStr">
        <is>
          <t>Autodist</t>
        </is>
      </c>
    </row>
    <row collapsed="false" customFormat="false" customHeight="false" hidden="false" ht="12.1" outlineLevel="0" r="1509">
      <c r="A1509" s="3" t="s">
        <f>=HYPERLINK("https://mp39851918.megaplan.ua/deals/90788/card/","15082")</f>
      </c>
      <c r="B1509" s="3" t="inlineStr">
        <is>
          <t>112-9103371-0109023</t>
        </is>
      </c>
      <c r="C1509" s="3" t="inlineStr">
        <is>
          <t>RockyMountain</t>
        </is>
      </c>
    </row>
    <row collapsed="false" customFormat="false" customHeight="false" hidden="false" ht="12.1" outlineLevel="0" r="1510">
      <c r="A1510" s="3" t="s">
        <f>=HYPERLINK("https://mp39851918.megaplan.ua/deals/90789/card/","15083")</f>
      </c>
      <c r="B1510" s="3" t="inlineStr">
        <is>
          <t>111-1464606-2977800</t>
        </is>
      </c>
      <c r="C1510" s="3" t="inlineStr">
        <is>
          <t>RockyMountain</t>
        </is>
      </c>
    </row>
    <row collapsed="false" customFormat="false" customHeight="false" hidden="false" ht="12.1" outlineLevel="0" r="1511">
      <c r="A1511" s="3" t="s">
        <f>=HYPERLINK("https://mp39851918.megaplan.ua/deals/90809/card/","15086")</f>
      </c>
      <c r="B1511" s="3" t="inlineStr">
        <is>
          <t>111-0823115-0874648</t>
        </is>
      </c>
      <c r="C1511" s="3" t="inlineStr">
        <is>
          <t>TuckerRocky</t>
        </is>
      </c>
    </row>
    <row collapsed="false" customFormat="false" customHeight="false" hidden="false" ht="12.1" outlineLevel="0" r="1512">
      <c r="A1512" s="3" t="s">
        <f>=HYPERLINK("https://mp39851918.megaplan.ua/deals/90813/card/","15087")</f>
      </c>
      <c r="B1512" s="3" t="inlineStr">
        <is>
          <t>111-8991770-8613045</t>
        </is>
      </c>
      <c r="C1512" s="3" t="inlineStr">
        <is>
          <t>TuckerRocky</t>
        </is>
      </c>
    </row>
    <row collapsed="false" customFormat="false" customHeight="false" hidden="false" ht="12.1" outlineLevel="0" r="1513">
      <c r="A1513" s="3" t="s">
        <f>=HYPERLINK("https://mp39851918.megaplan.ua/deals/90844/card/","15089")</f>
      </c>
      <c r="B1513" s="3" t="inlineStr">
        <is>
          <t>113-8068127-2397048</t>
        </is>
      </c>
      <c r="C1513" s="3" t="inlineStr">
        <is>
          <t>Autodist</t>
        </is>
      </c>
    </row>
    <row collapsed="false" customFormat="false" customHeight="false" hidden="false" ht="12.1" outlineLevel="0" r="1514">
      <c r="A1514" s="3" t="s">
        <f>=HYPERLINK("https://mp39851918.megaplan.ua/deals/90858/card/","15093")</f>
      </c>
      <c r="B1514" s="3" t="inlineStr">
        <is>
          <t>111-8207211-5647403</t>
        </is>
      </c>
      <c r="C1514" s="3" t="inlineStr">
        <is>
          <t>TuckerRocky</t>
        </is>
      </c>
    </row>
    <row collapsed="false" customFormat="false" customHeight="false" hidden="false" ht="12.1" outlineLevel="0" r="1515">
      <c r="A1515" s="3" t="s">
        <f>=HYPERLINK("https://mp39851918.megaplan.ua/deals/90860/card/","15094")</f>
      </c>
      <c r="B1515" s="3" t="inlineStr">
        <is>
          <t>112-9922938-3696246</t>
        </is>
      </c>
      <c r="C1515" s="3" t="inlineStr">
        <is>
          <t>Autodist</t>
        </is>
      </c>
    </row>
    <row collapsed="false" customFormat="false" customHeight="false" hidden="false" ht="12.1" outlineLevel="0" r="1516">
      <c r="A1516" s="3" t="s">
        <f>=HYPERLINK("https://mp39851918.megaplan.ua/deals/90864/card/","15095")</f>
      </c>
      <c r="B1516" s="3" t="inlineStr">
        <is>
          <t>111-3255096-9867434</t>
        </is>
      </c>
      <c r="C1516" s="3" t="inlineStr">
        <is>
          <t>TuckerRocky</t>
        </is>
      </c>
    </row>
    <row collapsed="false" customFormat="false" customHeight="false" hidden="false" ht="12.1" outlineLevel="0" r="1517">
      <c r="A1517" s="3" t="s">
        <f>=HYPERLINK("https://mp39851918.megaplan.ua/deals/90865/card/","15096")</f>
      </c>
      <c r="B1517" s="3" t="inlineStr">
        <is>
          <t>111-2216055-6128209</t>
        </is>
      </c>
      <c r="C1517" s="3" t="inlineStr">
        <is>
          <t>PartsUnlimited</t>
        </is>
      </c>
    </row>
    <row collapsed="false" customFormat="false" customHeight="false" hidden="false" ht="12.1" outlineLevel="0" r="1518">
      <c r="A1518" s="3" t="s">
        <f>=HYPERLINK("https://mp39851918.megaplan.ua/deals/90867/card/","15097")</f>
      </c>
      <c r="B1518" s="3" t="inlineStr">
        <is>
          <t>113-2614708-0513015</t>
        </is>
      </c>
      <c r="C1518" s="3" t="inlineStr">
        <is>
          <t>Autodist</t>
        </is>
      </c>
    </row>
    <row collapsed="false" customFormat="false" customHeight="false" hidden="false" ht="12.1" outlineLevel="0" r="1519">
      <c r="A1519" s="3" t="s">
        <f>=HYPERLINK("https://mp39851918.megaplan.ua/deals/90908/card/","15100")</f>
      </c>
      <c r="B1519" s="3" t="inlineStr">
        <is>
          <t>114-1363836-4498663</t>
        </is>
      </c>
      <c r="C1519" s="3" t="inlineStr">
        <is>
          <t>RockyMountain</t>
        </is>
      </c>
    </row>
    <row collapsed="false" customFormat="false" customHeight="false" hidden="false" ht="12.1" outlineLevel="0" r="1520">
      <c r="A1520" s="3" t="s">
        <f>=HYPERLINK("https://mp39851918.megaplan.ua/deals/90924/card/","15102")</f>
      </c>
      <c r="B1520" s="3" t="inlineStr">
        <is>
          <t>114-5522528-9215408</t>
        </is>
      </c>
      <c r="C1520" s="3" t="inlineStr">
        <is>
          <t>TuckerRocky</t>
        </is>
      </c>
    </row>
    <row collapsed="false" customFormat="false" customHeight="false" hidden="false" ht="12.1" outlineLevel="0" r="1521">
      <c r="A1521" s="3" t="s">
        <f>=HYPERLINK("https://mp39851918.megaplan.ua/deals/90936/card/","15104")</f>
      </c>
      <c r="B1521" s="3" t="inlineStr">
        <is>
          <t>112-5179811-5184202</t>
        </is>
      </c>
      <c r="C1521" s="3" t="inlineStr">
        <is>
          <t>RockyMountain</t>
        </is>
      </c>
    </row>
    <row collapsed="false" customFormat="false" customHeight="false" hidden="false" ht="12.1" outlineLevel="0" r="1522">
      <c r="A1522" s="3" t="s">
        <f>=HYPERLINK("https://mp39851918.megaplan.ua/deals/90938/card/","15105")</f>
      </c>
      <c r="B1522" s="3" t="inlineStr">
        <is>
          <t>113-0626921-0652221</t>
        </is>
      </c>
      <c r="C1522" s="3" t="inlineStr">
        <is>
          <t>RockyMountain</t>
        </is>
      </c>
    </row>
    <row collapsed="false" customFormat="false" customHeight="false" hidden="false" ht="12.1" outlineLevel="0" r="1523">
      <c r="A1523" s="3" t="s">
        <f>=HYPERLINK("https://mp39851918.megaplan.ua/deals/90974/card/","15106")</f>
      </c>
      <c r="B1523" s="3" t="inlineStr">
        <is>
          <t>111-8592739-7005823</t>
        </is>
      </c>
      <c r="C1523" s="3" t="inlineStr">
        <is>
          <t>RockyMountain</t>
        </is>
      </c>
    </row>
    <row collapsed="false" customFormat="false" customHeight="false" hidden="false" ht="12.1" outlineLevel="0" r="1524">
      <c r="A1524" s="3" t="s">
        <f>=HYPERLINK("https://mp39851918.megaplan.ua/deals/90978/card/","15107")</f>
      </c>
      <c r="B1524" s="3" t="inlineStr">
        <is>
          <t>113-4223707-0670669</t>
        </is>
      </c>
      <c r="C1524" s="3" t="inlineStr">
        <is>
          <t>RockyMountain</t>
        </is>
      </c>
    </row>
    <row collapsed="false" customFormat="false" customHeight="false" hidden="false" ht="12.1" outlineLevel="0" r="1525">
      <c r="A1525" s="3" t="s">
        <f>=HYPERLINK("https://mp39851918.megaplan.ua/deals/90979/card/","15108")</f>
      </c>
      <c r="B1525" s="3" t="inlineStr">
        <is>
          <t>112-2745448-4131416</t>
        </is>
      </c>
      <c r="C1525" s="3" t="inlineStr">
        <is>
          <t>Autodist</t>
        </is>
      </c>
    </row>
    <row collapsed="false" customFormat="false" customHeight="false" hidden="false" ht="12.1" outlineLevel="0" r="1526">
      <c r="A1526" s="3" t="s">
        <f>=HYPERLINK("https://mp39851918.megaplan.ua/deals/90986/card/","15109")</f>
      </c>
      <c r="B1526" s="3" t="inlineStr">
        <is>
          <t>111-9303190-4342631</t>
        </is>
      </c>
      <c r="C1526" s="3" t="inlineStr">
        <is>
          <t>PartsUnlimited</t>
        </is>
      </c>
    </row>
    <row collapsed="false" customFormat="false" customHeight="false" hidden="false" ht="12.1" outlineLevel="0" r="1527">
      <c r="A1527" s="3" t="s">
        <f>=HYPERLINK("https://mp39851918.megaplan.ua/deals/91011/card/","15111")</f>
      </c>
      <c r="B1527" s="3" t="inlineStr">
        <is>
          <t>113-5964573-6230646</t>
        </is>
      </c>
      <c r="C1527" s="3" t="inlineStr">
        <is>
          <t>Autodist</t>
        </is>
      </c>
    </row>
    <row collapsed="false" customFormat="false" customHeight="false" hidden="false" ht="12.1" outlineLevel="0" r="1528">
      <c r="A1528" s="3" t="s">
        <f>=HYPERLINK("https://mp39851918.megaplan.ua/deals/91041/card/","15113")</f>
      </c>
      <c r="B1528" s="3" t="inlineStr">
        <is>
          <t>114-2930866-9563469</t>
        </is>
      </c>
      <c r="C1528" s="3" t="inlineStr">
        <is>
          <t>RockyMountain</t>
        </is>
      </c>
    </row>
    <row collapsed="false" customFormat="false" customHeight="false" hidden="false" ht="12.1" outlineLevel="0" r="1529">
      <c r="A1529" s="3" t="s">
        <f>=HYPERLINK("https://mp39851918.megaplan.ua/deals/91074/card/","15117")</f>
      </c>
      <c r="B1529" s="3" t="inlineStr">
        <is>
          <t>112-4349749-4425813</t>
        </is>
      </c>
      <c r="C1529" s="3" t="inlineStr">
        <is>
          <t>Autodist</t>
        </is>
      </c>
    </row>
    <row collapsed="false" customFormat="false" customHeight="false" hidden="false" ht="12.1" outlineLevel="0" r="1530">
      <c r="A1530" s="3" t="s">
        <f>=HYPERLINK("https://mp39851918.megaplan.ua/deals/91079/card/","15118")</f>
      </c>
      <c r="B1530" s="3" t="inlineStr">
        <is>
          <t>111-0619408-8959451</t>
        </is>
      </c>
      <c r="C1530" s="3" t="inlineStr">
        <is>
          <t>Autodist</t>
        </is>
      </c>
    </row>
    <row collapsed="false" customFormat="false" customHeight="false" hidden="false" ht="12.1" outlineLevel="0" r="1531">
      <c r="A1531" s="3" t="s">
        <f>=HYPERLINK("https://mp39851918.megaplan.ua/deals/91083/card/","15119")</f>
      </c>
      <c r="B1531" s="3" t="inlineStr">
        <is>
          <t>113-1227002-2629806</t>
        </is>
      </c>
      <c r="C1531" s="3" t="inlineStr">
        <is>
          <t>Autodist</t>
        </is>
      </c>
    </row>
    <row collapsed="false" customFormat="false" customHeight="false" hidden="false" ht="12.1" outlineLevel="0" r="1532">
      <c r="A1532" s="3" t="s">
        <f>=HYPERLINK("https://mp39851918.megaplan.ua/deals/91084/card/","15120")</f>
      </c>
      <c r="B1532" s="3" t="inlineStr">
        <is>
          <t>114-6480394-1793010</t>
        </is>
      </c>
      <c r="C1532" s="3" t="inlineStr">
        <is>
          <t>Autodist</t>
        </is>
      </c>
    </row>
    <row collapsed="false" customFormat="false" customHeight="false" hidden="false" ht="12.1" outlineLevel="0" r="1533">
      <c r="A1533" s="3" t="s">
        <f>=HYPERLINK("https://mp39851918.megaplan.ua/deals/91086/card/","15121")</f>
      </c>
      <c r="B1533" s="3" t="inlineStr">
        <is>
          <t>111-1401535-9237816</t>
        </is>
      </c>
      <c r="C1533" s="3" t="inlineStr">
        <is>
          <t>TuckerRocky</t>
        </is>
      </c>
    </row>
    <row collapsed="false" customFormat="false" customHeight="false" hidden="false" ht="12.1" outlineLevel="0" r="1534">
      <c r="A1534" s="3" t="s">
        <f>=HYPERLINK("https://mp39851918.megaplan.ua/deals/91095/card/","15122")</f>
      </c>
      <c r="B1534" s="3" t="inlineStr">
        <is>
          <t>113-6456537-6578602</t>
        </is>
      </c>
      <c r="C1534" s="3" t="inlineStr">
        <is>
          <t>RockyMountain</t>
        </is>
      </c>
    </row>
    <row collapsed="false" customFormat="false" customHeight="false" hidden="false" ht="12.1" outlineLevel="0" r="1535">
      <c r="A1535" s="3" t="s">
        <f>=HYPERLINK("https://mp39851918.megaplan.ua/deals/91102/card/","15123")</f>
      </c>
      <c r="B1535" s="3" t="inlineStr">
        <is>
          <t>112-7363014-0676238</t>
        </is>
      </c>
      <c r="C1535" s="3" t="inlineStr">
        <is>
          <t>Autodist</t>
        </is>
      </c>
    </row>
    <row collapsed="false" customFormat="false" customHeight="false" hidden="false" ht="12.1" outlineLevel="0" r="1536">
      <c r="A1536" s="3" t="s">
        <f>=HYPERLINK("https://mp39851918.megaplan.ua/deals/91116/card/","15127")</f>
      </c>
      <c r="B1536" s="3" t="inlineStr">
        <is>
          <t>111-6281039-5374664</t>
        </is>
      </c>
      <c r="C1536" s="3" t="inlineStr">
        <is>
          <t>PartsUnlimited</t>
        </is>
      </c>
    </row>
    <row collapsed="false" customFormat="false" customHeight="false" hidden="false" ht="12.1" outlineLevel="0" r="1537">
      <c r="A1537" s="3" t="s">
        <f>=HYPERLINK("https://mp39851918.megaplan.ua/deals/91117/card/","15128")</f>
      </c>
      <c r="B1537" s="3" t="inlineStr">
        <is>
          <t>112-7495902-8873847</t>
        </is>
      </c>
      <c r="C1537" s="3" t="inlineStr">
        <is>
          <t>TuckerRocky</t>
        </is>
      </c>
    </row>
    <row collapsed="false" customFormat="false" customHeight="false" hidden="false" ht="12.1" outlineLevel="0" r="1538">
      <c r="A1538" s="3" t="s">
        <f>=HYPERLINK("https://mp39851918.megaplan.ua/deals/91118/card/","15129")</f>
      </c>
      <c r="B1538" s="3" t="inlineStr">
        <is>
          <t>113-1205721-6846620</t>
        </is>
      </c>
      <c r="C1538" s="3" t="inlineStr">
        <is>
          <t>Autodist</t>
        </is>
      </c>
    </row>
    <row collapsed="false" customFormat="false" customHeight="false" hidden="false" ht="12.1" outlineLevel="0" r="1539">
      <c r="A1539" s="3" t="s">
        <f>=HYPERLINK("https://mp39851918.megaplan.ua/deals/91119/card/","15130")</f>
      </c>
      <c r="B1539" s="3" t="inlineStr">
        <is>
          <t>113-8948037-4317066</t>
        </is>
      </c>
      <c r="C1539" s="3" t="inlineStr">
        <is>
          <t>RockyMountain</t>
        </is>
      </c>
    </row>
    <row collapsed="false" customFormat="false" customHeight="false" hidden="false" ht="12.1" outlineLevel="0" r="1540">
      <c r="A1540" s="3" t="s">
        <f>=HYPERLINK("https://mp39851918.megaplan.ua/deals/91121/card/","15131")</f>
      </c>
      <c r="B1540" s="3" t="inlineStr">
        <is>
          <t>112-0755804-1586609</t>
        </is>
      </c>
      <c r="C1540" s="3" t="inlineStr">
        <is>
          <t>RockyMountain</t>
        </is>
      </c>
    </row>
    <row collapsed="false" customFormat="false" customHeight="false" hidden="false" ht="12.1" outlineLevel="0" r="1541">
      <c r="A1541" s="3" t="s">
        <f>=HYPERLINK("https://mp39851918.megaplan.ua/deals/91122/card/","15132")</f>
      </c>
      <c r="B1541" s="3" t="inlineStr">
        <is>
          <t>112-8503558-2228232</t>
        </is>
      </c>
      <c r="C1541" s="3" t="inlineStr">
        <is>
          <t>RockyMountain</t>
        </is>
      </c>
    </row>
    <row collapsed="false" customFormat="false" customHeight="false" hidden="false" ht="12.1" outlineLevel="0" r="1542">
      <c r="A1542" s="3" t="s">
        <f>=HYPERLINK("https://mp39851918.megaplan.ua/deals/91127/card/","15133")</f>
      </c>
      <c r="B1542" s="3" t="inlineStr">
        <is>
          <t>113-0406712-5053023</t>
        </is>
      </c>
      <c r="C1542" s="3" t="inlineStr">
        <is>
          <t>TuckerRocky</t>
        </is>
      </c>
    </row>
    <row collapsed="false" customFormat="false" customHeight="false" hidden="false" ht="12.1" outlineLevel="0" r="1543">
      <c r="A1543" s="3" t="s">
        <f>=HYPERLINK("https://mp39851918.megaplan.ua/deals/91128/card/","15134")</f>
      </c>
      <c r="B1543" s="3" t="inlineStr">
        <is>
          <t>113-3961270-2773867</t>
        </is>
      </c>
      <c r="C1543" s="3" t="inlineStr">
        <is>
          <t>RockyMountain</t>
        </is>
      </c>
    </row>
    <row collapsed="false" customFormat="false" customHeight="false" hidden="false" ht="12.1" outlineLevel="0" r="1544">
      <c r="A1544" s="3" t="s">
        <f>=HYPERLINK("https://mp39851918.megaplan.ua/deals/91129/card/","15135")</f>
      </c>
      <c r="B1544" s="3" t="inlineStr">
        <is>
          <t>111-6179809-4816264</t>
        </is>
      </c>
      <c r="C1544" s="3" t="inlineStr">
        <is>
          <t>RockyMountain</t>
        </is>
      </c>
    </row>
    <row collapsed="false" customFormat="false" customHeight="false" hidden="false" ht="12.1" outlineLevel="0" r="1545">
      <c r="A1545" s="3" t="s">
        <f>=HYPERLINK("https://mp39851918.megaplan.ua/deals/91134/card/","15136")</f>
      </c>
      <c r="B1545" s="3" t="inlineStr">
        <is>
          <t>113-8319324-4817061</t>
        </is>
      </c>
      <c r="C1545" s="3" t="inlineStr">
        <is>
          <t>RockyMountain</t>
        </is>
      </c>
    </row>
    <row collapsed="false" customFormat="false" customHeight="false" hidden="false" ht="12.1" outlineLevel="0" r="1546">
      <c r="A1546" s="3" t="s">
        <f>=HYPERLINK("https://mp39851918.megaplan.ua/deals/91135/card/","15137")</f>
      </c>
      <c r="B1546" s="3" t="inlineStr">
        <is>
          <t>111-3992012-1930662</t>
        </is>
      </c>
      <c r="C1546" s="3" t="inlineStr">
        <is>
          <t>RockyMountain</t>
        </is>
      </c>
    </row>
    <row collapsed="false" customFormat="false" customHeight="false" hidden="false" ht="12.1" outlineLevel="0" r="1547">
      <c r="A1547" s="3" t="s">
        <f>=HYPERLINK("https://mp39851918.megaplan.ua/deals/91136/card/","15138")</f>
      </c>
      <c r="B1547" s="3" t="inlineStr">
        <is>
          <t>114-9668376-8846647</t>
        </is>
      </c>
      <c r="C1547" s="3" t="inlineStr">
        <is>
          <t>RockyMountain</t>
        </is>
      </c>
    </row>
    <row collapsed="false" customFormat="false" customHeight="false" hidden="false" ht="12.1" outlineLevel="0" r="1548">
      <c r="A1548" s="3" t="s">
        <f>=HYPERLINK("https://mp39851918.megaplan.ua/deals/91142/card/","15139")</f>
      </c>
      <c r="B1548" s="3" t="inlineStr">
        <is>
          <t>113-3295391-0311427</t>
        </is>
      </c>
      <c r="C1548" s="3" t="inlineStr">
        <is>
          <t>TuckerRocky</t>
        </is>
      </c>
    </row>
    <row collapsed="false" customFormat="false" customHeight="false" hidden="false" ht="12.1" outlineLevel="0" r="1549">
      <c r="A1549" s="3" t="s">
        <f>=HYPERLINK("https://mp39851918.megaplan.ua/deals/91151/card/","15140")</f>
      </c>
      <c r="B1549" s="3" t="inlineStr">
        <is>
          <t>113-9604774-2289840</t>
        </is>
      </c>
      <c r="C1549" s="3" t="inlineStr">
        <is>
          <t>TuckerRocky</t>
        </is>
      </c>
    </row>
    <row collapsed="false" customFormat="false" customHeight="false" hidden="false" ht="12.1" outlineLevel="0" r="1550">
      <c r="A1550" s="3" t="s">
        <f>=HYPERLINK("https://mp39851918.megaplan.ua/deals/91155/card/","15141")</f>
      </c>
      <c r="B1550" s="3" t="inlineStr">
        <is>
          <t>113-3648033-1879441</t>
        </is>
      </c>
      <c r="C1550" s="3" t="inlineStr">
        <is>
          <t>RockyMountain</t>
        </is>
      </c>
    </row>
    <row collapsed="false" customFormat="false" customHeight="false" hidden="false" ht="12.1" outlineLevel="0" r="1551">
      <c r="A1551" s="3" t="s">
        <f>=HYPERLINK("https://mp39851918.megaplan.ua/deals/91171/card/","15142")</f>
      </c>
      <c r="B1551" s="3" t="inlineStr">
        <is>
          <t>112-0374831-0601000</t>
        </is>
      </c>
      <c r="C1551" s="3" t="inlineStr">
        <is>
          <t>RockyMountain</t>
        </is>
      </c>
    </row>
    <row collapsed="false" customFormat="false" customHeight="false" hidden="false" ht="12.1" outlineLevel="0" r="1552">
      <c r="A1552" s="3" t="s">
        <f>=HYPERLINK("https://mp39851918.megaplan.ua/deals/91184/card/","15144")</f>
      </c>
      <c r="B1552" s="3" t="inlineStr">
        <is>
          <t>114-8851002-3473018</t>
        </is>
      </c>
      <c r="C1552" s="3" t="inlineStr">
        <is>
          <t>PartsUnlimited</t>
        </is>
      </c>
    </row>
    <row collapsed="false" customFormat="false" customHeight="false" hidden="false" ht="12.1" outlineLevel="0" r="1553">
      <c r="A1553" s="3" t="s">
        <f>=HYPERLINK("https://mp39851918.megaplan.ua/deals/91219/card/","15145")</f>
      </c>
      <c r="B1553" s="3" t="inlineStr">
        <is>
          <t>111-1514329-1629831</t>
        </is>
      </c>
      <c r="C1553" s="3" t="inlineStr">
        <is>
          <t>Autodist</t>
        </is>
      </c>
    </row>
    <row collapsed="false" customFormat="false" customHeight="false" hidden="false" ht="12.1" outlineLevel="0" r="1554">
      <c r="A1554" s="3" t="s">
        <f>=HYPERLINK("https://mp39851918.megaplan.ua/deals/91222/card/","15146")</f>
      </c>
      <c r="B1554" s="3" t="inlineStr">
        <is>
          <t>113-6286047-4993815</t>
        </is>
      </c>
      <c r="C1554" s="3" t="inlineStr">
        <is>
          <t>Autodist</t>
        </is>
      </c>
    </row>
    <row collapsed="false" customFormat="false" customHeight="false" hidden="false" ht="12.1" outlineLevel="0" r="1555">
      <c r="A1555" s="3" t="s">
        <f>=HYPERLINK("https://mp39851918.megaplan.ua/deals/91232/card/","15147")</f>
      </c>
      <c r="B1555" s="3" t="inlineStr">
        <is>
          <t>111-4554446-4833052</t>
        </is>
      </c>
      <c r="C1555" s="3" t="inlineStr">
        <is>
          <t>PartsUnlimited</t>
        </is>
      </c>
    </row>
    <row collapsed="false" customFormat="false" customHeight="false" hidden="false" ht="12.1" outlineLevel="0" r="1556">
      <c r="A1556" s="3" t="s">
        <f>=HYPERLINK("https://mp39851918.megaplan.ua/deals/91241/card/","15148")</f>
      </c>
      <c r="B1556" s="3" t="inlineStr">
        <is>
          <t>114-2131271-3946611</t>
        </is>
      </c>
      <c r="C1556" s="3" t="inlineStr">
        <is>
          <t>PartsUnlimited</t>
        </is>
      </c>
    </row>
    <row collapsed="false" customFormat="false" customHeight="false" hidden="false" ht="12.1" outlineLevel="0" r="1557">
      <c r="A1557" s="3" t="s">
        <f>=HYPERLINK("https://mp39851918.megaplan.ua/deals/91256/card/","15149")</f>
      </c>
      <c r="B1557" s="3" t="inlineStr">
        <is>
          <t>113-8122113-2161819</t>
        </is>
      </c>
      <c r="C1557" s="3" t="inlineStr">
        <is>
          <t>RockyMountain</t>
        </is>
      </c>
    </row>
    <row collapsed="false" customFormat="false" customHeight="false" hidden="false" ht="12.1" outlineLevel="0" r="1558">
      <c r="A1558" s="3" t="s">
        <f>=HYPERLINK("https://mp39851918.megaplan.ua/deals/91279/card/","15153")</f>
      </c>
      <c r="B1558" s="3" t="inlineStr">
        <is>
          <t>112-4525324-0452231</t>
        </is>
      </c>
      <c r="C1558" s="3" t="inlineStr">
        <is>
          <t>PartsUnlimited</t>
        </is>
      </c>
    </row>
    <row collapsed="false" customFormat="false" customHeight="false" hidden="false" ht="12.1" outlineLevel="0" r="1559">
      <c r="A1559" s="3" t="s">
        <f>=HYPERLINK("https://mp39851918.megaplan.ua/deals/91280/card/","15154")</f>
      </c>
      <c r="B1559" s="3" t="inlineStr">
        <is>
          <t>113-2392557-3856246</t>
        </is>
      </c>
      <c r="C1559" s="3" t="inlineStr">
        <is>
          <t>RockyMountain</t>
        </is>
      </c>
    </row>
    <row collapsed="false" customFormat="false" customHeight="false" hidden="false" ht="12.1" outlineLevel="0" r="1560">
      <c r="A1560" s="3" t="s">
        <f>=HYPERLINK("https://mp39851918.megaplan.ua/deals/91287/card/","15155")</f>
      </c>
      <c r="B1560" s="3" t="inlineStr">
        <is>
          <t>114-9328287-7169030</t>
        </is>
      </c>
      <c r="C1560" s="3" t="inlineStr">
        <is>
          <t>Autodist</t>
        </is>
      </c>
    </row>
    <row collapsed="false" customFormat="false" customHeight="false" hidden="false" ht="12.1" outlineLevel="0" r="1561">
      <c r="A1561" s="3" t="s">
        <f>=HYPERLINK("https://mp39851918.megaplan.ua/deals/91301/card/","15157")</f>
      </c>
      <c r="B1561" s="3" t="inlineStr">
        <is>
          <t>114-6851279-1666658</t>
        </is>
      </c>
      <c r="C1561" s="3" t="inlineStr">
        <is>
          <t>RockyMountain</t>
        </is>
      </c>
    </row>
    <row collapsed="false" customFormat="false" customHeight="false" hidden="false" ht="12.1" outlineLevel="0" r="1562">
      <c r="A1562" s="3" t="s">
        <f>=HYPERLINK("https://mp39851918.megaplan.ua/deals/91302/card/","15158")</f>
      </c>
      <c r="B1562" s="3" t="inlineStr">
        <is>
          <t>111-1017299-7306650</t>
        </is>
      </c>
      <c r="C1562" s="3" t="inlineStr">
        <is>
          <t>Autodist</t>
        </is>
      </c>
    </row>
    <row collapsed="false" customFormat="false" customHeight="false" hidden="false" ht="12.1" outlineLevel="0" r="1563">
      <c r="A1563" s="3" t="s">
        <f>=HYPERLINK("https://mp39851918.megaplan.ua/deals/91306/card/","15159")</f>
      </c>
      <c r="B1563" s="3" t="inlineStr">
        <is>
          <t>112-2618238-7092231</t>
        </is>
      </c>
      <c r="C1563" s="3" t="inlineStr">
        <is>
          <t>RockyMountain</t>
        </is>
      </c>
    </row>
    <row collapsed="false" customFormat="false" customHeight="false" hidden="false" ht="12.1" outlineLevel="0" r="1564">
      <c r="A1564" s="3" t="s">
        <f>=HYPERLINK("https://mp39851918.megaplan.ua/deals/91337/card/","15161")</f>
      </c>
      <c r="B1564" s="3" t="inlineStr">
        <is>
          <t>113-7899296-0625053</t>
        </is>
      </c>
      <c r="C1564" s="3" t="inlineStr">
        <is>
          <t>RockyMountain</t>
        </is>
      </c>
    </row>
    <row collapsed="false" customFormat="false" customHeight="false" hidden="false" ht="12.1" outlineLevel="0" r="1565">
      <c r="A1565" s="3" t="s">
        <f>=HYPERLINK("https://mp39851918.megaplan.ua/deals/91342/card/","15162")</f>
      </c>
      <c r="B1565" s="3" t="inlineStr">
        <is>
          <t>113-3157976-8381048</t>
        </is>
      </c>
      <c r="C1565" s="3" t="inlineStr">
        <is>
          <t>Autodist</t>
        </is>
      </c>
    </row>
    <row collapsed="false" customFormat="false" customHeight="false" hidden="false" ht="12.1" outlineLevel="0" r="1566">
      <c r="A1566" s="3" t="s">
        <f>=HYPERLINK("https://mp39851918.megaplan.ua/deals/91343/card/","15163")</f>
      </c>
      <c r="B1566" s="3" t="inlineStr">
        <is>
          <t>113-8799871-7532251</t>
        </is>
      </c>
      <c r="C1566" s="3" t="inlineStr">
        <is>
          <t>TuckerRocky</t>
        </is>
      </c>
    </row>
    <row collapsed="false" customFormat="false" customHeight="false" hidden="false" ht="12.1" outlineLevel="0" r="1567">
      <c r="A1567" s="3" t="s">
        <f>=HYPERLINK("https://mp39851918.megaplan.ua/deals/91377/card/","15166")</f>
      </c>
      <c r="B1567" s="3" t="inlineStr">
        <is>
          <t>114-7317545-9412227</t>
        </is>
      </c>
      <c r="C1567" s="3" t="inlineStr">
        <is>
          <t>RockyMountain</t>
        </is>
      </c>
    </row>
    <row collapsed="false" customFormat="false" customHeight="false" hidden="false" ht="12.1" outlineLevel="0" r="1568">
      <c r="A1568" s="3" t="s">
        <f>=HYPERLINK("https://mp39851918.megaplan.ua/deals/91384/card/","15167")</f>
      </c>
      <c r="B1568" s="3" t="inlineStr">
        <is>
          <t>113-1935296-3881841</t>
        </is>
      </c>
      <c r="C1568" s="3" t="inlineStr">
        <is>
          <t>TuckerRocky</t>
        </is>
      </c>
    </row>
    <row collapsed="false" customFormat="false" customHeight="false" hidden="false" ht="12.1" outlineLevel="0" r="1569">
      <c r="A1569" s="3" t="s">
        <f>=HYPERLINK("https://mp39851918.megaplan.ua/deals/91391/card/","15168")</f>
      </c>
      <c r="B1569" s="3" t="inlineStr">
        <is>
          <t>112-3289069-0568207</t>
        </is>
      </c>
      <c r="C1569" s="3" t="inlineStr">
        <is>
          <t>TuckerRocky</t>
        </is>
      </c>
    </row>
    <row collapsed="false" customFormat="false" customHeight="false" hidden="false" ht="12.1" outlineLevel="0" r="1570">
      <c r="A1570" s="3" t="s">
        <f>=HYPERLINK("https://mp39851918.megaplan.ua/deals/91406/card/","15170")</f>
      </c>
      <c r="B1570" s="3" t="inlineStr">
        <is>
          <t>111-2475879-9895401</t>
        </is>
      </c>
      <c r="C1570" s="3" t="inlineStr">
        <is>
          <t>RockyMountain</t>
        </is>
      </c>
    </row>
    <row collapsed="false" customFormat="false" customHeight="false" hidden="false" ht="12.1" outlineLevel="0" r="1571">
      <c r="A1571" s="3" t="s">
        <f>=HYPERLINK("https://mp39851918.megaplan.ua/deals/91407/card/","15171")</f>
      </c>
      <c r="B1571" s="3" t="inlineStr">
        <is>
          <t>112-4746920-0009045</t>
        </is>
      </c>
      <c r="C1571" s="3" t="inlineStr">
        <is>
          <t>TuckerRocky</t>
        </is>
      </c>
    </row>
    <row collapsed="false" customFormat="false" customHeight="false" hidden="false" ht="12.1" outlineLevel="0" r="1572">
      <c r="A1572" s="3" t="s">
        <f>=HYPERLINK("https://mp39851918.megaplan.ua/deals/91414/card/","15173")</f>
      </c>
      <c r="B1572" s="3" t="inlineStr">
        <is>
          <t>112-7578750-5964253</t>
        </is>
      </c>
      <c r="C1572" s="3" t="inlineStr">
        <is>
          <t>TuckerRocky</t>
        </is>
      </c>
    </row>
    <row collapsed="false" customFormat="false" customHeight="false" hidden="false" ht="12.1" outlineLevel="0" r="1573">
      <c r="A1573" s="3" t="s">
        <f>=HYPERLINK("https://mp39851918.megaplan.ua/deals/91415/card/","15174")</f>
      </c>
      <c r="B1573" s="3" t="inlineStr">
        <is>
          <t>112-8496998-5661854</t>
        </is>
      </c>
      <c r="C1573" s="3" t="inlineStr">
        <is>
          <t>RockyMountain</t>
        </is>
      </c>
    </row>
    <row collapsed="false" customFormat="false" customHeight="false" hidden="false" ht="12.1" outlineLevel="0" r="1574">
      <c r="A1574" s="3" t="s">
        <f>=HYPERLINK("https://mp39851918.megaplan.ua/deals/91416/card/","15175")</f>
      </c>
      <c r="B1574" s="3" t="inlineStr">
        <is>
          <t>114-3527453-3037810</t>
        </is>
      </c>
      <c r="C1574" s="3" t="inlineStr">
        <is>
          <t>RockyMountain</t>
        </is>
      </c>
    </row>
    <row collapsed="false" customFormat="false" customHeight="false" hidden="false" ht="12.1" outlineLevel="0" r="1575">
      <c r="A1575" s="3" t="s">
        <f>=HYPERLINK("https://mp39851918.megaplan.ua/deals/91429/card/","15176")</f>
      </c>
      <c r="B1575" s="3" t="inlineStr">
        <is>
          <t>112-5012243-8813803</t>
        </is>
      </c>
      <c r="C1575" s="3" t="inlineStr">
        <is>
          <t>Autodist</t>
        </is>
      </c>
    </row>
    <row collapsed="false" customFormat="false" customHeight="false" hidden="false" ht="12.1" outlineLevel="0" r="1576">
      <c r="A1576" s="3" t="s">
        <f>=HYPERLINK("https://mp39851918.megaplan.ua/deals/91437/card/","15177")</f>
      </c>
      <c r="B1576" s="3" t="inlineStr">
        <is>
          <t>113-0387936-6834629</t>
        </is>
      </c>
      <c r="C1576" s="3" t="inlineStr">
        <is>
          <t>RockyMountain</t>
        </is>
      </c>
    </row>
    <row collapsed="false" customFormat="false" customHeight="false" hidden="false" ht="12.1" outlineLevel="0" r="1577">
      <c r="A1577" s="3" t="s">
        <f>=HYPERLINK("https://mp39851918.megaplan.ua/deals/91446/card/","15179")</f>
      </c>
      <c r="B1577" s="3" t="inlineStr">
        <is>
          <t>111-6032846-2580218</t>
        </is>
      </c>
      <c r="C1577" s="3" t="inlineStr">
        <is>
          <t>Autodist</t>
        </is>
      </c>
    </row>
    <row collapsed="false" customFormat="false" customHeight="false" hidden="false" ht="12.1" outlineLevel="0" r="1578">
      <c r="A1578" s="3" t="s">
        <f>=HYPERLINK("https://mp39851918.megaplan.ua/deals/91447/card/","15180")</f>
      </c>
      <c r="B1578" s="3" t="inlineStr">
        <is>
          <t>112-9109674-4083435</t>
        </is>
      </c>
      <c r="C1578" s="3" t="inlineStr">
        <is>
          <t>RockyMountain</t>
        </is>
      </c>
    </row>
    <row collapsed="false" customFormat="false" customHeight="false" hidden="false" ht="12.1" outlineLevel="0" r="1579">
      <c r="A1579" s="3" t="s">
        <f>=HYPERLINK("https://mp39851918.megaplan.ua/deals/91451/card/","15183")</f>
      </c>
      <c r="B1579" s="3" t="inlineStr">
        <is>
          <t>112-2467674-7219445</t>
        </is>
      </c>
      <c r="C1579" s="3" t="inlineStr">
        <is>
          <t>RockyMountain</t>
        </is>
      </c>
    </row>
    <row collapsed="false" customFormat="false" customHeight="false" hidden="false" ht="12.1" outlineLevel="0" r="1580">
      <c r="A1580" s="3" t="s">
        <f>=HYPERLINK("https://mp39851918.megaplan.ua/deals/91452/card/","15184")</f>
      </c>
      <c r="B1580" s="3" t="inlineStr">
        <is>
          <t>112-4997299-8094628</t>
        </is>
      </c>
      <c r="C1580" s="3" t="inlineStr">
        <is>
          <t>RockyMountain</t>
        </is>
      </c>
    </row>
    <row collapsed="false" customFormat="false" customHeight="false" hidden="false" ht="12.1" outlineLevel="0" r="1581">
      <c r="A1581" s="3" t="s">
        <f>=HYPERLINK("https://mp39851918.megaplan.ua/deals/91453/card/","15185")</f>
      </c>
      <c r="B1581" s="3" t="inlineStr">
        <is>
          <t>111-2582328-7814608</t>
        </is>
      </c>
      <c r="C1581" s="3" t="inlineStr">
        <is>
          <t>RockyMountain</t>
        </is>
      </c>
    </row>
    <row collapsed="false" customFormat="false" customHeight="false" hidden="false" ht="12.1" outlineLevel="0" r="1582">
      <c r="A1582" s="3" t="s">
        <f>=HYPERLINK("https://mp39851918.megaplan.ua/deals/91461/card/","15187")</f>
      </c>
      <c r="B1582" s="3" t="inlineStr">
        <is>
          <t>114-7799729-9242600</t>
        </is>
      </c>
      <c r="C1582" s="3" t="inlineStr">
        <is>
          <t>TuckerRocky</t>
        </is>
      </c>
    </row>
    <row collapsed="false" customFormat="false" customHeight="false" hidden="false" ht="12.1" outlineLevel="0" r="1583">
      <c r="A1583" s="3" t="s">
        <f>=HYPERLINK("https://mp39851918.megaplan.ua/deals/91466/card/","15188")</f>
      </c>
      <c r="B1583" s="3" t="inlineStr">
        <is>
          <t>111-3500188-4254642</t>
        </is>
      </c>
      <c r="C1583" s="3" t="inlineStr">
        <is>
          <t>Autodist</t>
        </is>
      </c>
    </row>
    <row collapsed="false" customFormat="false" customHeight="false" hidden="false" ht="12.1" outlineLevel="0" r="1584">
      <c r="A1584" s="3" t="s">
        <f>=HYPERLINK("https://mp39851918.megaplan.ua/deals/91474/card/","15189")</f>
      </c>
      <c r="B1584" s="3" t="inlineStr">
        <is>
          <t>112-3024255-2801030</t>
        </is>
      </c>
      <c r="C1584" s="3" t="inlineStr">
        <is>
          <t>Autodist</t>
        </is>
      </c>
    </row>
    <row collapsed="false" customFormat="false" customHeight="false" hidden="false" ht="12.1" outlineLevel="0" r="1585">
      <c r="A1585" s="3" t="s">
        <f>=HYPERLINK("https://mp39851918.megaplan.ua/deals/91476/card/","15190")</f>
      </c>
      <c r="B1585" s="3" t="inlineStr">
        <is>
          <t>113-6710248-5886666</t>
        </is>
      </c>
      <c r="C1585" s="3" t="inlineStr">
        <is>
          <t>RockyMountain</t>
        </is>
      </c>
    </row>
    <row collapsed="false" customFormat="false" customHeight="false" hidden="false" ht="12.1" outlineLevel="0" r="1586">
      <c r="A1586" s="3" t="s">
        <f>=HYPERLINK("https://mp39851918.megaplan.ua/deals/91477/card/","15191")</f>
      </c>
      <c r="B1586" s="3" t="inlineStr">
        <is>
          <t>112-5707005-5718633</t>
        </is>
      </c>
      <c r="C1586" s="3" t="inlineStr">
        <is>
          <t>RockyMountain</t>
        </is>
      </c>
    </row>
    <row collapsed="false" customFormat="false" customHeight="false" hidden="false" ht="12.1" outlineLevel="0" r="1587">
      <c r="A1587" s="3" t="s">
        <f>=HYPERLINK("https://mp39851918.megaplan.ua/deals/91478/card/","15192")</f>
      </c>
      <c r="B1587" s="3" t="inlineStr">
        <is>
          <t>111-6879402-1888234</t>
        </is>
      </c>
      <c r="C1587" s="3" t="inlineStr">
        <is>
          <t>RockyMountain</t>
        </is>
      </c>
    </row>
    <row collapsed="false" customFormat="false" customHeight="false" hidden="false" ht="12.1" outlineLevel="0" r="1588">
      <c r="A1588" s="3" t="s">
        <f>=HYPERLINK("https://mp39851918.megaplan.ua/deals/91480/card/","15193")</f>
      </c>
      <c r="B1588" s="3" t="inlineStr">
        <is>
          <t>112-1811470-1341862</t>
        </is>
      </c>
      <c r="C1588" s="3" t="inlineStr">
        <is>
          <t>RockyMountain</t>
        </is>
      </c>
    </row>
    <row collapsed="false" customFormat="false" customHeight="false" hidden="false" ht="12.1" outlineLevel="0" r="1589">
      <c r="A1589" s="3" t="s">
        <f>=HYPERLINK("https://mp39851918.megaplan.ua/deals/91482/card/","15194")</f>
      </c>
      <c r="B1589" s="3" t="inlineStr">
        <is>
          <t>111-9557518-0305820</t>
        </is>
      </c>
      <c r="C1589" s="3" t="inlineStr">
        <is>
          <t>RockyMountain</t>
        </is>
      </c>
    </row>
    <row collapsed="false" customFormat="false" customHeight="false" hidden="false" ht="12.1" outlineLevel="0" r="1590">
      <c r="A1590" s="3" t="s">
        <f>=HYPERLINK("https://mp39851918.megaplan.ua/deals/91496/card/","15196")</f>
      </c>
      <c r="B1590" s="3" t="inlineStr">
        <is>
          <t>112-8882600-6242617</t>
        </is>
      </c>
      <c r="C1590" s="3" t="inlineStr">
        <is>
          <t>TuckerRocky</t>
        </is>
      </c>
    </row>
    <row collapsed="false" customFormat="false" customHeight="false" hidden="false" ht="12.1" outlineLevel="0" r="1591">
      <c r="A1591" s="3" t="s">
        <f>=HYPERLINK("https://mp39851918.megaplan.ua/deals/91527/card/","15201")</f>
      </c>
      <c r="B1591" s="3" t="inlineStr">
        <is>
          <t>113-0113454-0885016</t>
        </is>
      </c>
      <c r="C1591" s="3" t="inlineStr">
        <is>
          <t>RockyMountain</t>
        </is>
      </c>
    </row>
    <row collapsed="false" customFormat="false" customHeight="false" hidden="false" ht="12.1" outlineLevel="0" r="1592">
      <c r="A1592" s="3" t="s">
        <f>=HYPERLINK("https://mp39851918.megaplan.ua/deals/91586/card/","15202")</f>
      </c>
      <c r="B1592" s="3" t="inlineStr">
        <is>
          <t>114-7263076-1517867</t>
        </is>
      </c>
      <c r="C1592" s="3" t="inlineStr">
        <is>
          <t>RockyMountain</t>
        </is>
      </c>
    </row>
    <row collapsed="false" customFormat="false" customHeight="false" hidden="false" ht="12.1" outlineLevel="0" r="1593">
      <c r="A1593" s="3" t="s">
        <f>=HYPERLINK("https://mp39851918.megaplan.ua/deals/91607/card/","15203")</f>
      </c>
      <c r="B1593" s="3" t="inlineStr">
        <is>
          <t>113-5303131-5853032</t>
        </is>
      </c>
      <c r="C1593" s="3" t="inlineStr">
        <is>
          <t>PartsUnlimited</t>
        </is>
      </c>
    </row>
    <row collapsed="false" customFormat="false" customHeight="false" hidden="false" ht="12.1" outlineLevel="0" r="1594">
      <c r="A1594" s="3" t="s">
        <f>=HYPERLINK("https://mp39851918.megaplan.ua/deals/91644/card/","15204")</f>
      </c>
      <c r="B1594" s="3" t="inlineStr">
        <is>
          <t>114-9890233-1708209</t>
        </is>
      </c>
      <c r="C1594" s="3" t="inlineStr">
        <is>
          <t>PartsUnlimited</t>
        </is>
      </c>
    </row>
    <row collapsed="false" customFormat="false" customHeight="false" hidden="false" ht="12.1" outlineLevel="0" r="1595">
      <c r="A1595" s="3" t="s">
        <f>=HYPERLINK("https://mp39851918.megaplan.ua/deals/91692/card/","15205")</f>
      </c>
      <c r="B1595" s="3" t="inlineStr">
        <is>
          <t>113-7042170-4553867</t>
        </is>
      </c>
      <c r="C1595" s="3" t="inlineStr">
        <is>
          <t>PartsUnlimited</t>
        </is>
      </c>
    </row>
    <row collapsed="false" customFormat="false" customHeight="false" hidden="false" ht="12.1" outlineLevel="0" r="1596">
      <c r="A1596" s="3" t="s">
        <f>=HYPERLINK("https://mp39851918.megaplan.ua/deals/91719/card/","15210")</f>
      </c>
      <c r="B1596" s="3" t="inlineStr">
        <is>
          <t>113-4863046-9912265</t>
        </is>
      </c>
      <c r="C1596" s="3" t="inlineStr">
        <is>
          <t>PartsUnlimited</t>
        </is>
      </c>
    </row>
    <row collapsed="false" customFormat="false" customHeight="false" hidden="false" ht="12.1" outlineLevel="0" r="1597">
      <c r="A1597" s="3" t="s">
        <f>=HYPERLINK("https://mp39851918.megaplan.ua/deals/91722/card/","15211")</f>
      </c>
      <c r="B1597" s="3" t="inlineStr">
        <is>
          <t>111-6500729-3958628</t>
        </is>
      </c>
      <c r="C1597" s="3" t="inlineStr">
        <is>
          <t>Autodist</t>
        </is>
      </c>
    </row>
    <row collapsed="false" customFormat="false" customHeight="false" hidden="false" ht="12.1" outlineLevel="0" r="1598">
      <c r="A1598" s="3" t="s">
        <f>=HYPERLINK("https://mp39851918.megaplan.ua/deals/91731/card/","15212")</f>
      </c>
      <c r="B1598" s="3" t="inlineStr">
        <is>
          <t>111-7095782-6171444</t>
        </is>
      </c>
      <c r="C1598" s="3" t="inlineStr">
        <is>
          <t>TuckerRocky</t>
        </is>
      </c>
    </row>
    <row collapsed="false" customFormat="false" customHeight="false" hidden="false" ht="12.1" outlineLevel="0" r="1599">
      <c r="A1599" s="3" t="s">
        <f>=HYPERLINK("https://mp39851918.megaplan.ua/deals/91732/card/","15213")</f>
      </c>
      <c r="B1599" s="3" t="inlineStr">
        <is>
          <t>114-1634596-4589831</t>
        </is>
      </c>
      <c r="C1599" s="3" t="inlineStr">
        <is>
          <t>TuckerRocky</t>
        </is>
      </c>
    </row>
    <row collapsed="false" customFormat="false" customHeight="false" hidden="false" ht="12.1" outlineLevel="0" r="1600">
      <c r="A1600" s="3" t="s">
        <f>=HYPERLINK("https://mp39851918.megaplan.ua/deals/91733/card/","15214")</f>
      </c>
      <c r="B1600" s="3" t="inlineStr">
        <is>
          <t>113-9182985-7117867</t>
        </is>
      </c>
      <c r="C1600" s="3" t="inlineStr">
        <is>
          <t>TuckerRocky</t>
        </is>
      </c>
    </row>
    <row collapsed="false" customFormat="false" customHeight="false" hidden="false" ht="12.1" outlineLevel="0" r="1601">
      <c r="A1601" s="3" t="s">
        <f>=HYPERLINK("https://mp39851918.megaplan.ua/deals/91734/card/","15215")</f>
      </c>
      <c r="B1601" s="3" t="inlineStr">
        <is>
          <t>111-4716232-2275433</t>
        </is>
      </c>
      <c r="C1601" s="3" t="inlineStr">
        <is>
          <t>TuckerRocky</t>
        </is>
      </c>
    </row>
    <row collapsed="false" customFormat="false" customHeight="false" hidden="false" ht="12.1" outlineLevel="0" r="1602">
      <c r="A1602" s="3" t="s">
        <f>=HYPERLINK("https://mp39851918.megaplan.ua/deals/91735/card/","15216")</f>
      </c>
      <c r="B1602" s="3" t="inlineStr">
        <is>
          <t>111-7646577-0174641</t>
        </is>
      </c>
      <c r="C1602" s="3" t="inlineStr">
        <is>
          <t>TuckerRocky</t>
        </is>
      </c>
    </row>
    <row collapsed="false" customFormat="false" customHeight="false" hidden="false" ht="12.1" outlineLevel="0" r="1603">
      <c r="A1603" s="3" t="s">
        <f>=HYPERLINK("https://mp39851918.megaplan.ua/deals/91737/card/","15218")</f>
      </c>
      <c r="B1603" s="3" t="inlineStr">
        <is>
          <t>113-2032690-5198628</t>
        </is>
      </c>
      <c r="C1603" s="3" t="inlineStr">
        <is>
          <t>TuckerRocky</t>
        </is>
      </c>
    </row>
    <row collapsed="false" customFormat="false" customHeight="false" hidden="false" ht="12.1" outlineLevel="0" r="1604">
      <c r="A1604" s="3" t="s">
        <f>=HYPERLINK("https://mp39851918.megaplan.ua/deals/91738/card/","15219")</f>
      </c>
      <c r="B1604" s="3" t="inlineStr">
        <is>
          <t>113-6749725-3938654</t>
        </is>
      </c>
      <c r="C1604" s="3" t="inlineStr">
        <is>
          <t>Autodist</t>
        </is>
      </c>
    </row>
    <row collapsed="false" customFormat="false" customHeight="false" hidden="false" ht="12.1" outlineLevel="0" r="1605">
      <c r="A1605" s="3" t="s">
        <f>=HYPERLINK("https://mp39851918.megaplan.ua/deals/91739/card/","15220")</f>
      </c>
      <c r="B1605" s="3" t="inlineStr">
        <is>
          <t>114-9074523-9853007</t>
        </is>
      </c>
      <c r="C1605" s="3" t="inlineStr">
        <is>
          <t>TuckerRocky</t>
        </is>
      </c>
    </row>
    <row collapsed="false" customFormat="false" customHeight="false" hidden="false" ht="12.1" outlineLevel="0" r="1606">
      <c r="A1606" s="3" t="s">
        <f>=HYPERLINK("https://mp39851918.megaplan.ua/deals/91741/card/","15221")</f>
      </c>
      <c r="B1606" s="3" t="inlineStr">
        <is>
          <t>112-5358554-0299423</t>
        </is>
      </c>
      <c r="C1606" s="3" t="inlineStr">
        <is>
          <t>RockyMountain</t>
        </is>
      </c>
    </row>
    <row collapsed="false" customFormat="false" customHeight="false" hidden="false" ht="12.1" outlineLevel="0" r="1607">
      <c r="A1607" s="3" t="s">
        <f>=HYPERLINK("https://mp39851918.megaplan.ua/deals/91744/card/","15222")</f>
      </c>
      <c r="B1607" s="3" t="inlineStr">
        <is>
          <t>112-1375976-2041032</t>
        </is>
      </c>
      <c r="C1607" s="3" t="inlineStr">
        <is>
          <t>RockyMountain</t>
        </is>
      </c>
    </row>
    <row collapsed="false" customFormat="false" customHeight="false" hidden="false" ht="12.1" outlineLevel="0" r="1608">
      <c r="A1608" s="3" t="s">
        <f>=HYPERLINK("https://mp39851918.megaplan.ua/deals/91745/card/","15223")</f>
      </c>
      <c r="B1608" s="3" t="inlineStr">
        <is>
          <t>114-2272364-9089064</t>
        </is>
      </c>
      <c r="C1608" s="3" t="inlineStr">
        <is>
          <t>Autodist</t>
        </is>
      </c>
    </row>
    <row collapsed="false" customFormat="false" customHeight="false" hidden="false" ht="12.1" outlineLevel="0" r="1609">
      <c r="A1609" s="3" t="s">
        <f>=HYPERLINK("https://mp39851918.megaplan.ua/deals/91746/card/","15224")</f>
      </c>
      <c r="B1609" s="3" t="inlineStr">
        <is>
          <t>111-8550082-9741811</t>
        </is>
      </c>
      <c r="C1609" s="3" t="inlineStr">
        <is>
          <t>TuckerRocky</t>
        </is>
      </c>
    </row>
    <row collapsed="false" customFormat="false" customHeight="false" hidden="false" ht="12.1" outlineLevel="0" r="1610">
      <c r="A1610" s="3" t="s">
        <f>=HYPERLINK("https://mp39851918.megaplan.ua/deals/91747/card/","15225")</f>
      </c>
      <c r="B1610" s="3" t="inlineStr">
        <is>
          <t>112-7090475-6559465</t>
        </is>
      </c>
      <c r="C1610" s="3" t="inlineStr">
        <is>
          <t>TuckerRocky</t>
        </is>
      </c>
    </row>
    <row collapsed="false" customFormat="false" customHeight="false" hidden="false" ht="12.1" outlineLevel="0" r="1611">
      <c r="A1611" s="3" t="s">
        <f>=HYPERLINK("https://mp39851918.megaplan.ua/deals/91748/card/","15226")</f>
      </c>
      <c r="B1611" s="3" t="inlineStr">
        <is>
          <t>113-7851775-1402609</t>
        </is>
      </c>
      <c r="C1611" s="3" t="inlineStr">
        <is>
          <t>TuckerRocky</t>
        </is>
      </c>
    </row>
    <row collapsed="false" customFormat="false" customHeight="false" hidden="false" ht="12.1" outlineLevel="0" r="1612">
      <c r="A1612" s="3" t="s">
        <f>=HYPERLINK("https://mp39851918.megaplan.ua/deals/91756/card/","15228")</f>
      </c>
      <c r="B1612" s="3" t="inlineStr">
        <is>
          <t>113-6045477-5651434</t>
        </is>
      </c>
      <c r="C1612" s="3" t="inlineStr">
        <is>
          <t>RockyMountain</t>
        </is>
      </c>
    </row>
    <row collapsed="false" customFormat="false" customHeight="false" hidden="false" ht="12.1" outlineLevel="0" r="1613">
      <c r="A1613" s="3" t="s">
        <f>=HYPERLINK("https://mp39851918.megaplan.ua/deals/91759/card/","15229")</f>
      </c>
      <c r="B1613" s="3" t="inlineStr">
        <is>
          <t>112-4766412-1023445</t>
        </is>
      </c>
      <c r="C1613" s="3" t="inlineStr">
        <is>
          <t>TuckerRocky</t>
        </is>
      </c>
    </row>
    <row collapsed="false" customFormat="false" customHeight="false" hidden="false" ht="12.1" outlineLevel="0" r="1614">
      <c r="A1614" s="3" t="s">
        <f>=HYPERLINK("https://mp39851918.megaplan.ua/deals/91760/card/","15230")</f>
      </c>
      <c r="B1614" s="3" t="inlineStr">
        <is>
          <t>114-8327571-8724214</t>
        </is>
      </c>
      <c r="C1614" s="3" t="inlineStr">
        <is>
          <t>Autodist</t>
        </is>
      </c>
    </row>
    <row collapsed="false" customFormat="false" customHeight="false" hidden="false" ht="12.1" outlineLevel="0" r="1615">
      <c r="A1615" s="3" t="s">
        <f>=HYPERLINK("https://mp39851918.megaplan.ua/deals/91762/card/","15231")</f>
      </c>
      <c r="B1615" s="3" t="inlineStr">
        <is>
          <t>111-7808960-0349051</t>
        </is>
      </c>
      <c r="C1615" s="3" t="inlineStr">
        <is>
          <t>TuckerRocky</t>
        </is>
      </c>
    </row>
    <row collapsed="false" customFormat="false" customHeight="false" hidden="false" ht="12.1" outlineLevel="0" r="1616">
      <c r="A1616" s="3" t="s">
        <f>=HYPERLINK("https://mp39851918.megaplan.ua/deals/91772/card/","15232")</f>
      </c>
      <c r="B1616" s="3" t="inlineStr">
        <is>
          <t>113-5680266-9469837</t>
        </is>
      </c>
      <c r="C1616" s="3" t="inlineStr">
        <is>
          <t>RockyMountain</t>
        </is>
      </c>
    </row>
    <row collapsed="false" customFormat="false" customHeight="false" hidden="false" ht="12.1" outlineLevel="0" r="1617">
      <c r="A1617" s="3" t="s">
        <f>=HYPERLINK("https://mp39851918.megaplan.ua/deals/91774/card/","15233")</f>
      </c>
      <c r="B1617" s="3" t="inlineStr">
        <is>
          <t>113-1039249-9596244</t>
        </is>
      </c>
      <c r="C1617" s="3" t="inlineStr">
        <is>
          <t>TuckerRocky</t>
        </is>
      </c>
    </row>
    <row collapsed="false" customFormat="false" customHeight="false" hidden="false" ht="12.1" outlineLevel="0" r="1618">
      <c r="A1618" s="3" t="s">
        <f>=HYPERLINK("https://mp39851918.megaplan.ua/deals/91775/card/","15234")</f>
      </c>
      <c r="B1618" s="3" t="inlineStr">
        <is>
          <t>114-2909058-4491437</t>
        </is>
      </c>
      <c r="C1618" s="3" t="inlineStr">
        <is>
          <t>TuckerRocky</t>
        </is>
      </c>
    </row>
    <row collapsed="false" customFormat="false" customHeight="false" hidden="false" ht="12.1" outlineLevel="0" r="1619">
      <c r="A1619" s="3" t="s">
        <f>=HYPERLINK("https://mp39851918.megaplan.ua/deals/91777/card/","15236")</f>
      </c>
      <c r="B1619" s="3" t="inlineStr">
        <is>
          <t>113-4111886-1265030</t>
        </is>
      </c>
      <c r="C1619" s="3" t="inlineStr">
        <is>
          <t>TuckerRocky</t>
        </is>
      </c>
    </row>
    <row collapsed="false" customFormat="false" customHeight="false" hidden="false" ht="12.1" outlineLevel="0" r="1620">
      <c r="A1620" s="3" t="s">
        <f>=HYPERLINK("https://mp39851918.megaplan.ua/deals/91779/card/","15237")</f>
      </c>
      <c r="B1620" s="3" t="inlineStr">
        <is>
          <t>112-0944048-9502652</t>
        </is>
      </c>
      <c r="C1620" s="3" t="inlineStr">
        <is>
          <t>TuckerRocky</t>
        </is>
      </c>
    </row>
    <row collapsed="false" customFormat="false" customHeight="false" hidden="false" ht="12.1" outlineLevel="0" r="1621">
      <c r="A1621" s="3" t="s">
        <f>=HYPERLINK("https://mp39851918.megaplan.ua/deals/91780/card/","15238")</f>
      </c>
      <c r="B1621" s="3" t="inlineStr">
        <is>
          <t>113-3689481-1507426</t>
        </is>
      </c>
      <c r="C1621" s="3" t="inlineStr">
        <is>
          <t>Autodist</t>
        </is>
      </c>
    </row>
    <row collapsed="false" customFormat="false" customHeight="false" hidden="false" ht="12.1" outlineLevel="0" r="1622">
      <c r="A1622" s="3" t="s">
        <f>=HYPERLINK("https://mp39851918.megaplan.ua/deals/91781/card/","15239")</f>
      </c>
      <c r="B1622" s="3" t="inlineStr">
        <is>
          <t>113-9567241-9927424</t>
        </is>
      </c>
      <c r="C1622" s="3" t="inlineStr">
        <is>
          <t>Autodist</t>
        </is>
      </c>
    </row>
    <row collapsed="false" customFormat="false" customHeight="false" hidden="false" ht="12.1" outlineLevel="0" r="1623">
      <c r="A1623" s="3" t="s">
        <f>=HYPERLINK("https://mp39851918.megaplan.ua/deals/91782/card/","15240")</f>
      </c>
      <c r="B1623" s="3" t="inlineStr">
        <is>
          <t>113-8651232-9906653</t>
        </is>
      </c>
      <c r="C1623" s="3" t="inlineStr">
        <is>
          <t>TuckerRocky</t>
        </is>
      </c>
    </row>
    <row collapsed="false" customFormat="false" customHeight="false" hidden="false" ht="12.1" outlineLevel="0" r="1624">
      <c r="A1624" s="3" t="s">
        <f>=HYPERLINK("https://mp39851918.megaplan.ua/deals/91783/card/","15241")</f>
      </c>
      <c r="B1624" s="3" t="inlineStr">
        <is>
          <t>111-1361533-7450622</t>
        </is>
      </c>
      <c r="C1624" s="3" t="inlineStr">
        <is>
          <t>Autodist</t>
        </is>
      </c>
    </row>
    <row collapsed="false" customFormat="false" customHeight="false" hidden="false" ht="12.1" outlineLevel="0" r="1625">
      <c r="A1625" s="3" t="s">
        <f>=HYPERLINK("https://mp39851918.megaplan.ua/deals/91784/card/","15242")</f>
      </c>
      <c r="B1625" s="3" t="inlineStr">
        <is>
          <t>113-9851609-0038657</t>
        </is>
      </c>
      <c r="C1625" s="3" t="inlineStr">
        <is>
          <t>TuckerRocky</t>
        </is>
      </c>
    </row>
    <row collapsed="false" customFormat="false" customHeight="false" hidden="false" ht="12.1" outlineLevel="0" r="1626">
      <c r="A1626" s="3" t="s">
        <f>=HYPERLINK("https://mp39851918.megaplan.ua/deals/91785/card/","15243")</f>
      </c>
      <c r="B1626" s="3" t="inlineStr">
        <is>
          <t>114-4603670-8211449</t>
        </is>
      </c>
      <c r="C1626" s="3" t="inlineStr">
        <is>
          <t>Autodist</t>
        </is>
      </c>
    </row>
    <row collapsed="false" customFormat="false" customHeight="false" hidden="false" ht="12.1" outlineLevel="0" r="1627">
      <c r="A1627" s="3" t="s">
        <f>=HYPERLINK("https://mp39851918.megaplan.ua/deals/91787/card/","15244")</f>
      </c>
      <c r="B1627" s="3" t="inlineStr">
        <is>
          <t>114-6816392-7693846</t>
        </is>
      </c>
      <c r="C1627" s="3" t="inlineStr">
        <is>
          <t>Autodist</t>
        </is>
      </c>
    </row>
    <row collapsed="false" customFormat="false" customHeight="false" hidden="false" ht="12.1" outlineLevel="0" r="1628">
      <c r="A1628" s="3" t="s">
        <f>=HYPERLINK("https://mp39851918.megaplan.ua/deals/91788/card/","15245")</f>
      </c>
      <c r="B1628" s="3" t="inlineStr">
        <is>
          <t>114-5948064-9625862</t>
        </is>
      </c>
      <c r="C1628" s="3" t="inlineStr">
        <is>
          <t>TuckerRocky</t>
        </is>
      </c>
    </row>
    <row collapsed="false" customFormat="false" customHeight="false" hidden="false" ht="12.1" outlineLevel="0" r="1629">
      <c r="A1629" s="3" t="s">
        <f>=HYPERLINK("https://mp39851918.megaplan.ua/deals/91791/card/","15246")</f>
      </c>
      <c r="B1629" s="3" t="inlineStr">
        <is>
          <t>111-6704729-5673836</t>
        </is>
      </c>
      <c r="C1629" s="3" t="inlineStr">
        <is>
          <t>RockyMountain</t>
        </is>
      </c>
    </row>
    <row collapsed="false" customFormat="false" customHeight="false" hidden="false" ht="12.1" outlineLevel="0" r="1630">
      <c r="A1630" s="3" t="s">
        <f>=HYPERLINK("https://mp39851918.megaplan.ua/deals/91792/card/","15247")</f>
      </c>
      <c r="B1630" s="3" t="inlineStr">
        <is>
          <t>113-2369803-6095432</t>
        </is>
      </c>
      <c r="C1630" s="3" t="inlineStr">
        <is>
          <t>TuckerRocky</t>
        </is>
      </c>
    </row>
    <row collapsed="false" customFormat="false" customHeight="false" hidden="false" ht="12.1" outlineLevel="0" r="1631">
      <c r="A1631" s="3" t="s">
        <f>=HYPERLINK("https://mp39851918.megaplan.ua/deals/91794/card/","15248")</f>
      </c>
      <c r="B1631" s="3" t="inlineStr">
        <is>
          <t>112-6034155-2745029</t>
        </is>
      </c>
      <c r="C1631" s="3" t="inlineStr">
        <is>
          <t>Autodist</t>
        </is>
      </c>
    </row>
    <row collapsed="false" customFormat="false" customHeight="false" hidden="false" ht="12.1" outlineLevel="0" r="1632">
      <c r="A1632" s="3" t="s">
        <f>=HYPERLINK("https://mp39851918.megaplan.ua/deals/91799/card/","15249")</f>
      </c>
      <c r="B1632" s="3" t="inlineStr">
        <is>
          <t>114-2954619-0668262</t>
        </is>
      </c>
      <c r="C1632" s="3" t="inlineStr">
        <is>
          <t>RockyMountain</t>
        </is>
      </c>
    </row>
    <row collapsed="false" customFormat="false" customHeight="false" hidden="false" ht="12.1" outlineLevel="0" r="1633">
      <c r="A1633" s="3" t="s">
        <f>=HYPERLINK("https://mp39851918.megaplan.ua/deals/91824/card/","15260")</f>
      </c>
      <c r="B1633" s="3" t="inlineStr">
        <is>
          <t>112-7380470-1541004</t>
        </is>
      </c>
      <c r="C1633" s="3" t="inlineStr">
        <is>
          <t>RockyMountain</t>
        </is>
      </c>
    </row>
    <row collapsed="false" customFormat="false" customHeight="false" hidden="false" ht="12.1" outlineLevel="0" r="1634">
      <c r="A1634" s="3" t="s">
        <f>=HYPERLINK("https://mp39851918.megaplan.ua/deals/91828/card/","15261")</f>
      </c>
      <c r="B1634" s="3" t="inlineStr">
        <is>
          <t>111-7425076-1115409</t>
        </is>
      </c>
      <c r="C1634" s="3" t="inlineStr">
        <is>
          <t>TuckerRocky</t>
        </is>
      </c>
    </row>
    <row collapsed="false" customFormat="false" customHeight="false" hidden="false" ht="12.1" outlineLevel="0" r="1635">
      <c r="A1635" s="3" t="s">
        <f>=HYPERLINK("https://mp39851918.megaplan.ua/deals/91834/card/","15262")</f>
      </c>
      <c r="B1635" s="3" t="inlineStr">
        <is>
          <t>112-9752854-3579424</t>
        </is>
      </c>
      <c r="C1635" s="3" t="inlineStr">
        <is>
          <t>PartsUnlimited</t>
        </is>
      </c>
    </row>
    <row collapsed="false" customFormat="false" customHeight="false" hidden="false" ht="12.1" outlineLevel="0" r="1636">
      <c r="A1636" s="3" t="s">
        <f>=HYPERLINK("https://mp39851918.megaplan.ua/deals/91840/card/","15263")</f>
      </c>
      <c r="B1636" s="3" t="inlineStr">
        <is>
          <t>112-2000677-8890602</t>
        </is>
      </c>
      <c r="C1636" s="3" t="inlineStr">
        <is>
          <t>RockyMountain</t>
        </is>
      </c>
    </row>
    <row collapsed="false" customFormat="false" customHeight="false" hidden="false" ht="12.1" outlineLevel="0" r="1637">
      <c r="A1637" s="3" t="s">
        <f>=HYPERLINK("https://mp39851918.megaplan.ua/deals/91843/card/","15264")</f>
      </c>
      <c r="B1637" s="3" t="inlineStr">
        <is>
          <t>112-9288415-7033064</t>
        </is>
      </c>
      <c r="C1637" s="3" t="inlineStr">
        <is>
          <t>Autodist</t>
        </is>
      </c>
    </row>
    <row collapsed="false" customFormat="false" customHeight="false" hidden="false" ht="12.1" outlineLevel="0" r="1638">
      <c r="A1638" s="3" t="s">
        <f>=HYPERLINK("https://mp39851918.megaplan.ua/deals/91857/card/","15265")</f>
      </c>
      <c r="B1638" s="3" t="inlineStr">
        <is>
          <t>113-9633817-4100252</t>
        </is>
      </c>
      <c r="C1638" s="3" t="inlineStr">
        <is>
          <t>RockyMountain</t>
        </is>
      </c>
    </row>
    <row collapsed="false" customFormat="false" customHeight="false" hidden="false" ht="12.1" outlineLevel="0" r="1639">
      <c r="A1639" s="3" t="s">
        <f>=HYPERLINK("https://mp39851918.megaplan.ua/deals/91874/card/","15269")</f>
      </c>
      <c r="B1639" s="3" t="inlineStr">
        <is>
          <t>111-6500729-3958628</t>
        </is>
      </c>
      <c r="C1639" s="3" t="inlineStr">
        <is>
          <t>RockyMountain</t>
        </is>
      </c>
    </row>
    <row collapsed="false" customFormat="false" customHeight="false" hidden="false" ht="12.1" outlineLevel="0" r="1640">
      <c r="A1640" s="3" t="s">
        <f>=HYPERLINK("https://mp39851918.megaplan.ua/deals/91875/card/","15270")</f>
      </c>
      <c r="B1640" s="3" t="inlineStr">
        <is>
          <t>112-9288415-7033064</t>
        </is>
      </c>
      <c r="C1640" s="3" t="inlineStr">
        <is>
          <t>PartsUnlimited</t>
        </is>
      </c>
    </row>
    <row collapsed="false" customFormat="false" customHeight="false" hidden="false" ht="12.1" outlineLevel="0" r="1641">
      <c r="A1641" s="3" t="s">
        <f>=HYPERLINK("https://mp39851918.megaplan.ua/deals/91888/card/","15271")</f>
      </c>
      <c r="B1641" s="3" t="inlineStr">
        <is>
          <t>112-6776891-4552225</t>
        </is>
      </c>
      <c r="C1641" s="3" t="inlineStr">
        <is>
          <t>RockyMountain</t>
        </is>
      </c>
    </row>
    <row collapsed="false" customFormat="false" customHeight="false" hidden="false" ht="12.1" outlineLevel="0" r="1642">
      <c r="A1642" s="3" t="s">
        <f>=HYPERLINK("https://mp39851918.megaplan.ua/deals/91903/card/","15274")</f>
      </c>
      <c r="B1642" s="3" t="inlineStr">
        <is>
          <t>114-9576700-7447427</t>
        </is>
      </c>
      <c r="C1642" s="3" t="inlineStr">
        <is>
          <t>RockyMountain</t>
        </is>
      </c>
    </row>
    <row collapsed="false" customFormat="false" customHeight="false" hidden="false" ht="12.1" outlineLevel="0" r="1643">
      <c r="A1643" s="3" t="s">
        <f>=HYPERLINK("https://mp39851918.megaplan.ua/deals/91904/card/","15275")</f>
      </c>
      <c r="B1643" s="3" t="inlineStr">
        <is>
          <t>114-0441873-5582652</t>
        </is>
      </c>
      <c r="C1643" s="3" t="inlineStr">
        <is>
          <t>Autodist</t>
        </is>
      </c>
    </row>
    <row collapsed="false" customFormat="false" customHeight="false" hidden="false" ht="12.1" outlineLevel="0" r="1644">
      <c r="A1644" s="3" t="s">
        <f>=HYPERLINK("https://mp39851918.megaplan.ua/deals/91906/card/","15276")</f>
      </c>
      <c r="B1644" s="3" t="inlineStr">
        <is>
          <t>111-9910124-5488201</t>
        </is>
      </c>
      <c r="C1644" s="3" t="inlineStr">
        <is>
          <t>TuckerRocky</t>
        </is>
      </c>
    </row>
    <row collapsed="false" customFormat="false" customHeight="false" hidden="false" ht="12.1" outlineLevel="0" r="1645">
      <c r="A1645" s="3" t="s">
        <f>=HYPERLINK("https://mp39851918.megaplan.ua/deals/91908/card/","15277")</f>
      </c>
      <c r="B1645" s="3" t="inlineStr">
        <is>
          <t>113-2659494-0714605</t>
        </is>
      </c>
      <c r="C1645" s="3" t="inlineStr">
        <is>
          <t>TuckerRocky</t>
        </is>
      </c>
    </row>
    <row collapsed="false" customFormat="false" customHeight="false" hidden="false" ht="12.1" outlineLevel="0" r="1646">
      <c r="A1646" s="3" t="s">
        <f>=HYPERLINK("https://mp39851918.megaplan.ua/deals/91917/card/","15280")</f>
      </c>
      <c r="B1646" s="3" t="inlineStr">
        <is>
          <t>111-7285466-0879439</t>
        </is>
      </c>
      <c r="C1646" s="3" t="inlineStr">
        <is>
          <t>RockyMountain</t>
        </is>
      </c>
    </row>
    <row collapsed="false" customFormat="false" customHeight="false" hidden="false" ht="12.1" outlineLevel="0" r="1647">
      <c r="A1647" s="3" t="s">
        <f>=HYPERLINK("https://mp39851918.megaplan.ua/deals/91918/card/","15281")</f>
      </c>
      <c r="B1647" s="3" t="inlineStr">
        <is>
          <t>113-3436774-6173056</t>
        </is>
      </c>
      <c r="C1647" s="3" t="inlineStr">
        <is>
          <t>Autodist</t>
        </is>
      </c>
    </row>
    <row collapsed="false" customFormat="false" customHeight="false" hidden="false" ht="12.1" outlineLevel="0" r="1648">
      <c r="A1648" s="3" t="s">
        <f>=HYPERLINK("https://mp39851918.megaplan.ua/deals/91950/card/","15283")</f>
      </c>
      <c r="B1648" s="3" t="inlineStr">
        <is>
          <t>114-2796853-5773848</t>
        </is>
      </c>
      <c r="C1648" s="3" t="inlineStr">
        <is>
          <t>TuckerRocky</t>
        </is>
      </c>
    </row>
    <row collapsed="false" customFormat="false" customHeight="false" hidden="false" ht="12.1" outlineLevel="0" r="1649">
      <c r="A1649" s="3" t="s">
        <f>=HYPERLINK("https://mp39851918.megaplan.ua/deals/91976/card/","15285")</f>
      </c>
      <c r="B1649" s="3" t="inlineStr">
        <is>
          <t>113-5285581-6243432</t>
        </is>
      </c>
      <c r="C1649" s="3" t="inlineStr">
        <is>
          <t>TuckerRocky</t>
        </is>
      </c>
    </row>
    <row collapsed="false" customFormat="false" customHeight="false" hidden="false" ht="12.1" outlineLevel="0" r="1650">
      <c r="A1650" s="3" t="s">
        <f>=HYPERLINK("https://mp39851918.megaplan.ua/deals/91985/card/","15289")</f>
      </c>
      <c r="B1650" s="3" t="inlineStr">
        <is>
          <t>113-8289389-9402611</t>
        </is>
      </c>
      <c r="C1650" s="3" t="inlineStr">
        <is>
          <t>Autodist</t>
        </is>
      </c>
    </row>
    <row collapsed="false" customFormat="false" customHeight="false" hidden="false" ht="12.1" outlineLevel="0" r="1651">
      <c r="A1651" s="3" t="s">
        <f>=HYPERLINK("https://mp39851918.megaplan.ua/deals/91986/card/","15290")</f>
      </c>
      <c r="B1651" s="3" t="inlineStr">
        <is>
          <t>114-1575775-3421056</t>
        </is>
      </c>
      <c r="C1651" s="3" t="inlineStr">
        <is>
          <t>TuckerRocky</t>
        </is>
      </c>
    </row>
    <row collapsed="false" customFormat="false" customHeight="false" hidden="false" ht="12.1" outlineLevel="0" r="1652">
      <c r="A1652" s="3" t="s">
        <f>=HYPERLINK("https://mp39851918.megaplan.ua/deals/91991/card/","15292")</f>
      </c>
      <c r="B1652" s="3" t="inlineStr">
        <is>
          <t>111-4374660-9408205</t>
        </is>
      </c>
      <c r="C1652" s="3" t="inlineStr">
        <is>
          <t>RockyMountain</t>
        </is>
      </c>
    </row>
    <row collapsed="false" customFormat="false" customHeight="false" hidden="false" ht="12.1" outlineLevel="0" r="1653">
      <c r="A1653" s="3" t="s">
        <f>=HYPERLINK("https://mp39851918.megaplan.ua/deals/91992/card/","15293")</f>
      </c>
      <c r="B1653" s="3" t="inlineStr">
        <is>
          <t>112-5034885-2544253</t>
        </is>
      </c>
      <c r="C1653" s="3" t="inlineStr">
        <is>
          <t>TuckerRocky</t>
        </is>
      </c>
    </row>
    <row collapsed="false" customFormat="false" customHeight="false" hidden="false" ht="12.1" outlineLevel="0" r="1654">
      <c r="A1654" s="3" t="s">
        <f>=HYPERLINK("https://mp39851918.megaplan.ua/deals/92005/card/","15295")</f>
      </c>
      <c r="B1654" s="3" t="inlineStr">
        <is>
          <t>114-1813544-6090628</t>
        </is>
      </c>
      <c r="C1654" s="3" t="inlineStr">
        <is>
          <t>Autodist</t>
        </is>
      </c>
    </row>
    <row collapsed="false" customFormat="false" customHeight="false" hidden="false" ht="12.1" outlineLevel="0" r="1655">
      <c r="A1655" s="3" t="s">
        <f>=HYPERLINK("https://mp39851918.megaplan.ua/deals/92008/card/","15296")</f>
      </c>
      <c r="B1655" s="3" t="inlineStr">
        <is>
          <t>114-8182477-8354619</t>
        </is>
      </c>
      <c r="C1655" s="3" t="inlineStr">
        <is>
          <t>TuckerRocky</t>
        </is>
      </c>
    </row>
    <row collapsed="false" customFormat="false" customHeight="false" hidden="false" ht="12.1" outlineLevel="0" r="1656">
      <c r="A1656" s="3" t="s">
        <f>=HYPERLINK("https://mp39851918.megaplan.ua/deals/92036/card/","15300")</f>
      </c>
      <c r="B1656" s="3" t="inlineStr">
        <is>
          <t>111-0728862-5817808</t>
        </is>
      </c>
      <c r="C1656" s="3" t="inlineStr">
        <is>
          <t>TuckerRocky</t>
        </is>
      </c>
    </row>
    <row collapsed="false" customFormat="false" customHeight="false" hidden="false" ht="12.1" outlineLevel="0" r="1657">
      <c r="A1657" s="3" t="s">
        <f>=HYPERLINK("https://mp39851918.megaplan.ua/deals/92037/card/","15301")</f>
      </c>
      <c r="B1657" s="3" t="inlineStr">
        <is>
          <t>114-2352232-6245822</t>
        </is>
      </c>
      <c r="C1657" s="3" t="inlineStr">
        <is>
          <t>TuckerRocky</t>
        </is>
      </c>
    </row>
    <row collapsed="false" customFormat="false" customHeight="false" hidden="false" ht="12.1" outlineLevel="0" r="1658">
      <c r="A1658" s="3" t="s">
        <f>=HYPERLINK("https://mp39851918.megaplan.ua/deals/92068/card/","15303")</f>
      </c>
      <c r="B1658" s="3" t="inlineStr">
        <is>
          <t>111-4093801-2743451</t>
        </is>
      </c>
      <c r="C1658" s="3" t="inlineStr">
        <is>
          <t>TuckerRocky</t>
        </is>
      </c>
    </row>
    <row collapsed="false" customFormat="false" customHeight="false" hidden="false" ht="12.1" outlineLevel="0" r="1659">
      <c r="A1659" s="3" t="s">
        <f>=HYPERLINK("https://mp39851918.megaplan.ua/deals/92069/card/","15304")</f>
      </c>
      <c r="B1659" s="3" t="inlineStr">
        <is>
          <t>111-4033477-5168232</t>
        </is>
      </c>
      <c r="C1659" s="3" t="inlineStr">
        <is>
          <t>RockyMountain</t>
        </is>
      </c>
    </row>
    <row collapsed="false" customFormat="false" customHeight="false" hidden="false" ht="12.1" outlineLevel="0" r="1660">
      <c r="A1660" s="3" t="s">
        <f>=HYPERLINK("https://mp39851918.megaplan.ua/deals/92070/card/","15305")</f>
      </c>
      <c r="B1660" s="3" t="inlineStr">
        <is>
          <t>114-8577730-0640224</t>
        </is>
      </c>
      <c r="C1660" s="3" t="inlineStr">
        <is>
          <t>Autodist</t>
        </is>
      </c>
    </row>
    <row collapsed="false" customFormat="false" customHeight="false" hidden="false" ht="12.1" outlineLevel="0" r="1661">
      <c r="A1661" s="3" t="s">
        <f>=HYPERLINK("https://mp39851918.megaplan.ua/deals/92079/card/","15306")</f>
      </c>
      <c r="B1661" s="3" t="inlineStr">
        <is>
          <t>112-4593164-6194601</t>
        </is>
      </c>
      <c r="C1661" s="3" t="inlineStr">
        <is>
          <t>TuckerRocky</t>
        </is>
      </c>
    </row>
    <row collapsed="false" customFormat="false" customHeight="false" hidden="false" ht="12.1" outlineLevel="0" r="1662">
      <c r="A1662" s="3" t="s">
        <f>=HYPERLINK("https://mp39851918.megaplan.ua/deals/92084/card/","15307")</f>
      </c>
      <c r="B1662" s="3" t="inlineStr">
        <is>
          <t>112-8844623-3180264</t>
        </is>
      </c>
      <c r="C1662" s="3" t="inlineStr">
        <is>
          <t>RockyMountain</t>
        </is>
      </c>
    </row>
    <row collapsed="false" customFormat="false" customHeight="false" hidden="false" ht="12.1" outlineLevel="0" r="1663">
      <c r="A1663" s="3" t="s">
        <f>=HYPERLINK("https://mp39851918.megaplan.ua/deals/92087/card/","15308")</f>
      </c>
      <c r="B1663" s="3" t="inlineStr">
        <is>
          <t>114-7749021-6869835</t>
        </is>
      </c>
      <c r="C1663" s="3" t="inlineStr">
        <is>
          <t>RockyMountain</t>
        </is>
      </c>
    </row>
    <row collapsed="false" customFormat="false" customHeight="false" hidden="false" ht="12.1" outlineLevel="0" r="1664">
      <c r="A1664" s="3" t="s">
        <f>=HYPERLINK("https://mp39851918.megaplan.ua/deals/92088/card/","15309")</f>
      </c>
      <c r="B1664" s="3" t="inlineStr">
        <is>
          <t>111-8576554-7633817</t>
        </is>
      </c>
      <c r="C1664" s="3" t="inlineStr">
        <is>
          <t>RockyMountain</t>
        </is>
      </c>
    </row>
    <row collapsed="false" customFormat="false" customHeight="false" hidden="false" ht="12.1" outlineLevel="0" r="1665">
      <c r="A1665" s="3" t="s">
        <f>=HYPERLINK("https://mp39851918.megaplan.ua/deals/92090/card/","15310")</f>
      </c>
      <c r="B1665" s="3" t="inlineStr">
        <is>
          <t>111-8854491-0951407</t>
        </is>
      </c>
      <c r="C1665" s="3" t="inlineStr">
        <is>
          <t>RockyMountain</t>
        </is>
      </c>
    </row>
    <row collapsed="false" customFormat="false" customHeight="false" hidden="false" ht="12.1" outlineLevel="0" r="1666">
      <c r="A1666" s="3" t="s">
        <f>=HYPERLINK("https://mp39851918.megaplan.ua/deals/92091/card/","15311")</f>
      </c>
      <c r="B1666" s="3" t="inlineStr">
        <is>
          <t>113-4282939-1164268</t>
        </is>
      </c>
      <c r="C1666" s="3" t="inlineStr">
        <is>
          <t>TuckerRocky</t>
        </is>
      </c>
    </row>
    <row collapsed="false" customFormat="false" customHeight="false" hidden="false" ht="12.1" outlineLevel="0" r="1667">
      <c r="A1667" s="3" t="s">
        <f>=HYPERLINK("https://mp39851918.megaplan.ua/deals/92092/card/","15312")</f>
      </c>
      <c r="B1667" s="3" t="inlineStr">
        <is>
          <t>114-3243681-3064236</t>
        </is>
      </c>
      <c r="C1667" s="3" t="inlineStr">
        <is>
          <t>RockyMountain</t>
        </is>
      </c>
    </row>
    <row collapsed="false" customFormat="false" customHeight="false" hidden="false" ht="12.1" outlineLevel="0" r="1668">
      <c r="A1668" s="3" t="s">
        <f>=HYPERLINK("https://mp39851918.megaplan.ua/deals/92093/card/","15313")</f>
      </c>
      <c r="B1668" s="3" t="inlineStr">
        <is>
          <t>111-0186013-6481033</t>
        </is>
      </c>
      <c r="C1668" s="3" t="inlineStr">
        <is>
          <t>Autodist</t>
        </is>
      </c>
    </row>
    <row collapsed="false" customFormat="false" customHeight="false" hidden="false" ht="12.1" outlineLevel="0" r="1669">
      <c r="A1669" s="3" t="s">
        <f>=HYPERLINK("https://mp39851918.megaplan.ua/deals/92094/card/","15314")</f>
      </c>
      <c r="B1669" s="3" t="inlineStr">
        <is>
          <t>112-0592800-3627427</t>
        </is>
      </c>
      <c r="C1669" s="3" t="inlineStr">
        <is>
          <t>PartsUnlimited</t>
        </is>
      </c>
    </row>
    <row collapsed="false" customFormat="false" customHeight="false" hidden="false" ht="12.1" outlineLevel="0" r="1670">
      <c r="A1670" s="3" t="s">
        <f>=HYPERLINK("https://mp39851918.megaplan.ua/deals/92096/card/","15315")</f>
      </c>
      <c r="B1670" s="3" t="inlineStr">
        <is>
          <t>111-1294529-0365807</t>
        </is>
      </c>
      <c r="C1670" s="3" t="inlineStr">
        <is>
          <t>TuckerRocky</t>
        </is>
      </c>
    </row>
    <row collapsed="false" customFormat="false" customHeight="false" hidden="false" ht="12.1" outlineLevel="0" r="1671">
      <c r="A1671" s="3" t="s">
        <f>=HYPERLINK("https://mp39851918.megaplan.ua/deals/92097/card/","15316")</f>
      </c>
      <c r="B1671" s="3" t="inlineStr">
        <is>
          <t>114-3157177-7270640</t>
        </is>
      </c>
      <c r="C1671" s="3" t="inlineStr">
        <is>
          <t>RockyMountain</t>
        </is>
      </c>
    </row>
    <row collapsed="false" customFormat="false" customHeight="false" hidden="false" ht="12.1" outlineLevel="0" r="1672">
      <c r="A1672" s="3" t="s">
        <f>=HYPERLINK("https://mp39851918.megaplan.ua/deals/92098/card/","15317")</f>
      </c>
      <c r="B1672" s="3" t="inlineStr">
        <is>
          <t>113-8518733-7802611</t>
        </is>
      </c>
      <c r="C1672" s="3" t="inlineStr">
        <is>
          <t>RockyMountain</t>
        </is>
      </c>
    </row>
    <row collapsed="false" customFormat="false" customHeight="false" hidden="false" ht="12.1" outlineLevel="0" r="1673">
      <c r="A1673" s="3" t="s">
        <f>=HYPERLINK("https://mp39851918.megaplan.ua/deals/92100/card/","15318")</f>
      </c>
      <c r="B1673" s="3" t="inlineStr">
        <is>
          <t>111-8854491-0951407</t>
        </is>
      </c>
      <c r="C1673" s="3" t="inlineStr">
        <is>
          <t>RockyMountain</t>
        </is>
      </c>
    </row>
    <row collapsed="false" customFormat="false" customHeight="false" hidden="false" ht="12.1" outlineLevel="0" r="1674">
      <c r="A1674" s="3" t="s">
        <f>=HYPERLINK("https://mp39851918.megaplan.ua/deals/92108/card/","15319")</f>
      </c>
      <c r="B1674" s="3" t="inlineStr">
        <is>
          <t>111-7993751-7625812</t>
        </is>
      </c>
      <c r="C1674" s="3" t="inlineStr">
        <is>
          <t>RockyMountain</t>
        </is>
      </c>
    </row>
    <row collapsed="false" customFormat="false" customHeight="false" hidden="false" ht="12.1" outlineLevel="0" r="1675">
      <c r="A1675" s="3" t="s">
        <f>=HYPERLINK("https://mp39851918.megaplan.ua/deals/92111/card/","15320")</f>
      </c>
      <c r="B1675" s="3" t="inlineStr">
        <is>
          <t>114-7749021-6869835</t>
        </is>
      </c>
      <c r="C1675" s="3" t="inlineStr">
        <is>
          <t>RockyMountain</t>
        </is>
      </c>
    </row>
    <row collapsed="false" customFormat="false" customHeight="false" hidden="false" ht="12.1" outlineLevel="0" r="1676">
      <c r="A1676" s="3" t="s">
        <f>=HYPERLINK("https://mp39851918.megaplan.ua/deals/92118/card/","15321")</f>
      </c>
      <c r="B1676" s="3" t="inlineStr">
        <is>
          <t>111-8036439-1476215</t>
        </is>
      </c>
      <c r="C1676" s="3" t="inlineStr">
        <is>
          <t>RockyMountain</t>
        </is>
      </c>
    </row>
    <row collapsed="false" customFormat="false" customHeight="false" hidden="false" ht="12.1" outlineLevel="0" r="1677">
      <c r="A1677" s="3" t="s">
        <f>=HYPERLINK("https://mp39851918.megaplan.ua/deals/92121/card/","15322")</f>
      </c>
      <c r="B1677" s="3" t="inlineStr">
        <is>
          <t>113-4282939-1164268</t>
        </is>
      </c>
      <c r="C1677" s="3" t="inlineStr">
        <is>
          <t>PartsUnlimited</t>
        </is>
      </c>
    </row>
    <row collapsed="false" customFormat="false" customHeight="false" hidden="false" ht="12.1" outlineLevel="0" r="1678">
      <c r="A1678" s="3" t="s">
        <f>=HYPERLINK("https://mp39851918.megaplan.ua/deals/92153/card/","15328")</f>
      </c>
      <c r="B1678" s="3" t="inlineStr">
        <is>
          <t>113-9293054-3622634</t>
        </is>
      </c>
      <c r="C1678" s="3" t="inlineStr">
        <is>
          <t>TuckerRocky</t>
        </is>
      </c>
    </row>
    <row collapsed="false" customFormat="false" customHeight="false" hidden="false" ht="12.1" outlineLevel="0" r="1679">
      <c r="A1679" s="3" t="s">
        <f>=HYPERLINK("https://mp39851918.megaplan.ua/deals/92167/card/","15330")</f>
      </c>
      <c r="B1679" s="3" t="inlineStr">
        <is>
          <t>113-4011068-1070601</t>
        </is>
      </c>
      <c r="C1679" s="3" t="inlineStr">
        <is>
          <t>RockyMountain</t>
        </is>
      </c>
    </row>
    <row collapsed="false" customFormat="false" customHeight="false" hidden="false" ht="12.1" outlineLevel="0" r="1680">
      <c r="A1680" s="3" t="s">
        <f>=HYPERLINK("https://mp39851918.megaplan.ua/deals/92173/card/","15332")</f>
      </c>
      <c r="B1680" s="3" t="inlineStr">
        <is>
          <t>113-6151186-8085821</t>
        </is>
      </c>
      <c r="C1680" s="3" t="inlineStr">
        <is>
          <t>TuckerRocky</t>
        </is>
      </c>
    </row>
    <row collapsed="false" customFormat="false" customHeight="false" hidden="false" ht="12.1" outlineLevel="0" r="1681">
      <c r="A1681" s="3" t="s">
        <f>=HYPERLINK("https://mp39851918.megaplan.ua/deals/92174/card/","15333")</f>
      </c>
      <c r="B1681" s="3" t="inlineStr">
        <is>
          <t>113-9740701-6844201</t>
        </is>
      </c>
      <c r="C1681" s="3" t="inlineStr">
        <is>
          <t>TuckerRocky</t>
        </is>
      </c>
    </row>
    <row collapsed="false" customFormat="false" customHeight="false" hidden="false" ht="12.1" outlineLevel="0" r="1682">
      <c r="A1682" s="3" t="s">
        <f>=HYPERLINK("https://mp39851918.megaplan.ua/deals/92178/card/","15335")</f>
      </c>
      <c r="B1682" s="3" t="inlineStr">
        <is>
          <t>112-1481562-0441828</t>
        </is>
      </c>
      <c r="C1682" s="3" t="inlineStr">
        <is>
          <t>Autodist</t>
        </is>
      </c>
    </row>
    <row collapsed="false" customFormat="false" customHeight="false" hidden="false" ht="12.1" outlineLevel="0" r="1683">
      <c r="A1683" s="3" t="s">
        <f>=HYPERLINK("https://mp39851918.megaplan.ua/deals/92183/card/","15336")</f>
      </c>
      <c r="B1683" s="3" t="inlineStr">
        <is>
          <t>114-6180263-2836256</t>
        </is>
      </c>
      <c r="C1683" s="3" t="inlineStr">
        <is>
          <t>TuckerRocky</t>
        </is>
      </c>
    </row>
    <row collapsed="false" customFormat="false" customHeight="false" hidden="false" ht="12.1" outlineLevel="0" r="1684">
      <c r="A1684" s="3" t="s">
        <f>=HYPERLINK("https://mp39851918.megaplan.ua/deals/92192/card/","15338")</f>
      </c>
      <c r="B1684" s="3" t="inlineStr">
        <is>
          <t>111-8023027-8934667</t>
        </is>
      </c>
      <c r="C1684" s="3" t="inlineStr">
        <is>
          <t>PartsUnlimited</t>
        </is>
      </c>
    </row>
    <row collapsed="false" customFormat="false" customHeight="false" hidden="false" ht="12.1" outlineLevel="0" r="1685">
      <c r="A1685" s="3" t="s">
        <f>=HYPERLINK("https://mp39851918.megaplan.ua/deals/92193/card/","15339")</f>
      </c>
      <c r="B1685" s="3" t="inlineStr">
        <is>
          <t>113-4041700-6197008</t>
        </is>
      </c>
      <c r="C1685" s="3" t="inlineStr">
        <is>
          <t>Autodist</t>
        </is>
      </c>
    </row>
    <row collapsed="false" customFormat="false" customHeight="false" hidden="false" ht="12.1" outlineLevel="0" r="1686">
      <c r="A1686" s="3" t="s">
        <f>=HYPERLINK("https://mp39851918.megaplan.ua/deals/92197/card/","15340")</f>
      </c>
      <c r="B1686" s="3" t="inlineStr">
        <is>
          <t>111-0497545-3433853</t>
        </is>
      </c>
      <c r="C1686" s="3" t="inlineStr">
        <is>
          <t>TuckerRocky</t>
        </is>
      </c>
    </row>
    <row collapsed="false" customFormat="false" customHeight="false" hidden="false" ht="12.1" outlineLevel="0" r="1687">
      <c r="A1687" s="3" t="s">
        <f>=HYPERLINK("https://mp39851918.megaplan.ua/deals/92213/card/","15342")</f>
      </c>
      <c r="B1687" s="3" t="inlineStr">
        <is>
          <t>111-9777446-9791417</t>
        </is>
      </c>
      <c r="C1687" s="3" t="inlineStr">
        <is>
          <t>TuckerRocky</t>
        </is>
      </c>
    </row>
    <row collapsed="false" customFormat="false" customHeight="false" hidden="false" ht="12.1" outlineLevel="0" r="1688">
      <c r="A1688" s="3" t="s">
        <f>=HYPERLINK("https://mp39851918.megaplan.ua/deals/92228/card/","15344")</f>
      </c>
      <c r="B1688" s="3" t="inlineStr">
        <is>
          <t>112-8582961-2472226</t>
        </is>
      </c>
      <c r="C1688" s="3" t="inlineStr">
        <is>
          <t>TuckerRocky</t>
        </is>
      </c>
    </row>
    <row collapsed="false" customFormat="false" customHeight="false" hidden="false" ht="12.1" outlineLevel="0" r="1689">
      <c r="A1689" s="3" t="s">
        <f>=HYPERLINK("https://mp39851918.megaplan.ua/deals/92235/card/","15345")</f>
      </c>
      <c r="B1689" s="3" t="inlineStr">
        <is>
          <t>114-4111269-8568204</t>
        </is>
      </c>
      <c r="C1689" s="3" t="inlineStr">
        <is>
          <t>PartsUnlimited</t>
        </is>
      </c>
    </row>
    <row collapsed="false" customFormat="false" customHeight="false" hidden="false" ht="12.1" outlineLevel="0" r="1690">
      <c r="A1690" s="3" t="s">
        <f>=HYPERLINK("https://mp39851918.megaplan.ua/deals/92260/card/","15346")</f>
      </c>
      <c r="B1690" s="3" t="inlineStr">
        <is>
          <t>112-9167000-8204246</t>
        </is>
      </c>
      <c r="C1690" s="3" t="inlineStr">
        <is>
          <t>TuckerRocky</t>
        </is>
      </c>
    </row>
    <row collapsed="false" customFormat="false" customHeight="false" hidden="false" ht="12.1" outlineLevel="0" r="1691">
      <c r="A1691" s="3" t="s">
        <f>=HYPERLINK("https://mp39851918.megaplan.ua/deals/92303/card/","15351")</f>
      </c>
      <c r="B1691" s="3" t="inlineStr">
        <is>
          <t>112-1851664-0170638</t>
        </is>
      </c>
      <c r="C1691" s="3" t="inlineStr">
        <is>
          <t>RockyMountain</t>
        </is>
      </c>
    </row>
    <row collapsed="false" customFormat="false" customHeight="false" hidden="false" ht="12.1" outlineLevel="0" r="1692">
      <c r="A1692" s="3" t="s">
        <f>=HYPERLINK("https://mp39851918.megaplan.ua/deals/92304/card/","15352")</f>
      </c>
      <c r="B1692" s="3" t="inlineStr">
        <is>
          <t>114-5393653-4749831</t>
        </is>
      </c>
      <c r="C1692" s="3" t="inlineStr">
        <is>
          <t>RockyMountain</t>
        </is>
      </c>
    </row>
    <row collapsed="false" customFormat="false" customHeight="false" hidden="false" ht="12.1" outlineLevel="0" r="1693">
      <c r="A1693" s="3" t="s">
        <f>=HYPERLINK("https://mp39851918.megaplan.ua/deals/92307/card/","15353")</f>
      </c>
      <c r="B1693" s="3" t="inlineStr">
        <is>
          <t>114-2962736-2481063</t>
        </is>
      </c>
      <c r="C1693" s="3" t="inlineStr">
        <is>
          <t>Autodist</t>
        </is>
      </c>
    </row>
    <row collapsed="false" customFormat="false" customHeight="false" hidden="false" ht="12.1" outlineLevel="0" r="1694">
      <c r="A1694" s="3" t="s">
        <f>=HYPERLINK("https://mp39851918.megaplan.ua/deals/92315/card/","15355")</f>
      </c>
      <c r="B1694" s="3" t="inlineStr">
        <is>
          <t>111-7029558-4845014</t>
        </is>
      </c>
      <c r="C1694" s="3" t="inlineStr">
        <is>
          <t>TuckerRocky</t>
        </is>
      </c>
    </row>
    <row collapsed="false" customFormat="false" customHeight="false" hidden="false" ht="12.1" outlineLevel="0" r="1695">
      <c r="A1695" s="3" t="s">
        <f>=HYPERLINK("https://mp39851918.megaplan.ua/deals/92338/card/","15356")</f>
      </c>
      <c r="B1695" s="3" t="inlineStr">
        <is>
          <t>113-4217953-6097818</t>
        </is>
      </c>
      <c r="C1695" s="3" t="inlineStr">
        <is>
          <t>Autodist</t>
        </is>
      </c>
    </row>
    <row collapsed="false" customFormat="false" customHeight="false" hidden="false" ht="12.1" outlineLevel="0" r="1696">
      <c r="A1696" s="3" t="s">
        <f>=HYPERLINK("https://mp39851918.megaplan.ua/deals/92344/card/","15357")</f>
      </c>
      <c r="B1696" s="3" t="inlineStr">
        <is>
          <t>114-2502207-6815442</t>
        </is>
      </c>
      <c r="C1696" s="3" t="inlineStr">
        <is>
          <t>RockyMountain</t>
        </is>
      </c>
    </row>
    <row collapsed="false" customFormat="false" customHeight="false" hidden="false" ht="12.1" outlineLevel="0" r="1697">
      <c r="A1697" s="3" t="s">
        <f>=HYPERLINK("https://mp39851918.megaplan.ua/deals/92345/card/","15358")</f>
      </c>
      <c r="B1697" s="3" t="inlineStr">
        <is>
          <t>113-8356770-1934655</t>
        </is>
      </c>
      <c r="C1697" s="3" t="inlineStr">
        <is>
          <t>TuckerRocky</t>
        </is>
      </c>
    </row>
    <row collapsed="false" customFormat="false" customHeight="false" hidden="false" ht="12.1" outlineLevel="0" r="1698">
      <c r="A1698" s="3" t="s">
        <f>=HYPERLINK("https://mp39851918.megaplan.ua/deals/92351/card/","15359")</f>
      </c>
      <c r="B1698" s="3" t="inlineStr">
        <is>
          <t>112-1808827-0612224</t>
        </is>
      </c>
      <c r="C1698" s="3" t="inlineStr">
        <is>
          <t>TuckerRocky</t>
        </is>
      </c>
    </row>
    <row collapsed="false" customFormat="false" customHeight="false" hidden="false" ht="12.1" outlineLevel="0" r="1699">
      <c r="A1699" s="3" t="s">
        <f>=HYPERLINK("https://mp39851918.megaplan.ua/deals/92352/card/","15360")</f>
      </c>
      <c r="B1699" s="3" t="inlineStr">
        <is>
          <t>111-6277789-1437829</t>
        </is>
      </c>
      <c r="C1699" s="3" t="inlineStr">
        <is>
          <t>TuckerRocky</t>
        </is>
      </c>
    </row>
    <row collapsed="false" customFormat="false" customHeight="false" hidden="false" ht="12.1" outlineLevel="0" r="1700">
      <c r="A1700" s="3" t="s">
        <f>=HYPERLINK("https://mp39851918.megaplan.ua/deals/92354/card/","15361")</f>
      </c>
      <c r="B1700" s="3" t="inlineStr">
        <is>
          <t>111-8116911-6011446</t>
        </is>
      </c>
      <c r="C1700" s="3" t="inlineStr">
        <is>
          <t>RockyMountain</t>
        </is>
      </c>
    </row>
    <row collapsed="false" customFormat="false" customHeight="false" hidden="false" ht="12.1" outlineLevel="0" r="1701">
      <c r="A1701" s="3" t="s">
        <f>=HYPERLINK("https://mp39851918.megaplan.ua/deals/92367/card/","15363")</f>
      </c>
      <c r="B1701" s="3" t="inlineStr">
        <is>
          <t>114-0913910-4280245</t>
        </is>
      </c>
      <c r="C1701" s="3" t="inlineStr">
        <is>
          <t>Autodist</t>
        </is>
      </c>
    </row>
    <row collapsed="false" customFormat="false" customHeight="false" hidden="false" ht="12.1" outlineLevel="0" r="1702">
      <c r="A1702" s="3" t="s">
        <f>=HYPERLINK("https://mp39851918.megaplan.ua/deals/92368/card/","15364")</f>
      </c>
      <c r="B1702" s="3" t="inlineStr">
        <is>
          <t>111-2302847-5035405</t>
        </is>
      </c>
      <c r="C1702" s="3" t="inlineStr">
        <is>
          <t>Autodist</t>
        </is>
      </c>
    </row>
    <row collapsed="false" customFormat="false" customHeight="false" hidden="false" ht="12.1" outlineLevel="0" r="1703">
      <c r="A1703" s="3" t="s">
        <f>=HYPERLINK("https://mp39851918.megaplan.ua/deals/92369/card/","15365")</f>
      </c>
      <c r="B1703" s="3" t="inlineStr">
        <is>
          <t>113-9485093-6403432</t>
        </is>
      </c>
      <c r="C1703" s="3" t="inlineStr">
        <is>
          <t>RockyMountain</t>
        </is>
      </c>
    </row>
    <row collapsed="false" customFormat="false" customHeight="false" hidden="false" ht="12.1" outlineLevel="0" r="1704">
      <c r="A1704" s="3" t="s">
        <f>=HYPERLINK("https://mp39851918.megaplan.ua/deals/92371/card/","15366")</f>
      </c>
      <c r="B1704" s="3" t="inlineStr">
        <is>
          <t>114-2412192-3975430</t>
        </is>
      </c>
      <c r="C1704" s="3" t="inlineStr">
        <is>
          <t>RockyMountain</t>
        </is>
      </c>
    </row>
    <row collapsed="false" customFormat="false" customHeight="false" hidden="false" ht="12.1" outlineLevel="0" r="1705">
      <c r="A1705" s="3" t="s">
        <f>=HYPERLINK("https://mp39851918.megaplan.ua/deals/92372/card/","15367")</f>
      </c>
      <c r="B1705" s="3" t="inlineStr">
        <is>
          <t>112-8332436-7648207</t>
        </is>
      </c>
      <c r="C1705" s="3" t="inlineStr">
        <is>
          <t>TuckerRocky</t>
        </is>
      </c>
    </row>
    <row collapsed="false" customFormat="false" customHeight="false" hidden="false" ht="12.1" outlineLevel="0" r="1706">
      <c r="A1706" s="3" t="s">
        <f>=HYPERLINK("https://mp39851918.megaplan.ua/deals/92387/card/","15368")</f>
      </c>
      <c r="B1706" s="3" t="inlineStr">
        <is>
          <t>113-0347086-0565872</t>
        </is>
      </c>
      <c r="C1706" s="3" t="inlineStr">
        <is>
          <t>Autodist</t>
        </is>
      </c>
    </row>
    <row collapsed="false" customFormat="false" customHeight="false" hidden="false" ht="12.1" outlineLevel="0" r="1707">
      <c r="A1707" s="3" t="s">
        <f>=HYPERLINK("https://mp39851918.megaplan.ua/deals/92391/card/","15369")</f>
      </c>
      <c r="B1707" s="3" t="inlineStr">
        <is>
          <t>111-3219284-6317841</t>
        </is>
      </c>
      <c r="C1707" s="3" t="inlineStr">
        <is>
          <t>TuckerRocky</t>
        </is>
      </c>
    </row>
    <row collapsed="false" customFormat="false" customHeight="false" hidden="false" ht="12.1" outlineLevel="0" r="1708">
      <c r="A1708" s="3" t="s">
        <f>=HYPERLINK("https://mp39851918.megaplan.ua/deals/92409/card/","15371")</f>
      </c>
      <c r="B1708" s="3" t="inlineStr">
        <is>
          <t>111-1491286-8424209</t>
        </is>
      </c>
      <c r="C1708" s="3" t="inlineStr">
        <is>
          <t>TuckerRocky</t>
        </is>
      </c>
    </row>
    <row collapsed="false" customFormat="false" customHeight="false" hidden="false" ht="12.1" outlineLevel="0" r="1709">
      <c r="A1709" s="3" t="s">
        <f>=HYPERLINK("https://mp39851918.megaplan.ua/deals/92420/card/","15372")</f>
      </c>
      <c r="B1709" s="3" t="inlineStr">
        <is>
          <t>112-5647331-5265820</t>
        </is>
      </c>
      <c r="C1709" s="3" t="inlineStr">
        <is>
          <t>PartsUnlimited</t>
        </is>
      </c>
    </row>
    <row collapsed="false" customFormat="false" customHeight="false" hidden="false" ht="12.1" outlineLevel="0" r="1710">
      <c r="A1710" s="3" t="s">
        <f>=HYPERLINK("https://mp39851918.megaplan.ua/deals/92421/card/","15373")</f>
      </c>
      <c r="B1710" s="3" t="inlineStr">
        <is>
          <t>111-4816909-7338640</t>
        </is>
      </c>
      <c r="C1710" s="3" t="inlineStr">
        <is>
          <t>Autodist</t>
        </is>
      </c>
    </row>
    <row collapsed="false" customFormat="false" customHeight="false" hidden="false" ht="12.1" outlineLevel="0" r="1711">
      <c r="A1711" s="3" t="s">
        <f>=HYPERLINK("https://mp39851918.megaplan.ua/deals/92422/card/","15374")</f>
      </c>
      <c r="B1711" s="3" t="inlineStr">
        <is>
          <t>113-0347086-0565872</t>
        </is>
      </c>
      <c r="C1711" s="3" t="inlineStr">
        <is>
          <t>RockyMountain</t>
        </is>
      </c>
    </row>
    <row collapsed="false" customFormat="false" customHeight="false" hidden="false" ht="12.1" outlineLevel="0" r="1712">
      <c r="A1712" s="3" t="s">
        <f>=HYPERLINK("https://mp39851918.megaplan.ua/deals/92423/card/","15375")</f>
      </c>
      <c r="B1712" s="3" t="inlineStr">
        <is>
          <t>113-4143862-3433815</t>
        </is>
      </c>
      <c r="C1712" s="3" t="inlineStr">
        <is>
          <t>TuckerRocky</t>
        </is>
      </c>
    </row>
    <row collapsed="false" customFormat="false" customHeight="false" hidden="false" ht="12.1" outlineLevel="0" r="1713">
      <c r="A1713" s="3" t="s">
        <f>=HYPERLINK("https://mp39851918.megaplan.ua/deals/92427/card/","15376")</f>
      </c>
      <c r="B1713" s="3" t="inlineStr">
        <is>
          <t>112-5466820-7081815</t>
        </is>
      </c>
      <c r="C1713" s="3" t="inlineStr">
        <is>
          <t>TuckerRocky</t>
        </is>
      </c>
    </row>
    <row collapsed="false" customFormat="false" customHeight="false" hidden="false" ht="12.1" outlineLevel="0" r="1714">
      <c r="A1714" s="3" t="s">
        <f>=HYPERLINK("https://mp39851918.megaplan.ua/deals/92434/card/","15377")</f>
      </c>
      <c r="B1714" s="3" t="inlineStr">
        <is>
          <t>111-2001674-9673860</t>
        </is>
      </c>
      <c r="C1714" s="3" t="inlineStr">
        <is>
          <t>RockyMountain</t>
        </is>
      </c>
    </row>
    <row collapsed="false" customFormat="false" customHeight="false" hidden="false" ht="12.1" outlineLevel="0" r="1715">
      <c r="A1715" s="3" t="s">
        <f>=HYPERLINK("https://mp39851918.megaplan.ua/deals/92439/card/","15379")</f>
      </c>
      <c r="B1715" s="3" t="inlineStr">
        <is>
          <t>111-0178002-6923475</t>
        </is>
      </c>
      <c r="C1715" s="3" t="inlineStr">
        <is>
          <t>PartsUnlimited</t>
        </is>
      </c>
    </row>
    <row collapsed="false" customFormat="false" customHeight="false" hidden="false" ht="12.1" outlineLevel="0" r="1716">
      <c r="A1716" s="3" t="s">
        <f>=HYPERLINK("https://mp39851918.megaplan.ua/deals/92441/card/","15380")</f>
      </c>
      <c r="B1716" s="3" t="inlineStr">
        <is>
          <t>111-9031985-1738639</t>
        </is>
      </c>
      <c r="C1716" s="3" t="inlineStr">
        <is>
          <t>TuckerRocky</t>
        </is>
      </c>
    </row>
    <row collapsed="false" customFormat="false" customHeight="false" hidden="false" ht="12.1" outlineLevel="0" r="1717">
      <c r="A1717" s="3" t="s">
        <f>=HYPERLINK("https://mp39851918.megaplan.ua/deals/92444/card/","15382")</f>
      </c>
      <c r="B1717" s="3" t="inlineStr">
        <is>
          <t>114-4294113-1203428</t>
        </is>
      </c>
      <c r="C1717" s="3" t="inlineStr">
        <is>
          <t>TuckerRocky</t>
        </is>
      </c>
    </row>
    <row collapsed="false" customFormat="false" customHeight="false" hidden="false" ht="12.1" outlineLevel="0" r="1718">
      <c r="A1718" s="3" t="s">
        <f>=HYPERLINK("https://mp39851918.megaplan.ua/deals/92460/card/","15383")</f>
      </c>
      <c r="B1718" s="3" t="inlineStr">
        <is>
          <t>114-2851109-4643408</t>
        </is>
      </c>
      <c r="C1718" s="3" t="inlineStr">
        <is>
          <t>RockyMountain</t>
        </is>
      </c>
    </row>
    <row collapsed="false" customFormat="false" customHeight="false" hidden="false" ht="12.1" outlineLevel="0" r="1719">
      <c r="A1719" s="3" t="s">
        <f>=HYPERLINK("https://mp39851918.megaplan.ua/deals/92461/card/","15384")</f>
      </c>
      <c r="B1719" s="3" t="inlineStr">
        <is>
          <t>114-1537025-5289869</t>
        </is>
      </c>
      <c r="C1719" s="3" t="inlineStr">
        <is>
          <t>TuckerRocky</t>
        </is>
      </c>
    </row>
    <row collapsed="false" customFormat="false" customHeight="false" hidden="false" ht="12.1" outlineLevel="0" r="1720">
      <c r="A1720" s="3" t="s">
        <f>=HYPERLINK("https://mp39851918.megaplan.ua/deals/92466/card/","15385")</f>
      </c>
      <c r="B1720" s="3" t="inlineStr">
        <is>
          <t>111-4339661-2152212</t>
        </is>
      </c>
      <c r="C1720" s="3" t="inlineStr">
        <is>
          <t>PartsUnlimited</t>
        </is>
      </c>
    </row>
    <row collapsed="false" customFormat="false" customHeight="false" hidden="false" ht="12.1" outlineLevel="0" r="1721">
      <c r="A1721" s="3" t="s">
        <f>=HYPERLINK("https://mp39851918.megaplan.ua/deals/92481/card/","15386")</f>
      </c>
      <c r="B1721" s="3" t="inlineStr">
        <is>
          <t>112-0539226-7006618</t>
        </is>
      </c>
      <c r="C1721" s="3" t="inlineStr">
        <is>
          <t>TuckerRocky</t>
        </is>
      </c>
    </row>
    <row collapsed="false" customFormat="false" customHeight="false" hidden="false" ht="12.1" outlineLevel="0" r="1722">
      <c r="A1722" s="3" t="s">
        <f>=HYPERLINK("https://mp39851918.megaplan.ua/deals/92482/card/","15387")</f>
      </c>
      <c r="B1722" s="3" t="inlineStr">
        <is>
          <t>112-3139328-8849837</t>
        </is>
      </c>
      <c r="C1722" s="3" t="inlineStr">
        <is>
          <t>TuckerRocky</t>
        </is>
      </c>
    </row>
    <row collapsed="false" customFormat="false" customHeight="false" hidden="false" ht="12.1" outlineLevel="0" r="1723">
      <c r="A1723" s="3" t="s">
        <f>=HYPERLINK("https://mp39851918.megaplan.ua/deals/92493/card/","15390")</f>
      </c>
      <c r="B1723" s="3" t="inlineStr">
        <is>
          <t>113-2312382-0004221</t>
        </is>
      </c>
      <c r="C1723" s="3" t="inlineStr">
        <is>
          <t>RockyMountain</t>
        </is>
      </c>
    </row>
    <row collapsed="false" customFormat="false" customHeight="false" hidden="false" ht="12.1" outlineLevel="0" r="1724">
      <c r="A1724" s="3" t="s">
        <f>=HYPERLINK("https://mp39851918.megaplan.ua/deals/92497/card/","15391")</f>
      </c>
      <c r="B1724" s="3" t="inlineStr">
        <is>
          <t>113-5741075-6684246</t>
        </is>
      </c>
      <c r="C1724" s="3" t="inlineStr">
        <is>
          <t>TuckerRocky</t>
        </is>
      </c>
    </row>
    <row collapsed="false" customFormat="false" customHeight="false" hidden="false" ht="12.1" outlineLevel="0" r="1725">
      <c r="A1725" s="3" t="s">
        <f>=HYPERLINK("https://mp39851918.megaplan.ua/deals/92527/card/","15395")</f>
      </c>
      <c r="B1725" s="3" t="inlineStr">
        <is>
          <t>111-3785443-6209044</t>
        </is>
      </c>
      <c r="C1725" s="3" t="inlineStr">
        <is>
          <t>TuckerRocky</t>
        </is>
      </c>
    </row>
    <row collapsed="false" customFormat="false" customHeight="false" hidden="false" ht="12.1" outlineLevel="0" r="1726">
      <c r="A1726" s="3" t="s">
        <f>=HYPERLINK("https://mp39851918.megaplan.ua/deals/92528/card/","15396")</f>
      </c>
      <c r="B1726" s="3" t="inlineStr">
        <is>
          <t>114-0442453-1163423</t>
        </is>
      </c>
      <c r="C1726" s="3" t="inlineStr">
        <is>
          <t>PartsUnlimited</t>
        </is>
      </c>
    </row>
    <row collapsed="false" customFormat="false" customHeight="false" hidden="false" ht="12.1" outlineLevel="0" r="1727">
      <c r="A1727" s="3" t="s">
        <f>=HYPERLINK("https://mp39851918.megaplan.ua/deals/92548/card/","15400")</f>
      </c>
      <c r="B1727" s="3" t="inlineStr">
        <is>
          <t>114-1622757-4554642</t>
        </is>
      </c>
      <c r="C1727" s="3" t="inlineStr">
        <is>
          <t>TuckerRocky</t>
        </is>
      </c>
    </row>
    <row collapsed="false" customFormat="false" customHeight="false" hidden="false" ht="12.1" outlineLevel="0" r="1728">
      <c r="A1728" s="3" t="s">
        <f>=HYPERLINK("https://mp39851918.megaplan.ua/deals/92556/card/","15401")</f>
      </c>
      <c r="B1728" s="3" t="inlineStr">
        <is>
          <t>111-1385527-0722611</t>
        </is>
      </c>
      <c r="C1728" s="3" t="inlineStr">
        <is>
          <t>TuckerRocky</t>
        </is>
      </c>
    </row>
    <row collapsed="false" customFormat="false" customHeight="false" hidden="false" ht="12.1" outlineLevel="0" r="1729">
      <c r="A1729" s="3" t="s">
        <f>=HYPERLINK("https://mp39851918.megaplan.ua/deals/92557/card/","15402")</f>
      </c>
      <c r="B1729" s="3" t="inlineStr">
        <is>
          <t>111-6878971-2777020</t>
        </is>
      </c>
      <c r="C1729" s="3" t="inlineStr">
        <is>
          <t>Autodist</t>
        </is>
      </c>
    </row>
    <row collapsed="false" customFormat="false" customHeight="false" hidden="false" ht="12.1" outlineLevel="0" r="1730">
      <c r="A1730" s="3" t="s">
        <f>=HYPERLINK("https://mp39851918.megaplan.ua/deals/92559/card/","15403")</f>
      </c>
      <c r="B1730" s="3" t="inlineStr">
        <is>
          <t>113-3746043-1315413</t>
        </is>
      </c>
      <c r="C1730" s="3" t="inlineStr">
        <is>
          <t>TuckerRocky</t>
        </is>
      </c>
    </row>
    <row collapsed="false" customFormat="false" customHeight="false" hidden="false" ht="12.1" outlineLevel="0" r="1731">
      <c r="A1731" s="3" t="s">
        <f>=HYPERLINK("https://mp39851918.megaplan.ua/deals/92568/card/","15404")</f>
      </c>
      <c r="B1731" s="3" t="inlineStr">
        <is>
          <t>111-7349220-1421027</t>
        </is>
      </c>
      <c r="C1731" s="3" t="inlineStr">
        <is>
          <t>TuckerRocky</t>
        </is>
      </c>
    </row>
    <row collapsed="false" customFormat="false" customHeight="false" hidden="false" ht="12.1" outlineLevel="0" r="1732">
      <c r="A1732" s="3" t="s">
        <f>=HYPERLINK("https://mp39851918.megaplan.ua/deals/92574/card/","15406")</f>
      </c>
      <c r="B1732" s="3" t="inlineStr">
        <is>
          <t>112-0851025-5203439</t>
        </is>
      </c>
      <c r="C1732" s="3" t="inlineStr">
        <is>
          <t>TuckerRocky</t>
        </is>
      </c>
    </row>
    <row collapsed="false" customFormat="false" customHeight="false" hidden="false" ht="12.1" outlineLevel="0" r="1733">
      <c r="A1733" s="3" t="s">
        <f>=HYPERLINK("https://mp39851918.megaplan.ua/deals/92588/card/","15408")</f>
      </c>
      <c r="B1733" s="3" t="inlineStr">
        <is>
          <t>112-0762043-8223455</t>
        </is>
      </c>
      <c r="C1733" s="3" t="inlineStr">
        <is>
          <t>RockyMountain</t>
        </is>
      </c>
    </row>
    <row collapsed="false" customFormat="false" customHeight="false" hidden="false" ht="12.1" outlineLevel="0" r="1734">
      <c r="A1734" s="3" t="s">
        <f>=HYPERLINK("https://mp39851918.megaplan.ua/deals/92589/card/","15409")</f>
      </c>
      <c r="B1734" s="3" t="inlineStr">
        <is>
          <t>111-4154913-9462634</t>
        </is>
      </c>
      <c r="C1734" s="3" t="inlineStr">
        <is>
          <t>Autodist</t>
        </is>
      </c>
    </row>
    <row collapsed="false" customFormat="false" customHeight="false" hidden="false" ht="12.1" outlineLevel="0" r="1735">
      <c r="A1735" s="3" t="s">
        <f>=HYPERLINK("https://mp39851918.megaplan.ua/deals/92590/card/","15410")</f>
      </c>
      <c r="B1735" s="3" t="inlineStr">
        <is>
          <t>113-6196576-4154616</t>
        </is>
      </c>
      <c r="C1735" s="3" t="inlineStr">
        <is>
          <t>RockyMountain</t>
        </is>
      </c>
    </row>
    <row collapsed="false" customFormat="false" customHeight="false" hidden="false" ht="12.1" outlineLevel="0" r="1736">
      <c r="A1736" s="3" t="s">
        <f>=HYPERLINK("https://mp39851918.megaplan.ua/deals/92601/card/","15411")</f>
      </c>
      <c r="B1736" s="3" t="inlineStr">
        <is>
          <t>112-9341968-4189855</t>
        </is>
      </c>
      <c r="C1736" s="3" t="inlineStr">
        <is>
          <t>RockyMountain</t>
        </is>
      </c>
    </row>
    <row collapsed="false" customFormat="false" customHeight="false" hidden="false" ht="12.1" outlineLevel="0" r="1737">
      <c r="A1737" s="3" t="s">
        <f>=HYPERLINK("https://mp39851918.megaplan.ua/deals/92613/card/","15414")</f>
      </c>
      <c r="B1737" s="3" t="inlineStr">
        <is>
          <t>114-0769081-4220238</t>
        </is>
      </c>
      <c r="C1737" s="3" t="inlineStr">
        <is>
          <t>PartsUnlimited</t>
        </is>
      </c>
    </row>
    <row collapsed="false" customFormat="false" customHeight="false" hidden="false" ht="12.1" outlineLevel="0" r="1738">
      <c r="A1738" s="3" t="s">
        <f>=HYPERLINK("https://mp39851918.megaplan.ua/deals/92637/card/","15421")</f>
      </c>
      <c r="B1738" s="3" t="inlineStr">
        <is>
          <t>114-5061746-5813855</t>
        </is>
      </c>
      <c r="C1738" s="3" t="inlineStr">
        <is>
          <t>PartsUnlimited</t>
        </is>
      </c>
    </row>
    <row collapsed="false" customFormat="false" customHeight="false" hidden="false" ht="12.1" outlineLevel="0" r="1739">
      <c r="A1739" s="3" t="s">
        <f>=HYPERLINK("https://mp39851918.megaplan.ua/deals/92638/card/","15422")</f>
      </c>
      <c r="B1739" s="3" t="inlineStr">
        <is>
          <t>114-7116736-9716251</t>
        </is>
      </c>
      <c r="C1739" s="3" t="inlineStr">
        <is>
          <t>RockyMountain</t>
        </is>
      </c>
    </row>
    <row collapsed="false" customFormat="false" customHeight="false" hidden="false" ht="12.1" outlineLevel="0" r="1740">
      <c r="A1740" s="3" t="s">
        <f>=HYPERLINK("https://mp39851918.megaplan.ua/deals/92639/card/","15423")</f>
      </c>
      <c r="B1740" s="3" t="inlineStr">
        <is>
          <t>113-9304516-5782657</t>
        </is>
      </c>
      <c r="C1740" s="3" t="inlineStr">
        <is>
          <t>TuckerRocky</t>
        </is>
      </c>
    </row>
    <row collapsed="false" customFormat="false" customHeight="false" hidden="false" ht="12.1" outlineLevel="0" r="1741">
      <c r="A1741" s="3" t="s">
        <f>=HYPERLINK("https://mp39851918.megaplan.ua/deals/92640/card/","15424")</f>
      </c>
      <c r="B1741" s="3" t="inlineStr">
        <is>
          <t>112-8346574-8789854</t>
        </is>
      </c>
      <c r="C1741" s="3" t="inlineStr">
        <is>
          <t>RockyMountain</t>
        </is>
      </c>
    </row>
    <row collapsed="false" customFormat="false" customHeight="false" hidden="false" ht="12.1" outlineLevel="0" r="1742">
      <c r="A1742" s="3" t="s">
        <f>=HYPERLINK("https://mp39851918.megaplan.ua/deals/92641/card/","15425")</f>
      </c>
      <c r="B1742" s="3" t="inlineStr">
        <is>
          <t>111-0499667-6117056</t>
        </is>
      </c>
      <c r="C1742" s="3" t="inlineStr">
        <is>
          <t>TuckerRocky</t>
        </is>
      </c>
    </row>
    <row collapsed="false" customFormat="false" customHeight="false" hidden="false" ht="12.1" outlineLevel="0" r="1743">
      <c r="A1743" s="3" t="s">
        <f>=HYPERLINK("https://mp39851918.megaplan.ua/deals/92642/card/","15426")</f>
      </c>
      <c r="B1743" s="3" t="inlineStr">
        <is>
          <t>111-4103250-0843454</t>
        </is>
      </c>
      <c r="C1743" s="3" t="inlineStr">
        <is>
          <t>TuckerRocky</t>
        </is>
      </c>
    </row>
    <row collapsed="false" customFormat="false" customHeight="false" hidden="false" ht="12.1" outlineLevel="0" r="1744">
      <c r="A1744" s="3" t="s">
        <f>=HYPERLINK("https://mp39851918.megaplan.ua/deals/92643/card/","15427")</f>
      </c>
      <c r="B1744" s="3" t="inlineStr">
        <is>
          <t>113-0705773-6726660</t>
        </is>
      </c>
      <c r="C1744" s="3" t="inlineStr">
        <is>
          <t>RockyMountain</t>
        </is>
      </c>
    </row>
    <row collapsed="false" customFormat="false" customHeight="false" hidden="false" ht="12.1" outlineLevel="0" r="1745">
      <c r="A1745" s="3" t="s">
        <f>=HYPERLINK("https://mp39851918.megaplan.ua/deals/92646/card/","15428")</f>
      </c>
      <c r="B1745" s="3" t="inlineStr">
        <is>
          <t>111-3762358-0361856</t>
        </is>
      </c>
      <c r="C1745" s="3" t="inlineStr">
        <is>
          <t>RockyMountain</t>
        </is>
      </c>
    </row>
    <row collapsed="false" customFormat="false" customHeight="false" hidden="false" ht="12.1" outlineLevel="0" r="1746">
      <c r="A1746" s="3" t="s">
        <f>=HYPERLINK("https://mp39851918.megaplan.ua/deals/92648/card/","15429")</f>
      </c>
      <c r="B1746" s="3" t="inlineStr">
        <is>
          <t>112-5353716-8922623</t>
        </is>
      </c>
      <c r="C1746" s="3" t="inlineStr">
        <is>
          <t>RockyMountain</t>
        </is>
      </c>
    </row>
    <row collapsed="false" customFormat="false" customHeight="false" hidden="false" ht="12.1" outlineLevel="0" r="1747">
      <c r="A1747" s="3" t="s">
        <f>=HYPERLINK("https://mp39851918.megaplan.ua/deals/92650/card/","15430")</f>
      </c>
      <c r="B1747" s="3" t="inlineStr">
        <is>
          <t>113-9524666-0042613</t>
        </is>
      </c>
      <c r="C1747" s="3" t="inlineStr">
        <is>
          <t>TuckerRocky</t>
        </is>
      </c>
    </row>
    <row collapsed="false" customFormat="false" customHeight="false" hidden="false" ht="12.1" outlineLevel="0" r="1748">
      <c r="A1748" s="3" t="s">
        <f>=HYPERLINK("https://mp39851918.megaplan.ua/deals/92652/card/","15431")</f>
      </c>
      <c r="B1748" s="3" t="inlineStr">
        <is>
          <t>112-8632399-9365858</t>
        </is>
      </c>
      <c r="C1748" s="3" t="inlineStr">
        <is>
          <t>RockyMountain</t>
        </is>
      </c>
    </row>
    <row collapsed="false" customFormat="false" customHeight="false" hidden="false" ht="12.1" outlineLevel="0" r="1749">
      <c r="A1749" s="3" t="s">
        <f>=HYPERLINK("https://mp39851918.megaplan.ua/deals/92654/card/","15432")</f>
      </c>
      <c r="B1749" s="3" t="inlineStr">
        <is>
          <t>114-0274711-7900254</t>
        </is>
      </c>
      <c r="C1749" s="3" t="inlineStr">
        <is>
          <t>PartsUnlimited</t>
        </is>
      </c>
    </row>
    <row collapsed="false" customFormat="false" customHeight="false" hidden="false" ht="12.1" outlineLevel="0" r="1750">
      <c r="A1750" s="3" t="s">
        <f>=HYPERLINK("https://mp39851918.megaplan.ua/deals/92655/card/","15433")</f>
      </c>
      <c r="B1750" s="3" t="inlineStr">
        <is>
          <t>112-9194707-5181016</t>
        </is>
      </c>
      <c r="C1750" s="3" t="inlineStr">
        <is>
          <t>RockyMountain</t>
        </is>
      </c>
    </row>
    <row collapsed="false" customFormat="false" customHeight="false" hidden="false" ht="12.1" outlineLevel="0" r="1751">
      <c r="A1751" s="3" t="s">
        <f>=HYPERLINK("https://mp39851918.megaplan.ua/deals/92666/card/","15434")</f>
      </c>
      <c r="B1751" s="3" t="inlineStr">
        <is>
          <t>111-7286230-8557833</t>
        </is>
      </c>
      <c r="C1751" s="3" t="inlineStr">
        <is>
          <t>RockyMountain</t>
        </is>
      </c>
    </row>
    <row collapsed="false" customFormat="false" customHeight="false" hidden="false" ht="12.1" outlineLevel="0" r="1752">
      <c r="A1752" s="3" t="s">
        <f>=HYPERLINK("https://mp39851918.megaplan.ua/deals/92672/card/","15435")</f>
      </c>
      <c r="B1752" s="3" t="inlineStr">
        <is>
          <t>111-9094905-1779426</t>
        </is>
      </c>
      <c r="C1752" s="3" t="inlineStr">
        <is>
          <t>TuckerRocky</t>
        </is>
      </c>
    </row>
    <row collapsed="false" customFormat="false" customHeight="false" hidden="false" ht="12.1" outlineLevel="0" r="1753">
      <c r="A1753" s="3" t="s">
        <f>=HYPERLINK("https://mp39851918.megaplan.ua/deals/92680/card/","15436")</f>
      </c>
      <c r="B1753" s="3" t="inlineStr">
        <is>
          <t>112-7418310-9880224</t>
        </is>
      </c>
      <c r="C1753" s="3" t="inlineStr">
        <is>
          <t>RockyMountain</t>
        </is>
      </c>
    </row>
    <row collapsed="false" customFormat="false" customHeight="false" hidden="false" ht="12.1" outlineLevel="0" r="1754">
      <c r="A1754" s="3" t="s">
        <f>=HYPERLINK("https://mp39851918.megaplan.ua/deals/92682/card/","15437")</f>
      </c>
      <c r="B1754" s="3" t="inlineStr">
        <is>
          <t>114-7462387-4194667</t>
        </is>
      </c>
      <c r="C1754" s="3" t="inlineStr">
        <is>
          <t>TuckerRocky</t>
        </is>
      </c>
    </row>
    <row collapsed="false" customFormat="false" customHeight="false" hidden="false" ht="12.1" outlineLevel="0" r="1755">
      <c r="A1755" s="3" t="s">
        <f>=HYPERLINK("https://mp39851918.megaplan.ua/deals/92683/card/","15438")</f>
      </c>
      <c r="B1755" s="3" t="inlineStr">
        <is>
          <t>113-2477376-9630630</t>
        </is>
      </c>
      <c r="C1755" s="3" t="inlineStr">
        <is>
          <t>TuckerRocky</t>
        </is>
      </c>
    </row>
    <row collapsed="false" customFormat="false" customHeight="false" hidden="false" ht="12.1" outlineLevel="0" r="1756">
      <c r="A1756" s="3" t="s">
        <f>=HYPERLINK("https://mp39851918.megaplan.ua/deals/92689/card/","15440")</f>
      </c>
      <c r="B1756" s="3" t="inlineStr">
        <is>
          <t>114-7470946-9321823</t>
        </is>
      </c>
      <c r="C1756" s="3" t="inlineStr">
        <is>
          <t>RockyMountain</t>
        </is>
      </c>
    </row>
    <row collapsed="false" customFormat="false" customHeight="false" hidden="false" ht="12.1" outlineLevel="0" r="1757">
      <c r="A1757" s="3" t="s">
        <f>=HYPERLINK("https://mp39851918.megaplan.ua/deals/92703/card/","15443")</f>
      </c>
      <c r="B1757" s="3" t="inlineStr">
        <is>
          <t>111-3398491-7191429</t>
        </is>
      </c>
      <c r="C1757" s="3" t="inlineStr">
        <is>
          <t>TuckerRocky</t>
        </is>
      </c>
    </row>
    <row collapsed="false" customFormat="false" customHeight="false" hidden="false" ht="12.1" outlineLevel="0" r="1758">
      <c r="A1758" s="3" t="s">
        <f>=HYPERLINK("https://mp39851918.megaplan.ua/deals/92737/card/","15450")</f>
      </c>
      <c r="B1758" s="3" t="inlineStr">
        <is>
          <t>112-6796714-6155418</t>
        </is>
      </c>
      <c r="C1758" s="3" t="inlineStr">
        <is>
          <t>RockyMountain</t>
        </is>
      </c>
    </row>
    <row collapsed="false" customFormat="false" customHeight="false" hidden="false" ht="12.1" outlineLevel="0" r="1759">
      <c r="A1759" s="3" t="s">
        <f>=HYPERLINK("https://mp39851918.megaplan.ua/deals/92746/card/","15451")</f>
      </c>
      <c r="B1759" s="3" t="inlineStr">
        <is>
          <t>113-4948856-1697811</t>
        </is>
      </c>
      <c r="C1759" s="3" t="inlineStr">
        <is>
          <t>RockyMountain</t>
        </is>
      </c>
    </row>
    <row collapsed="false" customFormat="false" customHeight="false" hidden="false" ht="12.1" outlineLevel="0" r="1760">
      <c r="A1760" s="3" t="s">
        <f>=HYPERLINK("https://mp39851918.megaplan.ua/deals/92748/card/","15452")</f>
      </c>
      <c r="B1760" s="3" t="inlineStr">
        <is>
          <t>111-7479456-2731407</t>
        </is>
      </c>
      <c r="C1760" s="3" t="inlineStr">
        <is>
          <t>TuckerRocky</t>
        </is>
      </c>
    </row>
    <row collapsed="false" customFormat="false" customHeight="false" hidden="false" ht="12.1" outlineLevel="0" r="1761">
      <c r="A1761" s="3" t="s">
        <f>=HYPERLINK("https://mp39851918.megaplan.ua/deals/92761/card/","15453")</f>
      </c>
      <c r="B1761" s="3" t="inlineStr">
        <is>
          <t>111-8325697-9035436</t>
        </is>
      </c>
      <c r="C1761" s="3" t="inlineStr">
        <is>
          <t>TuckerRocky</t>
        </is>
      </c>
    </row>
    <row collapsed="false" customFormat="false" customHeight="false" hidden="false" ht="12.1" outlineLevel="0" r="1762">
      <c r="A1762" s="3" t="s">
        <f>=HYPERLINK("https://mp39851918.megaplan.ua/deals/92771/card/","15454")</f>
      </c>
      <c r="B1762" s="3" t="inlineStr">
        <is>
          <t>111-5980634-1382629</t>
        </is>
      </c>
      <c r="C1762" s="3" t="inlineStr">
        <is>
          <t>RockyMountain</t>
        </is>
      </c>
    </row>
    <row collapsed="false" customFormat="false" customHeight="false" hidden="false" ht="12.1" outlineLevel="0" r="1763">
      <c r="A1763" s="3" t="s">
        <f>=HYPERLINK("https://mp39851918.megaplan.ua/deals/92796/card/","15459")</f>
      </c>
      <c r="B1763" s="3" t="inlineStr">
        <is>
          <t>113-8163791-3108240</t>
        </is>
      </c>
      <c r="C1763" s="3" t="inlineStr">
        <is>
          <t>RockyMountain</t>
        </is>
      </c>
    </row>
    <row collapsed="false" customFormat="false" customHeight="false" hidden="false" ht="12.1" outlineLevel="0" r="1764">
      <c r="A1764" s="3" t="s">
        <f>=HYPERLINK("https://mp39851918.megaplan.ua/deals/92832/card/","15461")</f>
      </c>
      <c r="B1764" s="3" t="inlineStr">
        <is>
          <t>112-0441558-5189867</t>
        </is>
      </c>
      <c r="C1764" s="3" t="inlineStr">
        <is>
          <t>RockyMountain</t>
        </is>
      </c>
    </row>
    <row collapsed="false" customFormat="false" customHeight="false" hidden="false" ht="12.1" outlineLevel="0" r="1765">
      <c r="A1765" s="3" t="s">
        <f>=HYPERLINK("https://mp39851918.megaplan.ua/deals/92841/card/","15462")</f>
      </c>
      <c r="B1765" s="3" t="inlineStr">
        <is>
          <t>111-0533741-2617801</t>
        </is>
      </c>
      <c r="C1765" s="3" t="inlineStr">
        <is>
          <t>TuckerRocky</t>
        </is>
      </c>
    </row>
    <row collapsed="false" customFormat="false" customHeight="false" hidden="false" ht="12.1" outlineLevel="0" r="1766">
      <c r="A1766" s="3" t="s">
        <f>=HYPERLINK("https://mp39851918.megaplan.ua/deals/92862/card/","15465")</f>
      </c>
      <c r="B1766" s="3" t="inlineStr">
        <is>
          <t>111-3685811-1872244</t>
        </is>
      </c>
      <c r="C1766" s="3" t="inlineStr">
        <is>
          <t>TuckerRocky</t>
        </is>
      </c>
    </row>
    <row collapsed="false" customFormat="false" customHeight="false" hidden="false" ht="12.1" outlineLevel="0" r="1767">
      <c r="A1767" s="3" t="s">
        <f>=HYPERLINK("https://mp39851918.megaplan.ua/deals/92873/card/","15466")</f>
      </c>
      <c r="B1767" s="3" t="inlineStr">
        <is>
          <t>1234567890</t>
        </is>
      </c>
      <c r="C1767" s="3" t="inlineStr">
        <is>
          <t>RockyMountain</t>
        </is>
      </c>
    </row>
    <row collapsed="false" customFormat="false" customHeight="false" hidden="false" ht="12.1" outlineLevel="0" r="1768">
      <c r="A1768" s="3" t="s">
        <f>=HYPERLINK("https://mp39851918.megaplan.ua/deals/92893/card/","15468")</f>
      </c>
      <c r="B1768" s="3" t="inlineStr">
        <is>
          <t>111-3694643-5718627</t>
        </is>
      </c>
      <c r="C1768" s="3" t="inlineStr">
        <is>
          <t>TuckerRocky</t>
        </is>
      </c>
    </row>
    <row collapsed="false" customFormat="false" customHeight="false" hidden="false" ht="12.1" outlineLevel="0" r="1769">
      <c r="A1769" s="3" t="s">
        <f>=HYPERLINK("https://mp39851918.megaplan.ua/deals/92904/card/","15470")</f>
      </c>
      <c r="B1769" s="3" t="inlineStr">
        <is>
          <t>111-1026497-1604219</t>
        </is>
      </c>
      <c r="C1769" s="3" t="inlineStr">
        <is>
          <t>PartsUnlimited</t>
        </is>
      </c>
    </row>
    <row collapsed="false" customFormat="false" customHeight="false" hidden="false" ht="12.1" outlineLevel="0" r="1770">
      <c r="A1770" s="3" t="s">
        <f>=HYPERLINK("https://mp39851918.megaplan.ua/deals/92922/card/","15471")</f>
      </c>
      <c r="B1770" s="3" t="inlineStr">
        <is>
          <t>112-9156885-5017865</t>
        </is>
      </c>
      <c r="C1770" s="3" t="inlineStr">
        <is>
          <t>RockyMountain</t>
        </is>
      </c>
    </row>
    <row collapsed="false" customFormat="false" customHeight="false" hidden="false" ht="12.1" outlineLevel="0" r="1771">
      <c r="A1771" s="3" t="s">
        <f>=HYPERLINK("https://mp39851918.megaplan.ua/deals/92930/card/","15473")</f>
      </c>
      <c r="B1771" s="3" t="inlineStr">
        <is>
          <t>112-4622775-3685853</t>
        </is>
      </c>
      <c r="C1771" s="3" t="inlineStr">
        <is>
          <t>Autodist</t>
        </is>
      </c>
    </row>
    <row collapsed="false" customFormat="false" customHeight="false" hidden="false" ht="12.1" outlineLevel="0" r="1772">
      <c r="A1772" s="3" t="s">
        <f>=HYPERLINK("https://mp39851918.megaplan.ua/deals/92933/card/","15474")</f>
      </c>
      <c r="B1772" s="3" t="inlineStr">
        <is>
          <t>114-4617328-5201823</t>
        </is>
      </c>
      <c r="C1772" s="3" t="inlineStr">
        <is>
          <t>PartsUnlimited</t>
        </is>
      </c>
    </row>
    <row collapsed="false" customFormat="false" customHeight="false" hidden="false" ht="12.1" outlineLevel="0" r="1773">
      <c r="A1773" s="3" t="s">
        <f>=HYPERLINK("https://mp39851918.megaplan.ua/deals/92937/card/","15475")</f>
      </c>
      <c r="B1773" s="3" t="inlineStr">
        <is>
          <t>112-7608962-2839462</t>
        </is>
      </c>
      <c r="C1773" s="3" t="inlineStr">
        <is>
          <t>PartsUnlimited</t>
        </is>
      </c>
    </row>
    <row collapsed="false" customFormat="false" customHeight="false" hidden="false" ht="12.1" outlineLevel="0" r="1774">
      <c r="A1774" s="3" t="s">
        <f>=HYPERLINK("https://mp39851918.megaplan.ua/deals/92948/card/","15476")</f>
      </c>
      <c r="B1774" s="3" t="inlineStr">
        <is>
          <t>112-3030780-7657035</t>
        </is>
      </c>
      <c r="C1774" s="3" t="inlineStr">
        <is>
          <t>PartsUnlimited</t>
        </is>
      </c>
    </row>
    <row collapsed="false" customFormat="false" customHeight="false" hidden="false" ht="12.1" outlineLevel="0" r="1775">
      <c r="A1775" s="3" t="s">
        <f>=HYPERLINK("https://mp39851918.megaplan.ua/deals/92951/card/","15477")</f>
      </c>
      <c r="B1775" s="3" t="inlineStr">
        <is>
          <t>113-2441896-9878639</t>
        </is>
      </c>
      <c r="C1775" s="3" t="inlineStr">
        <is>
          <t>Autodist</t>
        </is>
      </c>
    </row>
    <row collapsed="false" customFormat="false" customHeight="false" hidden="false" ht="12.1" outlineLevel="0" r="1776">
      <c r="A1776" s="3" t="s">
        <f>=HYPERLINK("https://mp39851918.megaplan.ua/deals/92956/card/","15480")</f>
      </c>
      <c r="B1776" s="3" t="inlineStr">
        <is>
          <t>111-2659993-0996246</t>
        </is>
      </c>
      <c r="C1776" s="3" t="inlineStr">
        <is>
          <t>PartsUnlimited</t>
        </is>
      </c>
    </row>
    <row collapsed="false" customFormat="false" customHeight="false" hidden="false" ht="12.1" outlineLevel="0" r="1777">
      <c r="A1777" s="3" t="s">
        <f>=HYPERLINK("https://mp39851918.megaplan.ua/deals/92959/card/","15481")</f>
      </c>
      <c r="B1777" s="3" t="inlineStr">
        <is>
          <t>111-8799968-2288211</t>
        </is>
      </c>
      <c r="C1777" s="3" t="inlineStr">
        <is>
          <t>RockyMountain</t>
        </is>
      </c>
    </row>
    <row collapsed="false" customFormat="false" customHeight="false" hidden="false" ht="12.1" outlineLevel="0" r="1778">
      <c r="A1778" s="3" t="s">
        <f>=HYPERLINK("https://mp39851918.megaplan.ua/deals/92973/card/","15482")</f>
      </c>
      <c r="B1778" s="3" t="inlineStr">
        <is>
          <t>111-1669050-3169041</t>
        </is>
      </c>
      <c r="C1778" s="3" t="inlineStr">
        <is>
          <t>TuckerRocky</t>
        </is>
      </c>
    </row>
    <row collapsed="false" customFormat="false" customHeight="false" hidden="false" ht="12.1" outlineLevel="0" r="1779">
      <c r="A1779" s="3" t="s">
        <f>=HYPERLINK("https://mp39851918.megaplan.ua/deals/92990/card/","15484")</f>
      </c>
      <c r="B1779" s="3" t="inlineStr">
        <is>
          <t>113-8859455-2132260</t>
        </is>
      </c>
      <c r="C1779" s="3" t="inlineStr">
        <is>
          <t>RockyMountain</t>
        </is>
      </c>
    </row>
    <row collapsed="false" customFormat="false" customHeight="false" hidden="false" ht="12.1" outlineLevel="0" r="1780">
      <c r="A1780" s="3" t="s">
        <f>=HYPERLINK("https://mp39851918.megaplan.ua/deals/93045/card/","15489")</f>
      </c>
      <c r="B1780" s="3" t="inlineStr">
        <is>
          <t>111-3273593-3922635</t>
        </is>
      </c>
      <c r="C1780" s="3" t="inlineStr">
        <is>
          <t>RockyMountain</t>
        </is>
      </c>
    </row>
    <row collapsed="false" customFormat="false" customHeight="false" hidden="false" ht="12.1" outlineLevel="0" r="1781">
      <c r="A1781" s="3" t="s">
        <f>=HYPERLINK("https://mp39851918.megaplan.ua/deals/93085/card/","15493")</f>
      </c>
      <c r="B1781" s="3" t="inlineStr">
        <is>
          <t>111-7588064-7655423</t>
        </is>
      </c>
      <c r="C1781" s="3" t="inlineStr">
        <is>
          <t>RockyMountain</t>
        </is>
      </c>
    </row>
    <row collapsed="false" customFormat="false" customHeight="false" hidden="false" ht="12.1" outlineLevel="0" r="1782">
      <c r="A1782" s="3" t="s">
        <f>=HYPERLINK("https://mp39851918.megaplan.ua/deals/93104/card/","15497")</f>
      </c>
      <c r="B1782" s="3" t="inlineStr">
        <is>
          <t>112-5667749-7815421</t>
        </is>
      </c>
      <c r="C1782" s="3" t="inlineStr">
        <is>
          <t>RockyMountain</t>
        </is>
      </c>
    </row>
    <row collapsed="false" customFormat="false" customHeight="false" hidden="false" ht="12.1" outlineLevel="0" r="1783">
      <c r="A1783" s="3" t="s">
        <f>=HYPERLINK("https://mp39851918.megaplan.ua/deals/93114/card/","15498")</f>
      </c>
      <c r="B1783" s="3" t="inlineStr">
        <is>
          <t>114-9859420-7582604</t>
        </is>
      </c>
      <c r="C1783" s="3" t="inlineStr">
        <is>
          <t>Autodist</t>
        </is>
      </c>
    </row>
    <row collapsed="false" customFormat="false" customHeight="false" hidden="false" ht="12.1" outlineLevel="0" r="1784">
      <c r="A1784" s="3" t="s">
        <f>=HYPERLINK("https://mp39851918.megaplan.ua/deals/93121/card/","15500")</f>
      </c>
      <c r="B1784" s="3" t="inlineStr">
        <is>
          <t>111-7028342-0332255</t>
        </is>
      </c>
      <c r="C1784" s="3" t="inlineStr">
        <is>
          <t>TuckerRocky</t>
        </is>
      </c>
    </row>
    <row collapsed="false" customFormat="false" customHeight="false" hidden="false" ht="12.1" outlineLevel="0" r="1785">
      <c r="A1785" s="3" t="s">
        <f>=HYPERLINK("https://mp39851918.megaplan.ua/deals/93122/card/","15501")</f>
      </c>
      <c r="B1785" s="3" t="inlineStr">
        <is>
          <t>112-0829799-3005021</t>
        </is>
      </c>
      <c r="C1785" s="3" t="inlineStr">
        <is>
          <t>RockyMountain</t>
        </is>
      </c>
    </row>
    <row collapsed="false" customFormat="false" customHeight="false" hidden="false" ht="12.1" outlineLevel="0" r="1786">
      <c r="A1786" s="3" t="s">
        <f>=HYPERLINK("https://mp39851918.megaplan.ua/deals/93123/card/","15502")</f>
      </c>
      <c r="B1786" s="3" t="inlineStr">
        <is>
          <t>113-8927051-2092217</t>
        </is>
      </c>
      <c r="C1786" s="3" t="inlineStr">
        <is>
          <t>RockyMountain</t>
        </is>
      </c>
    </row>
    <row collapsed="false" customFormat="false" customHeight="false" hidden="false" ht="12.1" outlineLevel="0" r="1787">
      <c r="A1787" s="3" t="s">
        <f>=HYPERLINK("https://mp39851918.megaplan.ua/deals/93131/card/","15504")</f>
      </c>
      <c r="B1787" s="3" t="inlineStr">
        <is>
          <t>112-6258971-3502652</t>
        </is>
      </c>
      <c r="C1787" s="3" t="inlineStr">
        <is>
          <t>RockyMountain</t>
        </is>
      </c>
    </row>
    <row collapsed="false" customFormat="false" customHeight="false" hidden="false" ht="12.1" outlineLevel="0" r="1788">
      <c r="A1788" s="3" t="s">
        <f>=HYPERLINK("https://mp39851918.megaplan.ua/deals/93132/card/","15505")</f>
      </c>
      <c r="B1788" s="3" t="inlineStr">
        <is>
          <t>111-2908741-3085819</t>
        </is>
      </c>
      <c r="C1788" s="3" t="inlineStr">
        <is>
          <t>RockyMountain</t>
        </is>
      </c>
    </row>
    <row collapsed="false" customFormat="false" customHeight="false" hidden="false" ht="12.1" outlineLevel="0" r="1789">
      <c r="A1789" s="3" t="s">
        <f>=HYPERLINK("https://mp39851918.megaplan.ua/deals/93133/card/","15506")</f>
      </c>
      <c r="B1789" s="3" t="inlineStr">
        <is>
          <t>112-6972151-3505063</t>
        </is>
      </c>
      <c r="C1789" s="3" t="inlineStr">
        <is>
          <t>RockyMountain</t>
        </is>
      </c>
    </row>
    <row collapsed="false" customFormat="false" customHeight="false" hidden="false" ht="12.1" outlineLevel="0" r="1790">
      <c r="A1790" s="3" t="s">
        <f>=HYPERLINK("https://mp39851918.megaplan.ua/deals/93137/card/","15507")</f>
      </c>
      <c r="B1790" s="3" t="inlineStr">
        <is>
          <t>112-1457235-8754651</t>
        </is>
      </c>
      <c r="C1790" s="3" t="inlineStr">
        <is>
          <t>PartsUnlimited</t>
        </is>
      </c>
    </row>
    <row collapsed="false" customFormat="false" customHeight="false" hidden="false" ht="12.1" outlineLevel="0" r="1791">
      <c r="A1791" s="3" t="s">
        <f>=HYPERLINK("https://mp39851918.megaplan.ua/deals/93144/card/","15508")</f>
      </c>
      <c r="B1791" s="3" t="inlineStr">
        <is>
          <t>114-9246876-0868254</t>
        </is>
      </c>
      <c r="C1791" s="3" t="inlineStr">
        <is>
          <t>PartsUnlimited</t>
        </is>
      </c>
    </row>
    <row collapsed="false" customFormat="false" customHeight="false" hidden="false" ht="12.1" outlineLevel="0" r="1792">
      <c r="A1792" s="3" t="s">
        <f>=HYPERLINK("https://mp39851918.megaplan.ua/deals/93147/card/","15509")</f>
      </c>
      <c r="B1792" s="3" t="inlineStr">
        <is>
          <t>112-7698769-0261059</t>
        </is>
      </c>
      <c r="C1792" s="3" t="inlineStr">
        <is>
          <t>Autodist</t>
        </is>
      </c>
    </row>
    <row collapsed="false" customFormat="false" customHeight="false" hidden="false" ht="12.1" outlineLevel="0" r="1793">
      <c r="A1793" s="3" t="s">
        <f>=HYPERLINK("https://mp39851918.megaplan.ua/deals/93149/card/","15510")</f>
      </c>
      <c r="B1793" s="3" t="inlineStr">
        <is>
          <t>111-8715648-4633846</t>
        </is>
      </c>
      <c r="C1793" s="3" t="inlineStr">
        <is>
          <t>PartsUnlimited</t>
        </is>
      </c>
    </row>
    <row collapsed="false" customFormat="false" customHeight="false" hidden="false" ht="12.1" outlineLevel="0" r="1794">
      <c r="A1794" s="3" t="s">
        <f>=HYPERLINK("https://mp39851918.megaplan.ua/deals/93153/card/","15513")</f>
      </c>
      <c r="B1794" s="3" t="inlineStr">
        <is>
          <t>113-7343783-6373853</t>
        </is>
      </c>
      <c r="C1794" s="3" t="inlineStr">
        <is>
          <t>PartsUnlimited</t>
        </is>
      </c>
    </row>
    <row collapsed="false" customFormat="false" customHeight="false" hidden="false" ht="12.1" outlineLevel="0" r="1795">
      <c r="A1795" s="3" t="s">
        <f>=HYPERLINK("https://mp39851918.megaplan.ua/deals/93160/card/","15515")</f>
      </c>
      <c r="B1795" s="3" t="inlineStr">
        <is>
          <t>111-6773685-0748265</t>
        </is>
      </c>
      <c r="C1795" s="3" t="inlineStr">
        <is>
          <t>RockyMountain</t>
        </is>
      </c>
    </row>
    <row collapsed="false" customFormat="false" customHeight="false" hidden="false" ht="12.1" outlineLevel="0" r="1796">
      <c r="A1796" s="3" t="s">
        <f>=HYPERLINK("https://mp39851918.megaplan.ua/deals/93164/card/","15517")</f>
      </c>
      <c r="B1796" s="3" t="inlineStr">
        <is>
          <t>114-5858021-6509019</t>
        </is>
      </c>
      <c r="C1796" s="3" t="inlineStr">
        <is>
          <t>RockyMountain</t>
        </is>
      </c>
    </row>
    <row collapsed="false" customFormat="false" customHeight="false" hidden="false" ht="12.1" outlineLevel="0" r="1797">
      <c r="A1797" s="3" t="s">
        <f>=HYPERLINK("https://mp39851918.megaplan.ua/deals/93172/card/","15520")</f>
      </c>
      <c r="B1797" s="3" t="inlineStr">
        <is>
          <t>112-5499183-5137038</t>
        </is>
      </c>
      <c r="C1797" s="3" t="inlineStr">
        <is>
          <t>RockyMountain</t>
        </is>
      </c>
    </row>
    <row collapsed="false" customFormat="false" customHeight="false" hidden="false" ht="12.1" outlineLevel="0" r="1798">
      <c r="A1798" s="3" t="s">
        <f>=HYPERLINK("https://mp39851918.megaplan.ua/deals/93173/card/","15521")</f>
      </c>
      <c r="B1798" s="3" t="inlineStr">
        <is>
          <t>112-0597231-4029813</t>
        </is>
      </c>
      <c r="C1798" s="3" t="inlineStr">
        <is>
          <t>RockyMountain</t>
        </is>
      </c>
    </row>
    <row collapsed="false" customFormat="false" customHeight="false" hidden="false" ht="12.1" outlineLevel="0" r="1799">
      <c r="A1799" s="3" t="s">
        <f>=HYPERLINK("https://mp39851918.megaplan.ua/deals/93176/card/","15522")</f>
      </c>
      <c r="B1799" s="3" t="inlineStr">
        <is>
          <t>113-2001287-7646639</t>
        </is>
      </c>
      <c r="C1799" s="3" t="inlineStr">
        <is>
          <t>TuckerRocky</t>
        </is>
      </c>
    </row>
    <row collapsed="false" customFormat="false" customHeight="false" hidden="false" ht="12.1" outlineLevel="0" r="1800">
      <c r="A1800" s="3" t="s">
        <f>=HYPERLINK("https://mp39851918.megaplan.ua/deals/93182/card/","15523")</f>
      </c>
      <c r="B1800" s="3" t="inlineStr">
        <is>
          <t>113-0407674-9607454</t>
        </is>
      </c>
      <c r="C1800" s="3" t="inlineStr">
        <is>
          <t>PartsUnlimited</t>
        </is>
      </c>
    </row>
    <row collapsed="false" customFormat="false" customHeight="false" hidden="false" ht="12.1" outlineLevel="0" r="1801">
      <c r="A1801" s="3" t="s">
        <f>=HYPERLINK("https://mp39851918.megaplan.ua/deals/93183/card/","15524")</f>
      </c>
      <c r="B1801" s="3" t="inlineStr">
        <is>
          <t>112-2165109-2283422</t>
        </is>
      </c>
      <c r="C1801" s="3" t="inlineStr">
        <is>
          <t>PartsUnlimited</t>
        </is>
      </c>
    </row>
    <row collapsed="false" customFormat="false" customHeight="false" hidden="false" ht="12.1" outlineLevel="0" r="1802">
      <c r="A1802" s="3" t="s">
        <f>=HYPERLINK("https://mp39851918.megaplan.ua/deals/93202/card/","15526")</f>
      </c>
      <c r="B1802" s="3" t="inlineStr">
        <is>
          <t>114-0916745-3764234</t>
        </is>
      </c>
      <c r="C1802" s="3" t="inlineStr">
        <is>
          <t>Autodist</t>
        </is>
      </c>
    </row>
    <row collapsed="false" customFormat="false" customHeight="false" hidden="false" ht="12.1" outlineLevel="0" r="1803">
      <c r="A1803" s="3" t="s">
        <f>=HYPERLINK("https://mp39851918.megaplan.ua/deals/93210/card/","15527")</f>
      </c>
      <c r="B1803" s="3" t="inlineStr">
        <is>
          <t>111-2628738-5890648</t>
        </is>
      </c>
      <c r="C1803" s="3" t="inlineStr">
        <is>
          <t>Autodist</t>
        </is>
      </c>
    </row>
    <row collapsed="false" customFormat="false" customHeight="false" hidden="false" ht="12.1" outlineLevel="0" r="1804">
      <c r="A1804" s="3" t="s">
        <f>=HYPERLINK("https://mp39851918.megaplan.ua/deals/93213/card/","15528")</f>
      </c>
      <c r="B1804" s="3" t="inlineStr">
        <is>
          <t>112-9024295-8303461</t>
        </is>
      </c>
      <c r="C1804" s="3" t="inlineStr">
        <is>
          <t>RockyMountain</t>
        </is>
      </c>
    </row>
    <row collapsed="false" customFormat="false" customHeight="false" hidden="false" ht="12.1" outlineLevel="0" r="1805">
      <c r="A1805" s="3" t="s">
        <f>=HYPERLINK("https://mp39851918.megaplan.ua/deals/93214/card/","15529")</f>
      </c>
      <c r="B1805" s="3" t="inlineStr">
        <is>
          <t>114-4781267-0544267</t>
        </is>
      </c>
      <c r="C1805" s="3" t="inlineStr">
        <is>
          <t>TuckerRocky</t>
        </is>
      </c>
    </row>
    <row collapsed="false" customFormat="false" customHeight="false" hidden="false" ht="12.1" outlineLevel="0" r="1806">
      <c r="A1806" s="3" t="s">
        <f>=HYPERLINK("https://mp39851918.megaplan.ua/deals/93220/card/","15530")</f>
      </c>
      <c r="B1806" s="3" t="inlineStr">
        <is>
          <t>111-1417717-3521866</t>
        </is>
      </c>
      <c r="C1806" s="3" t="inlineStr">
        <is>
          <t>RockyMountain</t>
        </is>
      </c>
    </row>
    <row collapsed="false" customFormat="false" customHeight="false" hidden="false" ht="12.1" outlineLevel="0" r="1807">
      <c r="A1807" s="3" t="s">
        <f>=HYPERLINK("https://mp39851918.megaplan.ua/deals/93229/card/","15532")</f>
      </c>
      <c r="B1807" s="3" t="inlineStr">
        <is>
          <t>114-3326448-5178634</t>
        </is>
      </c>
      <c r="C1807" s="3" t="inlineStr">
        <is>
          <t>TuckerRocky</t>
        </is>
      </c>
    </row>
    <row collapsed="false" customFormat="false" customHeight="false" hidden="false" ht="12.1" outlineLevel="0" r="1808">
      <c r="A1808" s="3" t="s">
        <f>=HYPERLINK("https://mp39851918.megaplan.ua/deals/93245/card/","15534")</f>
      </c>
      <c r="B1808" s="3" t="inlineStr">
        <is>
          <t>112-3641028-8453824</t>
        </is>
      </c>
      <c r="C1808" s="3" t="inlineStr">
        <is>
          <t>TuckerRocky</t>
        </is>
      </c>
    </row>
    <row collapsed="false" customFormat="false" customHeight="false" hidden="false" ht="12.1" outlineLevel="0" r="1809">
      <c r="A1809" s="3" t="s">
        <f>=HYPERLINK("https://mp39851918.megaplan.ua/deals/93257/card/","15537")</f>
      </c>
      <c r="B1809" s="3" t="inlineStr">
        <is>
          <t>111-6670293-9753846</t>
        </is>
      </c>
      <c r="C1809" s="3" t="inlineStr">
        <is>
          <t>RockyMountain</t>
        </is>
      </c>
    </row>
    <row collapsed="false" customFormat="false" customHeight="false" hidden="false" ht="12.1" outlineLevel="0" r="1810">
      <c r="A1810" s="3" t="s">
        <f>=HYPERLINK("https://mp39851918.megaplan.ua/deals/93258/card/","15538")</f>
      </c>
      <c r="B1810" s="3" t="inlineStr">
        <is>
          <t>113-6848154-9697048</t>
        </is>
      </c>
      <c r="C1810" s="3" t="inlineStr">
        <is>
          <t>TuckerRocky</t>
        </is>
      </c>
    </row>
    <row collapsed="false" customFormat="false" customHeight="false" hidden="false" ht="12.1" outlineLevel="0" r="1811">
      <c r="A1811" s="3" t="s">
        <f>=HYPERLINK("https://mp39851918.megaplan.ua/deals/93276/card/","15540")</f>
      </c>
      <c r="B1811" s="3" t="inlineStr">
        <is>
          <t>114-4993387-6191436</t>
        </is>
      </c>
      <c r="C1811" s="3" t="inlineStr">
        <is>
          <t>TuckerRocky</t>
        </is>
      </c>
    </row>
    <row collapsed="false" customFormat="false" customHeight="false" hidden="false" ht="12.1" outlineLevel="0" r="1812">
      <c r="A1812" s="3" t="s">
        <f>=HYPERLINK("https://mp39851918.megaplan.ua/deals/93277/card/","15541")</f>
      </c>
      <c r="B1812" s="3" t="inlineStr">
        <is>
          <t>111-2246506-2568245</t>
        </is>
      </c>
      <c r="C1812" s="3" t="inlineStr">
        <is>
          <t>TuckerRocky</t>
        </is>
      </c>
    </row>
    <row collapsed="false" customFormat="false" customHeight="false" hidden="false" ht="12.1" outlineLevel="0" r="1813">
      <c r="A1813" s="3" t="s">
        <f>=HYPERLINK("https://mp39851918.megaplan.ua/deals/93278/card/","15542")</f>
      </c>
      <c r="B1813" s="3" t="inlineStr">
        <is>
          <t>111-2590788-3733806</t>
        </is>
      </c>
      <c r="C1813" s="3" t="inlineStr">
        <is>
          <t>TuckerRocky</t>
        </is>
      </c>
    </row>
    <row collapsed="false" customFormat="false" customHeight="false" hidden="false" ht="12.1" outlineLevel="0" r="1814">
      <c r="A1814" s="3" t="s">
        <f>=HYPERLINK("https://mp39851918.megaplan.ua/deals/93283/card/","15543")</f>
      </c>
      <c r="B1814" s="3" t="inlineStr">
        <is>
          <t>112-5143002-2301822</t>
        </is>
      </c>
      <c r="C1814" s="3" t="inlineStr">
        <is>
          <t>TuckerRocky</t>
        </is>
      </c>
    </row>
    <row collapsed="false" customFormat="false" customHeight="false" hidden="false" ht="12.1" outlineLevel="0" r="1815">
      <c r="A1815" s="3" t="s">
        <f>=HYPERLINK("https://mp39851918.megaplan.ua/deals/93302/card/","15545")</f>
      </c>
      <c r="B1815" s="3" t="inlineStr">
        <is>
          <t>112-7088710-7181001</t>
        </is>
      </c>
      <c r="C1815" s="3" t="inlineStr">
        <is>
          <t>RockyMountain</t>
        </is>
      </c>
    </row>
    <row collapsed="false" customFormat="false" customHeight="false" hidden="false" ht="12.1" outlineLevel="0" r="1816">
      <c r="A1816" s="3" t="s">
        <f>=HYPERLINK("https://mp39851918.megaplan.ua/deals/93304/card/","15546")</f>
      </c>
      <c r="B1816" s="3" t="inlineStr">
        <is>
          <t>114-0608734-1467407</t>
        </is>
      </c>
      <c r="C1816" s="3" t="inlineStr">
        <is>
          <t>TuckerRocky</t>
        </is>
      </c>
    </row>
    <row collapsed="false" customFormat="false" customHeight="false" hidden="false" ht="12.1" outlineLevel="0" r="1817">
      <c r="A1817" s="3" t="s">
        <f>=HYPERLINK("https://mp39851918.megaplan.ua/deals/93309/card/","15548")</f>
      </c>
      <c r="B1817" s="3" t="inlineStr">
        <is>
          <t>111-4532866-7809015</t>
        </is>
      </c>
      <c r="C1817" s="3" t="inlineStr">
        <is>
          <t>RockyMountain</t>
        </is>
      </c>
    </row>
    <row collapsed="false" customFormat="false" customHeight="false" hidden="false" ht="12.1" outlineLevel="0" r="1818">
      <c r="A1818" s="3" t="s">
        <f>=HYPERLINK("https://mp39851918.megaplan.ua/deals/93337/card/","15551")</f>
      </c>
      <c r="B1818" s="3" t="inlineStr">
        <is>
          <t>111-7534907-6733058</t>
        </is>
      </c>
      <c r="C1818" s="3" t="inlineStr">
        <is>
          <t>RockyMountain</t>
        </is>
      </c>
    </row>
    <row collapsed="false" customFormat="false" customHeight="false" hidden="false" ht="12.1" outlineLevel="0" r="1819">
      <c r="A1819" s="3" t="s">
        <f>=HYPERLINK("https://mp39851918.megaplan.ua/deals/93362/card/","15553")</f>
      </c>
      <c r="B1819" s="3" t="inlineStr">
        <is>
          <t>113-5866544-4845036</t>
        </is>
      </c>
      <c r="C1819" s="3" t="inlineStr">
        <is>
          <t>PartsUnlimited</t>
        </is>
      </c>
    </row>
    <row collapsed="false" customFormat="false" customHeight="false" hidden="false" ht="12.1" outlineLevel="0" r="1820">
      <c r="A1820" s="3" t="s">
        <f>=HYPERLINK("https://mp39851918.megaplan.ua/deals/93370/card/","15554")</f>
      </c>
      <c r="B1820" s="3" t="inlineStr">
        <is>
          <t>113-9055618-8133843</t>
        </is>
      </c>
      <c r="C1820" s="3" t="inlineStr">
        <is>
          <t>Autodist</t>
        </is>
      </c>
    </row>
    <row collapsed="false" customFormat="false" customHeight="false" hidden="false" ht="12.1" outlineLevel="0" r="1821">
      <c r="A1821" s="3" t="s">
        <f>=HYPERLINK("https://mp39851918.megaplan.ua/deals/93371/card/","15555")</f>
      </c>
      <c r="B1821" s="3" t="inlineStr">
        <is>
          <t>114-8763343-1354611</t>
        </is>
      </c>
      <c r="C1821" s="3" t="inlineStr">
        <is>
          <t>TuckerRocky</t>
        </is>
      </c>
    </row>
    <row collapsed="false" customFormat="false" customHeight="false" hidden="false" ht="12.1" outlineLevel="0" r="1822">
      <c r="A1822" s="3" t="s">
        <f>=HYPERLINK("https://mp39851918.megaplan.ua/deals/93378/card/","15556")</f>
      </c>
      <c r="B1822" s="3" t="inlineStr">
        <is>
          <t>111-1284476-0873865</t>
        </is>
      </c>
      <c r="C1822" s="3" t="inlineStr">
        <is>
          <t>Autodist</t>
        </is>
      </c>
    </row>
    <row collapsed="false" customFormat="false" customHeight="false" hidden="false" ht="12.1" outlineLevel="0" r="1823">
      <c r="A1823" s="3" t="s">
        <f>=HYPERLINK("https://mp39851918.megaplan.ua/deals/93458/card/","15565")</f>
      </c>
      <c r="B1823" s="3" t="inlineStr">
        <is>
          <t>112-6379622-0154624</t>
        </is>
      </c>
      <c r="C1823" s="3" t="inlineStr">
        <is>
          <t>TuckerRocky</t>
        </is>
      </c>
    </row>
    <row collapsed="false" customFormat="false" customHeight="false" hidden="false" ht="12.1" outlineLevel="0" r="1824">
      <c r="A1824" s="3" t="s">
        <f>=HYPERLINK("https://mp39851918.megaplan.ua/deals/93463/card/","15567")</f>
      </c>
      <c r="B1824" s="3" t="inlineStr">
        <is>
          <t>111-3791606-7626667</t>
        </is>
      </c>
      <c r="C1824" s="3" t="inlineStr">
        <is>
          <t>RockyMountain</t>
        </is>
      </c>
    </row>
    <row collapsed="false" customFormat="false" customHeight="false" hidden="false" ht="12.1" outlineLevel="0" r="1825">
      <c r="A1825" s="3" t="s">
        <f>=HYPERLINK("https://mp39851918.megaplan.ua/deals/93466/card/","15568")</f>
      </c>
      <c r="B1825" s="3" t="inlineStr">
        <is>
          <t>113-0287499-9706667</t>
        </is>
      </c>
      <c r="C1825" s="3" t="inlineStr">
        <is>
          <t>PartsUnlimited</t>
        </is>
      </c>
    </row>
    <row collapsed="false" customFormat="false" customHeight="false" hidden="false" ht="12.1" outlineLevel="0" r="1826">
      <c r="A1826" s="3" t="s">
        <f>=HYPERLINK("https://mp39851918.megaplan.ua/deals/93468/card/","15569")</f>
      </c>
      <c r="B1826" s="3" t="inlineStr">
        <is>
          <t>114-3554695-8269853</t>
        </is>
      </c>
      <c r="C1826" s="3" t="inlineStr">
        <is>
          <t>PartsUnlimited</t>
        </is>
      </c>
    </row>
    <row collapsed="false" customFormat="false" customHeight="false" hidden="false" ht="12.1" outlineLevel="0" r="1827">
      <c r="A1827" s="3" t="s">
        <f>=HYPERLINK("https://mp39851918.megaplan.ua/deals/93469/card/","15570")</f>
      </c>
      <c r="B1827" s="3" t="inlineStr">
        <is>
          <t>112-5118055-1070619</t>
        </is>
      </c>
      <c r="C1827" s="3" t="inlineStr">
        <is>
          <t>PartsUnlimited</t>
        </is>
      </c>
    </row>
    <row collapsed="false" customFormat="false" customHeight="false" hidden="false" ht="12.1" outlineLevel="0" r="1828">
      <c r="A1828" s="3" t="s">
        <f>=HYPERLINK("https://mp39851918.megaplan.ua/deals/93470/card/","15571")</f>
      </c>
      <c r="B1828" s="3" t="inlineStr">
        <is>
          <t>113-9559547-2350648</t>
        </is>
      </c>
      <c r="C1828" s="3" t="inlineStr">
        <is>
          <t>PartsUnlimited</t>
        </is>
      </c>
    </row>
    <row collapsed="false" customFormat="false" customHeight="false" hidden="false" ht="12.1" outlineLevel="0" r="1829">
      <c r="A1829" s="3" t="s">
        <f>=HYPERLINK("https://mp39851918.megaplan.ua/deals/93471/card/","15572")</f>
      </c>
      <c r="B1829" s="3" t="inlineStr">
        <is>
          <t>111-7612181-4525037</t>
        </is>
      </c>
      <c r="C1829" s="3" t="inlineStr">
        <is>
          <t>PartsUnlimited</t>
        </is>
      </c>
    </row>
    <row collapsed="false" customFormat="false" customHeight="false" hidden="false" ht="12.1" outlineLevel="0" r="1830">
      <c r="A1830" s="3" t="s">
        <f>=HYPERLINK("https://mp39851918.megaplan.ua/deals/93472/card/","15573")</f>
      </c>
      <c r="B1830" s="3" t="inlineStr">
        <is>
          <t>113-3716212-2795437</t>
        </is>
      </c>
      <c r="C1830" s="3" t="inlineStr">
        <is>
          <t>RockyMountain</t>
        </is>
      </c>
    </row>
    <row collapsed="false" customFormat="false" customHeight="false" hidden="false" ht="12.1" outlineLevel="0" r="1831">
      <c r="A1831" s="3" t="s">
        <f>=HYPERLINK("https://mp39851918.megaplan.ua/deals/93480/card/","15577")</f>
      </c>
      <c r="B1831" s="3" t="inlineStr">
        <is>
          <t>114-8251855-7793839</t>
        </is>
      </c>
      <c r="C1831" s="3" t="inlineStr">
        <is>
          <t>RockyMountain</t>
        </is>
      </c>
    </row>
    <row collapsed="false" customFormat="false" customHeight="false" hidden="false" ht="12.1" outlineLevel="0" r="1832">
      <c r="A1832" s="3" t="s">
        <f>=HYPERLINK("https://mp39851918.megaplan.ua/deals/93485/card/","15578")</f>
      </c>
      <c r="B1832" s="3" t="inlineStr">
        <is>
          <t>114-7198595-6157044</t>
        </is>
      </c>
      <c r="C1832" s="3" t="inlineStr">
        <is>
          <t>PartsUnlimited</t>
        </is>
      </c>
    </row>
    <row collapsed="false" customFormat="false" customHeight="false" hidden="false" ht="12.1" outlineLevel="0" r="1833">
      <c r="A1833" s="3" t="s">
        <f>=HYPERLINK("https://mp39851918.megaplan.ua/deals/93486/card/","15579")</f>
      </c>
      <c r="B1833" s="3" t="inlineStr">
        <is>
          <t>113-8487509-6718661</t>
        </is>
      </c>
      <c r="C1833" s="3" t="inlineStr">
        <is>
          <t>RockyMountain</t>
        </is>
      </c>
    </row>
    <row collapsed="false" customFormat="false" customHeight="false" hidden="false" ht="12.1" outlineLevel="0" r="1834">
      <c r="A1834" s="3" t="s">
        <f>=HYPERLINK("https://mp39851918.megaplan.ua/deals/93487/card/","15580")</f>
      </c>
      <c r="B1834" s="3" t="inlineStr">
        <is>
          <t>111-6972054-4934617</t>
        </is>
      </c>
      <c r="C1834" s="3" t="inlineStr">
        <is>
          <t>RockyMountain</t>
        </is>
      </c>
    </row>
    <row collapsed="false" customFormat="false" customHeight="false" hidden="false" ht="12.1" outlineLevel="0" r="1835">
      <c r="A1835" s="3" t="s">
        <f>=HYPERLINK("https://mp39851918.megaplan.ua/deals/93488/card/","15581")</f>
      </c>
      <c r="B1835" s="3" t="inlineStr">
        <is>
          <t>111-7893815-1945010</t>
        </is>
      </c>
      <c r="C1835" s="3" t="inlineStr">
        <is>
          <t>RockyMountain</t>
        </is>
      </c>
    </row>
    <row collapsed="false" customFormat="false" customHeight="false" hidden="false" ht="12.1" outlineLevel="0" r="1836">
      <c r="A1836" s="3" t="s">
        <f>=HYPERLINK("https://mp39851918.megaplan.ua/deals/93489/card/","15582")</f>
      </c>
      <c r="B1836" s="3" t="inlineStr">
        <is>
          <t>113-7263400-7705035</t>
        </is>
      </c>
      <c r="C1836" s="3" t="inlineStr">
        <is>
          <t>RockyMountain</t>
        </is>
      </c>
    </row>
    <row collapsed="false" customFormat="false" customHeight="false" hidden="false" ht="12.1" outlineLevel="0" r="1837">
      <c r="A1837" s="3" t="s">
        <f>=HYPERLINK("https://mp39851918.megaplan.ua/deals/93490/card/","15583")</f>
      </c>
      <c r="B1837" s="3" t="inlineStr">
        <is>
          <t>113-0096591-0445025</t>
        </is>
      </c>
      <c r="C1837" s="3" t="inlineStr">
        <is>
          <t>RockyMountain</t>
        </is>
      </c>
    </row>
    <row collapsed="false" customFormat="false" customHeight="false" hidden="false" ht="12.1" outlineLevel="0" r="1838">
      <c r="A1838" s="3" t="s">
        <f>=HYPERLINK("https://mp39851918.megaplan.ua/deals/93492/card/","15584")</f>
      </c>
      <c r="B1838" s="3" t="inlineStr">
        <is>
          <t>112-9782226-9550630</t>
        </is>
      </c>
      <c r="C1838" s="3" t="inlineStr">
        <is>
          <t>RockyMountain</t>
        </is>
      </c>
    </row>
    <row collapsed="false" customFormat="false" customHeight="false" hidden="false" ht="12.1" outlineLevel="0" r="1839">
      <c r="A1839" s="3" t="s">
        <f>=HYPERLINK("https://mp39851918.megaplan.ua/deals/93493/card/","15585")</f>
      </c>
      <c r="B1839" s="3" t="inlineStr">
        <is>
          <t>113-7745714-5941835</t>
        </is>
      </c>
      <c r="C1839" s="3" t="inlineStr">
        <is>
          <t>PartsUnlimited</t>
        </is>
      </c>
    </row>
    <row collapsed="false" customFormat="false" customHeight="false" hidden="false" ht="12.1" outlineLevel="0" r="1840">
      <c r="A1840" s="3" t="s">
        <f>=HYPERLINK("https://mp39851918.megaplan.ua/deals/93495/card/","15586")</f>
      </c>
      <c r="B1840" s="3" t="inlineStr">
        <is>
          <t>113-2314532-9556251</t>
        </is>
      </c>
      <c r="C1840" s="3" t="inlineStr">
        <is>
          <t>RockyMountain</t>
        </is>
      </c>
    </row>
    <row collapsed="false" customFormat="false" customHeight="false" hidden="false" ht="12.1" outlineLevel="0" r="1841">
      <c r="A1841" s="3" t="s">
        <f>=HYPERLINK("https://mp39851918.megaplan.ua/deals/93496/card/","15587")</f>
      </c>
      <c r="B1841" s="3" t="inlineStr">
        <is>
          <t>111-4359097-8488240</t>
        </is>
      </c>
      <c r="C1841" s="3" t="inlineStr">
        <is>
          <t>RockyMountain</t>
        </is>
      </c>
    </row>
    <row collapsed="false" customFormat="false" customHeight="false" hidden="false" ht="12.1" outlineLevel="0" r="1842">
      <c r="A1842" s="3" t="s">
        <f>=HYPERLINK("https://mp39851918.megaplan.ua/deals/93524/card/","15593")</f>
      </c>
      <c r="B1842" s="3" t="inlineStr">
        <is>
          <t>111-6675557-4765863</t>
        </is>
      </c>
      <c r="C1842" s="3" t="inlineStr">
        <is>
          <t>TuckerRocky</t>
        </is>
      </c>
    </row>
    <row collapsed="false" customFormat="false" customHeight="false" hidden="false" ht="12.1" outlineLevel="0" r="1843">
      <c r="A1843" s="3" t="s">
        <f>=HYPERLINK("https://mp39851918.megaplan.ua/deals/93534/card/","15594")</f>
      </c>
      <c r="B1843" s="3" t="inlineStr">
        <is>
          <t>112-1236873-9809835</t>
        </is>
      </c>
      <c r="C1843" s="3" t="inlineStr">
        <is>
          <t>RockyMountain</t>
        </is>
      </c>
    </row>
    <row collapsed="false" customFormat="false" customHeight="false" hidden="false" ht="12.1" outlineLevel="0" r="1844">
      <c r="A1844" s="3" t="s">
        <f>=HYPERLINK("https://mp39851918.megaplan.ua/deals/93554/card/","15596")</f>
      </c>
      <c r="B1844" s="3" t="inlineStr">
        <is>
          <t>111-8221191-9600261</t>
        </is>
      </c>
      <c r="C1844" s="3" t="inlineStr">
        <is>
          <t>TuckerRocky</t>
        </is>
      </c>
    </row>
    <row collapsed="false" customFormat="false" customHeight="false" hidden="false" ht="12.1" outlineLevel="0" r="1845">
      <c r="A1845" s="3" t="s">
        <f>=HYPERLINK("https://mp39851918.megaplan.ua/deals/93556/card/","15597")</f>
      </c>
      <c r="B1845" s="3" t="inlineStr">
        <is>
          <t>112-4769884-9012268</t>
        </is>
      </c>
      <c r="C1845" s="3" t="inlineStr">
        <is>
          <t>TuckerRocky</t>
        </is>
      </c>
    </row>
    <row collapsed="false" customFormat="false" customHeight="false" hidden="false" ht="12.1" outlineLevel="0" r="1846">
      <c r="A1846" s="3" t="s">
        <f>=HYPERLINK("https://mp39851918.megaplan.ua/deals/93565/card/","15598")</f>
      </c>
      <c r="B1846" s="3" t="inlineStr">
        <is>
          <t>113-5975364-6943457</t>
        </is>
      </c>
      <c r="C1846" s="3" t="inlineStr">
        <is>
          <t>PartsUnlimited</t>
        </is>
      </c>
    </row>
    <row collapsed="false" customFormat="false" customHeight="false" hidden="false" ht="12.1" outlineLevel="0" r="1847">
      <c r="A1847" s="3" t="s">
        <f>=HYPERLINK("https://mp39851918.megaplan.ua/deals/93566/card/","15599")</f>
      </c>
      <c r="B1847" s="3" t="inlineStr">
        <is>
          <t>113-9346765-9415425</t>
        </is>
      </c>
      <c r="C1847" s="3" t="inlineStr">
        <is>
          <t>RockyMountain</t>
        </is>
      </c>
    </row>
    <row collapsed="false" customFormat="false" customHeight="false" hidden="false" ht="12.1" outlineLevel="0" r="1848">
      <c r="A1848" s="3" t="s">
        <f>=HYPERLINK("https://mp39851918.megaplan.ua/deals/93567/card/","15600")</f>
      </c>
      <c r="B1848" s="3" t="inlineStr">
        <is>
          <t>113-4975692-5880240</t>
        </is>
      </c>
      <c r="C1848" s="3" t="inlineStr">
        <is>
          <t>PartsUnlimited</t>
        </is>
      </c>
    </row>
    <row collapsed="false" customFormat="false" customHeight="false" hidden="false" ht="12.1" outlineLevel="0" r="1849">
      <c r="A1849" s="3" t="s">
        <f>=HYPERLINK("https://mp39851918.megaplan.ua/deals/93577/card/","15601")</f>
      </c>
      <c r="B1849" s="3" t="inlineStr">
        <is>
          <t>113-0220633-7082619</t>
        </is>
      </c>
      <c r="C1849" s="3" t="inlineStr">
        <is>
          <t>RockyMountain</t>
        </is>
      </c>
    </row>
    <row collapsed="false" customFormat="false" customHeight="false" hidden="false" ht="12.1" outlineLevel="0" r="1850">
      <c r="A1850" s="3" t="s">
        <f>=HYPERLINK("https://mp39851918.megaplan.ua/deals/93579/card/","15602")</f>
      </c>
      <c r="B1850" s="3" t="inlineStr">
        <is>
          <t>114-0248706-2231476</t>
        </is>
      </c>
      <c r="C1850" s="3" t="inlineStr">
        <is>
          <t>RockyMountain</t>
        </is>
      </c>
    </row>
    <row collapsed="false" customFormat="false" customHeight="false" hidden="false" ht="12.1" outlineLevel="0" r="1851">
      <c r="A1851" s="3" t="s">
        <f>=HYPERLINK("https://mp39851918.megaplan.ua/deals/93581/card/","15603")</f>
      </c>
      <c r="B1851" s="3" t="inlineStr">
        <is>
          <t>114-0333842-5213072</t>
        </is>
      </c>
      <c r="C1851" s="3" t="inlineStr">
        <is>
          <t>RockyMountain</t>
        </is>
      </c>
    </row>
    <row collapsed="false" customFormat="false" customHeight="false" hidden="false" ht="12.1" outlineLevel="0" r="1852">
      <c r="A1852" s="3" t="s">
        <f>=HYPERLINK("https://mp39851918.megaplan.ua/deals/93606/card/","15607")</f>
      </c>
      <c r="B1852" s="3" t="inlineStr">
        <is>
          <t>113-9875712-9201026</t>
        </is>
      </c>
      <c r="C1852" s="3" t="inlineStr">
        <is>
          <t>TuckerRocky</t>
        </is>
      </c>
    </row>
    <row collapsed="false" customFormat="false" customHeight="false" hidden="false" ht="12.1" outlineLevel="0" r="1853">
      <c r="A1853" s="3" t="s">
        <f>=HYPERLINK("https://mp39851918.megaplan.ua/deals/93611/card/","15608")</f>
      </c>
      <c r="B1853" s="3" t="inlineStr">
        <is>
          <t>113-2517667-6729032</t>
        </is>
      </c>
      <c r="C1853" s="3" t="inlineStr">
        <is>
          <t>Autodist</t>
        </is>
      </c>
    </row>
    <row collapsed="false" customFormat="false" customHeight="false" hidden="false" ht="12.1" outlineLevel="0" r="1854">
      <c r="A1854" s="3" t="s">
        <f>=HYPERLINK("https://mp39851918.megaplan.ua/deals/93623/card/","15609")</f>
      </c>
      <c r="B1854" s="3" t="inlineStr">
        <is>
          <t>114-1651702-2238622</t>
        </is>
      </c>
      <c r="C1854" s="3" t="inlineStr">
        <is>
          <t>TuckerRocky</t>
        </is>
      </c>
    </row>
    <row collapsed="false" customFormat="false" customHeight="false" hidden="false" ht="12.1" outlineLevel="0" r="1855">
      <c r="A1855" s="3" t="s">
        <f>=HYPERLINK("https://mp39851918.megaplan.ua/deals/93633/card/","15611")</f>
      </c>
      <c r="B1855" s="3" t="inlineStr">
        <is>
          <t>114-8693288-0823411</t>
        </is>
      </c>
      <c r="C1855" s="3" t="inlineStr">
        <is>
          <t>TuckerRocky</t>
        </is>
      </c>
    </row>
    <row collapsed="false" customFormat="false" customHeight="false" hidden="false" ht="12.1" outlineLevel="0" r="1856">
      <c r="A1856" s="3" t="s">
        <f>=HYPERLINK("https://mp39851918.megaplan.ua/deals/93663/card/","15614")</f>
      </c>
      <c r="B1856" s="3" t="inlineStr">
        <is>
          <t>114-6097062-6252252</t>
        </is>
      </c>
      <c r="C1856" s="3" t="inlineStr">
        <is>
          <t>TuckerRocky</t>
        </is>
      </c>
    </row>
    <row collapsed="false" customFormat="false" customHeight="false" hidden="false" ht="12.1" outlineLevel="0" r="1857">
      <c r="A1857" s="3" t="s">
        <f>=HYPERLINK("https://mp39851918.megaplan.ua/deals/93697/card/","15616")</f>
      </c>
      <c r="B1857" s="3" t="inlineStr">
        <is>
          <t>111-4033303-4557047</t>
        </is>
      </c>
      <c r="C1857" s="3" t="inlineStr">
        <is>
          <t>RockyMountain</t>
        </is>
      </c>
    </row>
    <row collapsed="false" customFormat="false" customHeight="false" hidden="false" ht="12.1" outlineLevel="0" r="1858">
      <c r="A1858" s="3" t="s">
        <f>=HYPERLINK("https://mp39851918.megaplan.ua/deals/93698/card/","15617")</f>
      </c>
      <c r="B1858" s="3" t="inlineStr">
        <is>
          <t>112-4680583-4773831</t>
        </is>
      </c>
      <c r="C1858" s="3" t="inlineStr">
        <is>
          <t>Autodist</t>
        </is>
      </c>
    </row>
    <row collapsed="false" customFormat="false" customHeight="false" hidden="false" ht="12.1" outlineLevel="0" r="1859">
      <c r="A1859" s="3" t="s">
        <f>=HYPERLINK("https://mp39851918.megaplan.ua/deals/93725/card/","15619")</f>
      </c>
      <c r="B1859" s="3" t="inlineStr">
        <is>
          <t>112-8715335-4404254</t>
        </is>
      </c>
      <c r="C1859" s="3" t="inlineStr">
        <is>
          <t>RockyMountain</t>
        </is>
      </c>
    </row>
    <row collapsed="false" customFormat="false" customHeight="false" hidden="false" ht="12.1" outlineLevel="0" r="1860">
      <c r="A1860" s="3" t="s">
        <f>=HYPERLINK("https://mp39851918.megaplan.ua/deals/93726/card/","15620")</f>
      </c>
      <c r="B1860" s="3" t="inlineStr">
        <is>
          <t>113-2650384-3929855</t>
        </is>
      </c>
      <c r="C1860" s="3" t="inlineStr">
        <is>
          <t>RockyMountain</t>
        </is>
      </c>
    </row>
    <row collapsed="false" customFormat="false" customHeight="false" hidden="false" ht="12.1" outlineLevel="0" r="1861">
      <c r="A1861" s="3" t="s">
        <f>=HYPERLINK("https://mp39851918.megaplan.ua/deals/93746/card/","15621")</f>
      </c>
      <c r="B1861" s="3" t="inlineStr">
        <is>
          <t>111-7187894-8325016</t>
        </is>
      </c>
      <c r="C1861" s="3" t="inlineStr">
        <is>
          <t>TuckerRocky</t>
        </is>
      </c>
    </row>
    <row collapsed="false" customFormat="false" customHeight="false" hidden="false" ht="12.1" outlineLevel="0" r="1862">
      <c r="A1862" s="3" t="s">
        <f>=HYPERLINK("https://mp39851918.megaplan.ua/deals/93768/card/","15622")</f>
      </c>
      <c r="B1862" s="3" t="inlineStr">
        <is>
          <t>111-9901545-7760209</t>
        </is>
      </c>
      <c r="C1862" s="3" t="inlineStr">
        <is>
          <t>TuckerRocky</t>
        </is>
      </c>
    </row>
    <row collapsed="false" customFormat="false" customHeight="false" hidden="false" ht="12.1" outlineLevel="0" r="1863">
      <c r="A1863" s="3" t="s">
        <f>=HYPERLINK("https://mp39851918.megaplan.ua/deals/93771/card/","15623")</f>
      </c>
      <c r="B1863" s="3" t="inlineStr">
        <is>
          <t>112-5627366-4563443</t>
        </is>
      </c>
      <c r="C1863" s="3" t="inlineStr">
        <is>
          <t>RockyMountain</t>
        </is>
      </c>
    </row>
    <row collapsed="false" customFormat="false" customHeight="false" hidden="false" ht="12.1" outlineLevel="0" r="1864">
      <c r="A1864" s="3" t="s">
        <f>=HYPERLINK("https://mp39851918.megaplan.ua/deals/93777/card/","15624")</f>
      </c>
      <c r="B1864" s="3" t="inlineStr">
        <is>
          <t>113-9998805-6161861</t>
        </is>
      </c>
      <c r="C1864" s="3" t="inlineStr">
        <is>
          <t>PartsUnlimited</t>
        </is>
      </c>
    </row>
    <row collapsed="false" customFormat="false" customHeight="false" hidden="false" ht="12.1" outlineLevel="0" r="1865">
      <c r="A1865" s="3" t="s">
        <f>=HYPERLINK("https://mp39851918.megaplan.ua/deals/93779/card/","15625")</f>
      </c>
      <c r="B1865" s="3" t="inlineStr">
        <is>
          <t>112-0454195-5353847</t>
        </is>
      </c>
      <c r="C1865" s="3" t="inlineStr">
        <is>
          <t>RockyMountain</t>
        </is>
      </c>
    </row>
    <row collapsed="false" customFormat="false" customHeight="false" hidden="false" ht="12.1" outlineLevel="0" r="1866">
      <c r="A1866" s="3" t="s">
        <f>=HYPERLINK("https://mp39851918.megaplan.ua/deals/93791/card/","15626")</f>
      </c>
      <c r="B1866" s="3" t="inlineStr">
        <is>
          <t>111-0554144-4760234</t>
        </is>
      </c>
      <c r="C1866" s="3" t="inlineStr">
        <is>
          <t>Autodist</t>
        </is>
      </c>
    </row>
    <row collapsed="false" customFormat="false" customHeight="false" hidden="false" ht="12.1" outlineLevel="0" r="1867">
      <c r="A1867" s="3" t="s">
        <f>=HYPERLINK("https://mp39851918.megaplan.ua/deals/93797/card/","15627")</f>
      </c>
      <c r="B1867" s="3" t="inlineStr">
        <is>
          <t>112-6662646-3070617</t>
        </is>
      </c>
      <c r="C1867" s="3" t="inlineStr">
        <is>
          <t>RockyMountain</t>
        </is>
      </c>
    </row>
    <row collapsed="false" customFormat="false" customHeight="false" hidden="false" ht="12.1" outlineLevel="0" r="1868">
      <c r="A1868" s="3" t="s">
        <f>=HYPERLINK("https://mp39851918.megaplan.ua/deals/93800/card/","15628")</f>
      </c>
      <c r="B1868" s="3" t="inlineStr">
        <is>
          <t>114-0068582-4741851</t>
        </is>
      </c>
      <c r="C1868" s="3" t="inlineStr">
        <is>
          <t>RockyMountain</t>
        </is>
      </c>
    </row>
    <row collapsed="false" customFormat="false" customHeight="false" hidden="false" ht="12.1" outlineLevel="0" r="1869">
      <c r="A1869" s="3" t="s">
        <f>=HYPERLINK("https://mp39851918.megaplan.ua/deals/93801/card/","15629")</f>
      </c>
      <c r="B1869" s="3" t="inlineStr">
        <is>
          <t>114-6187562-5982668</t>
        </is>
      </c>
      <c r="C1869" s="3" t="inlineStr">
        <is>
          <t>PartsUnlimited</t>
        </is>
      </c>
    </row>
    <row collapsed="false" customFormat="false" customHeight="false" hidden="false" ht="12.1" outlineLevel="0" r="1870">
      <c r="A1870" s="3" t="s">
        <f>=HYPERLINK("https://mp39851918.megaplan.ua/deals/93802/card/","15630")</f>
      </c>
      <c r="B1870" s="3" t="inlineStr">
        <is>
          <t>114-8178609-0728201</t>
        </is>
      </c>
      <c r="C1870" s="3" t="inlineStr">
        <is>
          <t>Autodist</t>
        </is>
      </c>
    </row>
    <row collapsed="false" customFormat="false" customHeight="false" hidden="false" ht="12.1" outlineLevel="0" r="1871">
      <c r="A1871" s="3" t="s">
        <f>=HYPERLINK("https://mp39851918.megaplan.ua/deals/93815/card/","15631")</f>
      </c>
      <c r="B1871" s="3" t="inlineStr">
        <is>
          <t>114-0280912-0761862</t>
        </is>
      </c>
      <c r="C1871" s="3" t="inlineStr">
        <is>
          <t>TuckerRocky</t>
        </is>
      </c>
    </row>
    <row collapsed="false" customFormat="false" customHeight="false" hidden="false" ht="12.1" outlineLevel="0" r="1872">
      <c r="A1872" s="3" t="s">
        <f>=HYPERLINK("https://mp39851918.megaplan.ua/deals/93827/card/","15632")</f>
      </c>
      <c r="B1872" s="3" t="inlineStr">
        <is>
          <t>113-1366095-2439446</t>
        </is>
      </c>
      <c r="C1872" s="3" t="inlineStr">
        <is>
          <t>TuckerRocky</t>
        </is>
      </c>
    </row>
    <row collapsed="false" customFormat="false" customHeight="false" hidden="false" ht="12.1" outlineLevel="0" r="1873">
      <c r="A1873" s="3" t="s">
        <f>=HYPERLINK("https://mp39851918.megaplan.ua/deals/93846/card/","15637")</f>
      </c>
      <c r="B1873" s="3" t="inlineStr">
        <is>
          <t>112-5979885-3982662</t>
        </is>
      </c>
      <c r="C1873" s="3" t="inlineStr">
        <is>
          <t>RockyMountain</t>
        </is>
      </c>
    </row>
    <row collapsed="false" customFormat="false" customHeight="false" hidden="false" ht="12.1" outlineLevel="0" r="1874">
      <c r="A1874" s="3" t="s">
        <f>=HYPERLINK("https://mp39851918.megaplan.ua/deals/93847/card/","15638")</f>
      </c>
      <c r="B1874" s="3" t="inlineStr">
        <is>
          <t>112-6409918-1682642</t>
        </is>
      </c>
      <c r="C1874" s="3" t="inlineStr">
        <is>
          <t>RockyMountain</t>
        </is>
      </c>
    </row>
    <row collapsed="false" customFormat="false" customHeight="false" hidden="false" ht="12.1" outlineLevel="0" r="1875">
      <c r="A1875" s="3" t="s">
        <f>=HYPERLINK("https://mp39851918.megaplan.ua/deals/93854/card/","15641")</f>
      </c>
      <c r="B1875" s="3" t="inlineStr">
        <is>
          <t>114-5990983-6705043</t>
        </is>
      </c>
      <c r="C1875" s="3" t="inlineStr">
        <is>
          <t>RockyMountain</t>
        </is>
      </c>
    </row>
    <row collapsed="false" customFormat="false" customHeight="false" hidden="false" ht="12.1" outlineLevel="0" r="1876">
      <c r="A1876" s="3" t="s">
        <f>=HYPERLINK("https://mp39851918.megaplan.ua/deals/93861/card/","15644")</f>
      </c>
      <c r="B1876" s="3" t="inlineStr">
        <is>
          <t>114-6530016-3342648</t>
        </is>
      </c>
      <c r="C1876" s="3" t="inlineStr">
        <is>
          <t>RockyMountain</t>
        </is>
      </c>
    </row>
    <row collapsed="false" customFormat="false" customHeight="false" hidden="false" ht="12.1" outlineLevel="0" r="1877">
      <c r="A1877" s="3" t="s">
        <f>=HYPERLINK("https://mp39851918.megaplan.ua/deals/93863/card/","15645")</f>
      </c>
      <c r="B1877" s="3" t="inlineStr">
        <is>
          <t>114-6606338-9149020</t>
        </is>
      </c>
      <c r="C1877" s="3" t="inlineStr">
        <is>
          <t>RockyMountain</t>
        </is>
      </c>
    </row>
    <row collapsed="false" customFormat="false" customHeight="false" hidden="false" ht="12.1" outlineLevel="0" r="1878">
      <c r="A1878" s="3" t="s">
        <f>=HYPERLINK("https://mp39851918.megaplan.ua/deals/93866/card/","15647")</f>
      </c>
      <c r="B1878" s="3" t="inlineStr">
        <is>
          <t>114-0989011-2976225</t>
        </is>
      </c>
      <c r="C1878" s="3" t="inlineStr">
        <is>
          <t>PartsUnlimited</t>
        </is>
      </c>
    </row>
    <row collapsed="false" customFormat="false" customHeight="false" hidden="false" ht="12.1" outlineLevel="0" r="1879">
      <c r="A1879" s="3" t="s">
        <f>=HYPERLINK("https://mp39851918.megaplan.ua/deals/93870/card/","15649")</f>
      </c>
      <c r="B1879" s="3" t="inlineStr">
        <is>
          <t>112-4001408-7408212</t>
        </is>
      </c>
      <c r="C1879" s="3" t="inlineStr">
        <is>
          <t>TuckerRocky</t>
        </is>
      </c>
    </row>
    <row collapsed="false" customFormat="false" customHeight="false" hidden="false" ht="12.1" outlineLevel="0" r="1880">
      <c r="A1880" s="3" t="s">
        <f>=HYPERLINK("https://mp39851918.megaplan.ua/deals/93871/card/","15650")</f>
      </c>
      <c r="B1880" s="3" t="inlineStr">
        <is>
          <t>111-1146300-2212249</t>
        </is>
      </c>
      <c r="C1880" s="3" t="inlineStr">
        <is>
          <t>Autodist</t>
        </is>
      </c>
    </row>
    <row collapsed="false" customFormat="false" customHeight="false" hidden="false" ht="12.1" outlineLevel="0" r="1881">
      <c r="A1881" s="3" t="s">
        <f>=HYPERLINK("https://mp39851918.megaplan.ua/deals/93872/card/","15651")</f>
      </c>
      <c r="B1881" s="3" t="inlineStr">
        <is>
          <t>111-6781901-5809819</t>
        </is>
      </c>
      <c r="C1881" s="3" t="inlineStr">
        <is>
          <t>TuckerRocky</t>
        </is>
      </c>
    </row>
    <row collapsed="false" customFormat="false" customHeight="false" hidden="false" ht="12.1" outlineLevel="0" r="1882">
      <c r="A1882" s="3" t="s">
        <f>=HYPERLINK("https://mp39851918.megaplan.ua/deals/93873/card/","15652")</f>
      </c>
      <c r="B1882" s="3" t="inlineStr">
        <is>
          <t>114-2119659-1690608</t>
        </is>
      </c>
      <c r="C1882" s="3" t="inlineStr">
        <is>
          <t>RockyMountain</t>
        </is>
      </c>
    </row>
    <row collapsed="false" customFormat="false" customHeight="false" hidden="false" ht="12.1" outlineLevel="0" r="1883">
      <c r="A1883" s="3" t="s">
        <f>=HYPERLINK("https://mp39851918.megaplan.ua/deals/93874/card/","15653")</f>
      </c>
      <c r="B1883" s="3" t="inlineStr">
        <is>
          <t>113-9387868-0117834</t>
        </is>
      </c>
      <c r="C1883" s="3" t="inlineStr">
        <is>
          <t>RockyMountain</t>
        </is>
      </c>
    </row>
    <row collapsed="false" customFormat="false" customHeight="false" hidden="false" ht="12.1" outlineLevel="0" r="1884">
      <c r="A1884" s="3" t="s">
        <f>=HYPERLINK("https://mp39851918.megaplan.ua/deals/93877/card/","15654")</f>
      </c>
      <c r="B1884" s="3" t="inlineStr">
        <is>
          <t>111-3672884-2938665</t>
        </is>
      </c>
      <c r="C1884" s="3" t="inlineStr">
        <is>
          <t>RockyMountain</t>
        </is>
      </c>
    </row>
    <row collapsed="false" customFormat="false" customHeight="false" hidden="false" ht="12.1" outlineLevel="0" r="1885">
      <c r="A1885" s="3" t="s">
        <f>=HYPERLINK("https://mp39851918.megaplan.ua/deals/93878/card/","15655")</f>
      </c>
      <c r="B1885" s="3" t="inlineStr">
        <is>
          <t>114-6553153-4608247</t>
        </is>
      </c>
      <c r="C1885" s="3" t="inlineStr">
        <is>
          <t>RockyMountain</t>
        </is>
      </c>
    </row>
    <row collapsed="false" customFormat="false" customHeight="false" hidden="false" ht="12.1" outlineLevel="0" r="1886">
      <c r="A1886" s="3" t="s">
        <f>=HYPERLINK("https://mp39851918.megaplan.ua/deals/93884/card/","15656")</f>
      </c>
      <c r="B1886" s="3" t="inlineStr">
        <is>
          <t>111-8524983-5796215</t>
        </is>
      </c>
      <c r="C1886" s="3" t="inlineStr">
        <is>
          <t>Autodist</t>
        </is>
      </c>
    </row>
    <row collapsed="false" customFormat="false" customHeight="false" hidden="false" ht="12.1" outlineLevel="0" r="1887">
      <c r="A1887" s="3" t="s">
        <f>=HYPERLINK("https://mp39851918.megaplan.ua/deals/93890/card/","15658")</f>
      </c>
      <c r="B1887" s="3" t="inlineStr">
        <is>
          <t>112-1108898-0914619</t>
        </is>
      </c>
      <c r="C1887" s="3" t="inlineStr">
        <is>
          <t>TuckerRocky</t>
        </is>
      </c>
    </row>
    <row collapsed="false" customFormat="false" customHeight="false" hidden="false" ht="12.1" outlineLevel="0" r="1888">
      <c r="A1888" s="3" t="s">
        <f>=HYPERLINK("https://mp39851918.megaplan.ua/deals/93903/card/","15659")</f>
      </c>
      <c r="B1888" s="3" t="inlineStr">
        <is>
          <t>114-0752086-4258638</t>
        </is>
      </c>
      <c r="C1888" s="3" t="inlineStr">
        <is>
          <t>RockyMountain</t>
        </is>
      </c>
    </row>
    <row collapsed="false" customFormat="false" customHeight="false" hidden="false" ht="12.1" outlineLevel="0" r="1889">
      <c r="A1889" s="3" t="s">
        <f>=HYPERLINK("https://mp39851918.megaplan.ua/deals/93904/card/","15660")</f>
      </c>
      <c r="B1889" s="3" t="inlineStr">
        <is>
          <t>114-4228065-8993817</t>
        </is>
      </c>
      <c r="C1889" s="3" t="inlineStr">
        <is>
          <t>RockyMountain</t>
        </is>
      </c>
    </row>
    <row collapsed="false" customFormat="false" customHeight="false" hidden="false" ht="12.1" outlineLevel="0" r="1890">
      <c r="A1890" s="3" t="s">
        <f>=HYPERLINK("https://mp39851918.megaplan.ua/deals/93905/card/","15661")</f>
      </c>
      <c r="B1890" s="3" t="inlineStr">
        <is>
          <t>112-3414180-7905837</t>
        </is>
      </c>
      <c r="C1890" s="3" t="inlineStr">
        <is>
          <t>RockyMountain</t>
        </is>
      </c>
    </row>
    <row collapsed="false" customFormat="false" customHeight="false" hidden="false" ht="12.1" outlineLevel="0" r="1891">
      <c r="A1891" s="3" t="s">
        <f>=HYPERLINK("https://mp39851918.megaplan.ua/deals/93906/card/","15662")</f>
      </c>
      <c r="B1891" s="3" t="inlineStr">
        <is>
          <t>113-3236640-3002662</t>
        </is>
      </c>
      <c r="C1891" s="3" t="inlineStr">
        <is>
          <t>RockyMountain</t>
        </is>
      </c>
    </row>
    <row collapsed="false" customFormat="false" customHeight="false" hidden="false" ht="12.1" outlineLevel="0" r="1892">
      <c r="A1892" s="3" t="s">
        <f>=HYPERLINK("https://mp39851918.megaplan.ua/deals/93911/card/","15663")</f>
      </c>
      <c r="B1892" s="3" t="inlineStr">
        <is>
          <t>114-8298771-9680216</t>
        </is>
      </c>
      <c r="C1892" s="3" t="inlineStr">
        <is>
          <t>TuckerRocky</t>
        </is>
      </c>
    </row>
    <row collapsed="false" customFormat="false" customHeight="false" hidden="false" ht="12.1" outlineLevel="0" r="1893">
      <c r="A1893" s="3" t="s">
        <f>=HYPERLINK("https://mp39851918.megaplan.ua/deals/93944/card/","15666")</f>
      </c>
      <c r="B1893" s="3" t="inlineStr">
        <is>
          <t>111-4253824-7166611</t>
        </is>
      </c>
      <c r="C1893" s="3" t="inlineStr">
        <is>
          <t>RockyMountain</t>
        </is>
      </c>
    </row>
    <row collapsed="false" customFormat="false" customHeight="false" hidden="false" ht="12.1" outlineLevel="0" r="1894">
      <c r="A1894" s="3" t="s">
        <f>=HYPERLINK("https://mp39851918.megaplan.ua/deals/93950/card/","15667")</f>
      </c>
      <c r="B1894" s="3" t="inlineStr">
        <is>
          <t>114-4234136-5819468</t>
        </is>
      </c>
      <c r="C1894" s="3" t="inlineStr">
        <is>
          <t>RockyMountain</t>
        </is>
      </c>
    </row>
    <row collapsed="false" customFormat="false" customHeight="false" hidden="false" ht="12.1" outlineLevel="0" r="1895">
      <c r="A1895" s="3" t="s">
        <f>=HYPERLINK("https://mp39851918.megaplan.ua/deals/93981/card/","15671")</f>
      </c>
      <c r="B1895" s="3" t="inlineStr">
        <is>
          <t>113-8156120-9517018</t>
        </is>
      </c>
      <c r="C1895" s="3" t="inlineStr">
        <is>
          <t>RockyMountain</t>
        </is>
      </c>
    </row>
    <row collapsed="false" customFormat="false" customHeight="false" hidden="false" ht="12.1" outlineLevel="0" r="1896">
      <c r="A1896" s="3" t="s">
        <f>=HYPERLINK("https://mp39851918.megaplan.ua/deals/94001/card/","15676")</f>
      </c>
      <c r="B1896" s="3" t="inlineStr">
        <is>
          <t>112-3526795-6169061</t>
        </is>
      </c>
      <c r="C1896" s="3" t="inlineStr">
        <is>
          <t>PartsUnlimited</t>
        </is>
      </c>
    </row>
    <row collapsed="false" customFormat="false" customHeight="false" hidden="false" ht="12.1" outlineLevel="0" r="1897">
      <c r="A1897" s="3" t="s">
        <f>=HYPERLINK("https://mp39851918.megaplan.ua/deals/94003/card/","15677")</f>
      </c>
      <c r="B1897" s="3" t="inlineStr">
        <is>
          <t>111-7617653-0312216</t>
        </is>
      </c>
      <c r="C1897" s="3" t="inlineStr">
        <is>
          <t>TuckerRocky</t>
        </is>
      </c>
    </row>
    <row collapsed="false" customFormat="false" customHeight="false" hidden="false" ht="12.1" outlineLevel="0" r="1898">
      <c r="A1898" s="3" t="s">
        <f>=HYPERLINK("https://mp39851918.megaplan.ua/deals/94004/card/","15678")</f>
      </c>
      <c r="B1898" s="3" t="inlineStr">
        <is>
          <t>112-1822416-3788268</t>
        </is>
      </c>
      <c r="C1898" s="3" t="inlineStr">
        <is>
          <t>RockyMountain</t>
        </is>
      </c>
    </row>
    <row collapsed="false" customFormat="false" customHeight="false" hidden="false" ht="12.1" outlineLevel="0" r="1899">
      <c r="A1899" s="3" t="s">
        <f>=HYPERLINK("https://mp39851918.megaplan.ua/deals/94130/card/","15679")</f>
      </c>
      <c r="B1899" s="3" t="inlineStr">
        <is>
          <t>111-3149224-1390609</t>
        </is>
      </c>
      <c r="C1899" s="3" t="inlineStr">
        <is>
          <t>RockyMountain</t>
        </is>
      </c>
    </row>
    <row collapsed="false" customFormat="false" customHeight="false" hidden="false" ht="12.1" outlineLevel="0" r="1900">
      <c r="A1900" s="3" t="s">
        <f>=HYPERLINK("https://mp39851918.megaplan.ua/deals/94164/card/","15681")</f>
      </c>
      <c r="B1900" s="3" t="inlineStr">
        <is>
          <t>112-0025969-3865805</t>
        </is>
      </c>
      <c r="C1900" s="3" t="inlineStr">
        <is>
          <t>RockyMountain</t>
        </is>
      </c>
    </row>
    <row collapsed="false" customFormat="false" customHeight="false" hidden="false" ht="12.1" outlineLevel="0" r="1901">
      <c r="A1901" s="3" t="s">
        <f>=HYPERLINK("https://mp39851918.megaplan.ua/deals/94169/card/","15682")</f>
      </c>
      <c r="B1901" s="3" t="inlineStr">
        <is>
          <t>113-4892061-2845066</t>
        </is>
      </c>
      <c r="C1901" s="3" t="inlineStr">
        <is>
          <t>TuckerRocky</t>
        </is>
      </c>
    </row>
    <row collapsed="false" customFormat="false" customHeight="false" hidden="false" ht="12.1" outlineLevel="0" r="1902">
      <c r="A1902" s="3" t="s">
        <f>=HYPERLINK("https://mp39851918.megaplan.ua/deals/94194/card/","15686")</f>
      </c>
      <c r="B1902" s="3" t="inlineStr">
        <is>
          <t>111-3218672-7933007</t>
        </is>
      </c>
      <c r="C1902" s="3" t="inlineStr">
        <is>
          <t>TuckerRocky</t>
        </is>
      </c>
    </row>
    <row collapsed="false" customFormat="false" customHeight="false" hidden="false" ht="12.1" outlineLevel="0" r="1903">
      <c r="A1903" s="3" t="s">
        <f>=HYPERLINK("https://mp39851918.megaplan.ua/deals/94208/card/","15687")</f>
      </c>
      <c r="B1903" s="3" t="inlineStr">
        <is>
          <t>111-9282574-7943431</t>
        </is>
      </c>
      <c r="C1903" s="3" t="inlineStr">
        <is>
          <t>Autodist</t>
        </is>
      </c>
    </row>
    <row collapsed="false" customFormat="false" customHeight="false" hidden="false" ht="12.1" outlineLevel="0" r="1904">
      <c r="A1904" s="3" t="s">
        <f>=HYPERLINK("https://mp39851918.megaplan.ua/deals/94210/card/","15688")</f>
      </c>
      <c r="B1904" s="3" t="inlineStr">
        <is>
          <t>114-1306457-5470635</t>
        </is>
      </c>
      <c r="C1904" s="3" t="inlineStr">
        <is>
          <t>RockyMountain</t>
        </is>
      </c>
    </row>
    <row collapsed="false" customFormat="false" customHeight="false" hidden="false" ht="12.1" outlineLevel="0" r="1905">
      <c r="A1905" s="3" t="s">
        <f>=HYPERLINK("https://mp39851918.megaplan.ua/deals/94212/card/","15689")</f>
      </c>
      <c r="B1905" s="3" t="inlineStr">
        <is>
          <t>113-0244043-3109878</t>
        </is>
      </c>
      <c r="C1905" s="3" t="inlineStr">
        <is>
          <t>TuckerRocky</t>
        </is>
      </c>
    </row>
    <row collapsed="false" customFormat="false" customHeight="false" hidden="false" ht="12.1" outlineLevel="0" r="1906">
      <c r="A1906" s="3" t="s">
        <f>=HYPERLINK("https://mp39851918.megaplan.ua/deals/94214/card/","15690")</f>
      </c>
      <c r="B1906" s="3" t="inlineStr">
        <is>
          <t>114-8670812-6310666</t>
        </is>
      </c>
      <c r="C1906" s="3" t="inlineStr">
        <is>
          <t>RockyMountain</t>
        </is>
      </c>
    </row>
    <row collapsed="false" customFormat="false" customHeight="false" hidden="false" ht="12.1" outlineLevel="0" r="1907">
      <c r="A1907" s="3" t="s">
        <f>=HYPERLINK("https://mp39851918.megaplan.ua/deals/94215/card/","15691")</f>
      </c>
      <c r="B1907" s="3" t="inlineStr">
        <is>
          <t>113-0317802-0013039</t>
        </is>
      </c>
      <c r="C1907" s="3" t="inlineStr">
        <is>
          <t>TuckerRocky</t>
        </is>
      </c>
    </row>
    <row collapsed="false" customFormat="false" customHeight="false" hidden="false" ht="12.1" outlineLevel="0" r="1908">
      <c r="A1908" s="3" t="s">
        <f>=HYPERLINK("https://mp39851918.megaplan.ua/deals/94217/card/","15692")</f>
      </c>
      <c r="B1908" s="3" t="inlineStr">
        <is>
          <t>112-9503789-0161850</t>
        </is>
      </c>
      <c r="C1908" s="3" t="inlineStr">
        <is>
          <t>RockyMountain</t>
        </is>
      </c>
    </row>
    <row collapsed="false" customFormat="false" customHeight="false" hidden="false" ht="12.1" outlineLevel="0" r="1909">
      <c r="A1909" s="3" t="s">
        <f>=HYPERLINK("https://mp39851918.megaplan.ua/deals/94232/card/","15696")</f>
      </c>
      <c r="B1909" s="3" t="inlineStr">
        <is>
          <t>111-0786880-5288259</t>
        </is>
      </c>
      <c r="C1909" s="3" t="inlineStr">
        <is>
          <t>RockyMountain</t>
        </is>
      </c>
    </row>
    <row collapsed="false" customFormat="false" customHeight="false" hidden="false" ht="12.1" outlineLevel="0" r="1910">
      <c r="A1910" s="3" t="s">
        <f>=HYPERLINK("https://mp39851918.megaplan.ua/deals/94233/card/","15697")</f>
      </c>
      <c r="B1910" s="3" t="inlineStr">
        <is>
          <t>112-4960259-5773049</t>
        </is>
      </c>
      <c r="C1910" s="3" t="inlineStr">
        <is>
          <t>PartsUnlimited</t>
        </is>
      </c>
    </row>
    <row collapsed="false" customFormat="false" customHeight="false" hidden="false" ht="12.1" outlineLevel="0" r="1911">
      <c r="A1911" s="3" t="s">
        <f>=HYPERLINK("https://mp39851918.megaplan.ua/deals/94234/card/","15698")</f>
      </c>
      <c r="B1911" s="3" t="inlineStr">
        <is>
          <t>114-4770769-0173800</t>
        </is>
      </c>
      <c r="C1911" s="3" t="inlineStr">
        <is>
          <t>Autodist</t>
        </is>
      </c>
    </row>
    <row collapsed="false" customFormat="false" customHeight="false" hidden="false" ht="12.1" outlineLevel="0" r="1912">
      <c r="A1912" s="3" t="s">
        <f>=HYPERLINK("https://mp39851918.megaplan.ua/deals/94242/card/","15699")</f>
      </c>
      <c r="B1912" s="3" t="inlineStr">
        <is>
          <t>114-1921645-1378629</t>
        </is>
      </c>
      <c r="C1912" s="3" t="inlineStr">
        <is>
          <t>RockyMountain</t>
        </is>
      </c>
    </row>
    <row collapsed="false" customFormat="false" customHeight="false" hidden="false" ht="12.1" outlineLevel="0" r="1913">
      <c r="A1913" s="3" t="s">
        <f>=HYPERLINK("https://mp39851918.megaplan.ua/deals/94245/card/","15700")</f>
      </c>
      <c r="B1913" s="3" t="inlineStr">
        <is>
          <t>112-3844934-6990631</t>
        </is>
      </c>
      <c r="C1913" s="3" t="inlineStr">
        <is>
          <t>RockyMountain</t>
        </is>
      </c>
    </row>
    <row collapsed="false" customFormat="false" customHeight="false" hidden="false" ht="12.1" outlineLevel="0" r="1914">
      <c r="A1914" s="3" t="s">
        <f>=HYPERLINK("https://mp39851918.megaplan.ua/deals/94255/card/","15701")</f>
      </c>
      <c r="B1914" s="3" t="inlineStr">
        <is>
          <t>114-5472534-4081845</t>
        </is>
      </c>
      <c r="C1914" s="3" t="inlineStr">
        <is>
          <t>RockyMountain</t>
        </is>
      </c>
    </row>
    <row collapsed="false" customFormat="false" customHeight="false" hidden="false" ht="12.1" outlineLevel="0" r="1915">
      <c r="A1915" s="3" t="s">
        <f>=HYPERLINK("https://mp39851918.megaplan.ua/deals/94261/card/","15703")</f>
      </c>
      <c r="B1915" s="3" t="inlineStr">
        <is>
          <t>112-5027028-3054614</t>
        </is>
      </c>
      <c r="C1915" s="3" t="inlineStr">
        <is>
          <t>TuckerRocky</t>
        </is>
      </c>
    </row>
    <row collapsed="false" customFormat="false" customHeight="false" hidden="false" ht="12.1" outlineLevel="0" r="1916">
      <c r="A1916" s="3" t="s">
        <f>=HYPERLINK("https://mp39851918.megaplan.ua/deals/94269/card/","15705")</f>
      </c>
      <c r="B1916" s="3" t="inlineStr">
        <is>
          <t>112-4001408-7408212</t>
        </is>
      </c>
      <c r="C1916" s="3" t="inlineStr">
        <is>
          <t>TuckerRocky</t>
        </is>
      </c>
    </row>
    <row collapsed="false" customFormat="false" customHeight="false" hidden="false" ht="12.1" outlineLevel="0" r="1917">
      <c r="A1917" s="3" t="s">
        <f>=HYPERLINK("https://mp39851918.megaplan.ua/deals/94271/card/","15706")</f>
      </c>
      <c r="B1917" s="3" t="inlineStr">
        <is>
          <t>111-6781901-5809819</t>
        </is>
      </c>
      <c r="C1917" s="3" t="inlineStr">
        <is>
          <t>TuckerRocky</t>
        </is>
      </c>
    </row>
    <row collapsed="false" customFormat="false" customHeight="false" hidden="false" ht="12.1" outlineLevel="0" r="1918">
      <c r="A1918" s="3" t="s">
        <f>=HYPERLINK("https://mp39851918.megaplan.ua/deals/94276/card/","15707")</f>
      </c>
      <c r="B1918" s="3" t="inlineStr">
        <is>
          <t>112-6880057-9889802</t>
        </is>
      </c>
      <c r="C1918" s="3" t="inlineStr">
        <is>
          <t>RockyMountain</t>
        </is>
      </c>
    </row>
    <row collapsed="false" customFormat="false" customHeight="false" hidden="false" ht="12.1" outlineLevel="0" r="1919">
      <c r="A1919" s="3" t="s">
        <f>=HYPERLINK("https://mp39851918.megaplan.ua/deals/94282/card/","15708")</f>
      </c>
      <c r="B1919" s="3" t="inlineStr">
        <is>
          <t>111-9300660-2773813</t>
        </is>
      </c>
      <c r="C1919" s="3" t="inlineStr">
        <is>
          <t>RockyMountain</t>
        </is>
      </c>
    </row>
    <row collapsed="false" customFormat="false" customHeight="false" hidden="false" ht="12.1" outlineLevel="0" r="1920">
      <c r="A1920" s="3" t="s">
        <f>=HYPERLINK("https://mp39851918.megaplan.ua/deals/94283/card/","15709")</f>
      </c>
      <c r="B1920" s="3" t="inlineStr">
        <is>
          <t>112-0123624-5867431</t>
        </is>
      </c>
      <c r="C1920" s="3" t="inlineStr">
        <is>
          <t>RockyMountain</t>
        </is>
      </c>
    </row>
    <row collapsed="false" customFormat="false" customHeight="false" hidden="false" ht="12.1" outlineLevel="0" r="1921">
      <c r="A1921" s="3" t="s">
        <f>=HYPERLINK("https://mp39851918.megaplan.ua/deals/94285/card/","15710")</f>
      </c>
      <c r="B1921" s="3" t="inlineStr">
        <is>
          <t>111-6099027-0369838</t>
        </is>
      </c>
      <c r="C1921" s="3" t="inlineStr">
        <is>
          <t>RockyMountain</t>
        </is>
      </c>
    </row>
    <row collapsed="false" customFormat="false" customHeight="false" hidden="false" ht="12.1" outlineLevel="0" r="1922">
      <c r="A1922" s="3" t="s">
        <f>=HYPERLINK("https://mp39851918.megaplan.ua/deals/94286/card/","15711")</f>
      </c>
      <c r="B1922" s="3" t="inlineStr">
        <is>
          <t>111-9567937-0590659</t>
        </is>
      </c>
      <c r="C1922" s="3" t="inlineStr">
        <is>
          <t>RockyMountain</t>
        </is>
      </c>
    </row>
    <row collapsed="false" customFormat="false" customHeight="false" hidden="false" ht="12.1" outlineLevel="0" r="1923">
      <c r="A1923" s="3" t="s">
        <f>=HYPERLINK("https://mp39851918.megaplan.ua/deals/94288/card/","15712")</f>
      </c>
      <c r="B1923" s="3" t="inlineStr">
        <is>
          <t>112-5988640-2486633</t>
        </is>
      </c>
      <c r="C1923" s="3" t="inlineStr">
        <is>
          <t>RockyMountain</t>
        </is>
      </c>
    </row>
    <row collapsed="false" customFormat="false" customHeight="false" hidden="false" ht="12.1" outlineLevel="0" r="1924">
      <c r="A1924" s="3" t="s">
        <f>=HYPERLINK("https://mp39851918.megaplan.ua/deals/94297/card/","15713")</f>
      </c>
      <c r="B1924" s="3" t="inlineStr">
        <is>
          <t>113-3907198-6833840</t>
        </is>
      </c>
      <c r="C1924" s="3" t="inlineStr">
        <is>
          <t>RockyMountain</t>
        </is>
      </c>
    </row>
    <row collapsed="false" customFormat="false" customHeight="false" hidden="false" ht="12.1" outlineLevel="0" r="1925">
      <c r="A1925" s="3" t="s">
        <f>=HYPERLINK("https://mp39851918.megaplan.ua/deals/94302/card/","15714")</f>
      </c>
      <c r="B1925" s="3" t="inlineStr">
        <is>
          <t>113-1678328-9159413</t>
        </is>
      </c>
      <c r="C1925" s="3" t="inlineStr">
        <is>
          <t>RockyMountain</t>
        </is>
      </c>
    </row>
    <row collapsed="false" customFormat="false" customHeight="false" hidden="false" ht="12.1" outlineLevel="0" r="1926">
      <c r="A1926" s="3" t="s">
        <f>=HYPERLINK("https://mp39851918.megaplan.ua/deals/94334/card/","15718")</f>
      </c>
      <c r="B1926" s="3" t="inlineStr">
        <is>
          <t>114-1974270-8693866</t>
        </is>
      </c>
      <c r="C1926" s="3" t="inlineStr">
        <is>
          <t>RockyMountain</t>
        </is>
      </c>
    </row>
    <row collapsed="false" customFormat="false" customHeight="false" hidden="false" ht="12.1" outlineLevel="0" r="1927">
      <c r="A1927" s="3" t="s">
        <f>=HYPERLINK("https://mp39851918.megaplan.ua/deals/94340/card/","15720")</f>
      </c>
      <c r="B1927" s="3" t="inlineStr">
        <is>
          <t>113-8351599-5977852</t>
        </is>
      </c>
      <c r="C1927" s="3" t="inlineStr">
        <is>
          <t>RockyMountain</t>
        </is>
      </c>
    </row>
    <row collapsed="false" customFormat="false" customHeight="false" hidden="false" ht="12.1" outlineLevel="0" r="1928">
      <c r="A1928" s="3" t="s">
        <f>=HYPERLINK("https://mp39851918.megaplan.ua/deals/94342/card/","15721")</f>
      </c>
      <c r="B1928" s="3" t="inlineStr">
        <is>
          <t>113-0926902-6110622</t>
        </is>
      </c>
      <c r="C1928" s="3" t="inlineStr">
        <is>
          <t>RockyMountain</t>
        </is>
      </c>
    </row>
    <row collapsed="false" customFormat="false" customHeight="false" hidden="false" ht="12.1" outlineLevel="0" r="1929">
      <c r="A1929" s="3" t="s">
        <f>=HYPERLINK("https://mp39851918.megaplan.ua/deals/94346/card/","15722")</f>
      </c>
      <c r="B1929" s="3" t="inlineStr">
        <is>
          <t>111-7810571-7989857</t>
        </is>
      </c>
      <c r="C1929" s="3" t="inlineStr">
        <is>
          <t>RockyMountain</t>
        </is>
      </c>
    </row>
    <row collapsed="false" customFormat="false" customHeight="false" hidden="false" ht="12.1" outlineLevel="0" r="1930">
      <c r="A1930" s="3" t="s">
        <f>=HYPERLINK("https://mp39851918.megaplan.ua/deals/94352/card/","15723")</f>
      </c>
      <c r="B1930" s="3" t="inlineStr">
        <is>
          <t>112-0013414-9314607</t>
        </is>
      </c>
      <c r="C1930" s="3" t="inlineStr">
        <is>
          <t>RockyMountain</t>
        </is>
      </c>
    </row>
    <row collapsed="false" customFormat="false" customHeight="false" hidden="false" ht="12.1" outlineLevel="0" r="1931">
      <c r="A1931" s="3" t="s">
        <f>=HYPERLINK("https://mp39851918.megaplan.ua/deals/94353/card/","15724")</f>
      </c>
      <c r="B1931" s="3" t="inlineStr">
        <is>
          <t>114-6854805-2025834</t>
        </is>
      </c>
      <c r="C1931" s="3" t="inlineStr">
        <is>
          <t>RockyMountain</t>
        </is>
      </c>
    </row>
    <row collapsed="false" customFormat="false" customHeight="false" hidden="false" ht="12.1" outlineLevel="0" r="1932">
      <c r="A1932" s="3" t="s">
        <f>=HYPERLINK("https://mp39851918.megaplan.ua/deals/94354/card/","15725")</f>
      </c>
      <c r="B1932" s="3" t="inlineStr">
        <is>
          <t>113-3870954-7457039</t>
        </is>
      </c>
      <c r="C1932" s="3" t="inlineStr">
        <is>
          <t>PartsUnlimited</t>
        </is>
      </c>
    </row>
    <row collapsed="false" customFormat="false" customHeight="false" hidden="false" ht="12.1" outlineLevel="0" r="1933">
      <c r="A1933" s="3" t="s">
        <f>=HYPERLINK("https://mp39851918.megaplan.ua/deals/94355/card/","15726")</f>
      </c>
      <c r="B1933" s="3" t="inlineStr">
        <is>
          <t>112-0110745-6837057</t>
        </is>
      </c>
      <c r="C1933" s="3" t="inlineStr">
        <is>
          <t>PartsUnlimited</t>
        </is>
      </c>
    </row>
    <row collapsed="false" customFormat="false" customHeight="false" hidden="false" ht="12.1" outlineLevel="0" r="1934">
      <c r="A1934" s="3" t="s">
        <f>=HYPERLINK("https://mp39851918.megaplan.ua/deals/94357/card/","15727")</f>
      </c>
      <c r="B1934" s="3" t="inlineStr">
        <is>
          <t>111-9353717-7425039</t>
        </is>
      </c>
      <c r="C1934" s="3" t="inlineStr">
        <is>
          <t>TuckerRocky</t>
        </is>
      </c>
    </row>
    <row collapsed="false" customFormat="false" customHeight="false" hidden="false" ht="12.1" outlineLevel="0" r="1935">
      <c r="A1935" s="3" t="s">
        <f>=HYPERLINK("https://mp39851918.megaplan.ua/deals/94358/card/","15728")</f>
      </c>
      <c r="B1935" s="3" t="inlineStr">
        <is>
          <t>113-4337096-6759435</t>
        </is>
      </c>
      <c r="C1935" s="3" t="inlineStr">
        <is>
          <t>PartsUnlimited</t>
        </is>
      </c>
    </row>
    <row collapsed="false" customFormat="false" customHeight="false" hidden="false" ht="12.1" outlineLevel="0" r="1936">
      <c r="A1936" s="3" t="s">
        <f>=HYPERLINK("https://mp39851918.megaplan.ua/deals/94359/card/","15729")</f>
      </c>
      <c r="B1936" s="3" t="inlineStr">
        <is>
          <t>112-0134222-6954627</t>
        </is>
      </c>
      <c r="C1936" s="3" t="inlineStr">
        <is>
          <t>Autodist</t>
        </is>
      </c>
    </row>
    <row collapsed="false" customFormat="false" customHeight="false" hidden="false" ht="12.1" outlineLevel="0" r="1937">
      <c r="A1937" s="3" t="s">
        <f>=HYPERLINK("https://mp39851918.megaplan.ua/deals/94360/card/","15730")</f>
      </c>
      <c r="B1937" s="3" t="inlineStr">
        <is>
          <t>113-3061040-2033025</t>
        </is>
      </c>
      <c r="C1937" s="3" t="inlineStr">
        <is>
          <t>PartsUnlimited</t>
        </is>
      </c>
    </row>
    <row collapsed="false" customFormat="false" customHeight="false" hidden="false" ht="12.1" outlineLevel="0" r="1938">
      <c r="A1938" s="3" t="s">
        <f>=HYPERLINK("https://mp39851918.megaplan.ua/deals/94361/card/","15731")</f>
      </c>
      <c r="B1938" s="3" t="inlineStr">
        <is>
          <t>113-2456987-5952211</t>
        </is>
      </c>
      <c r="C1938" s="3" t="inlineStr">
        <is>
          <t>PartsUnlimited</t>
        </is>
      </c>
    </row>
    <row collapsed="false" customFormat="false" customHeight="false" hidden="false" ht="12.1" outlineLevel="0" r="1939">
      <c r="A1939" s="3" t="s">
        <f>=HYPERLINK("https://mp39851918.megaplan.ua/deals/94362/card/","15732")</f>
      </c>
      <c r="B1939" s="3" t="inlineStr">
        <is>
          <t>111-4940369-7421804</t>
        </is>
      </c>
      <c r="C1939" s="3" t="inlineStr">
        <is>
          <t>PartsUnlimited</t>
        </is>
      </c>
    </row>
    <row collapsed="false" customFormat="false" customHeight="false" hidden="false" ht="12.1" outlineLevel="0" r="1940">
      <c r="A1940" s="3" t="s">
        <f>=HYPERLINK("https://mp39851918.megaplan.ua/deals/94363/card/","15733")</f>
      </c>
      <c r="B1940" s="3" t="inlineStr">
        <is>
          <t>112-7146184-6761038</t>
        </is>
      </c>
      <c r="C1940" s="3" t="inlineStr">
        <is>
          <t>PartsUnlimited</t>
        </is>
      </c>
    </row>
    <row collapsed="false" customFormat="false" customHeight="false" hidden="false" ht="12.1" outlineLevel="0" r="1941">
      <c r="A1941" s="3" t="s">
        <f>=HYPERLINK("https://mp39851918.megaplan.ua/deals/94364/card/","15734")</f>
      </c>
      <c r="B1941" s="3" t="inlineStr">
        <is>
          <t>111-7014764-3053032</t>
        </is>
      </c>
      <c r="C1941" s="3" t="inlineStr">
        <is>
          <t>PartsUnlimited</t>
        </is>
      </c>
    </row>
    <row collapsed="false" customFormat="false" customHeight="false" hidden="false" ht="12.1" outlineLevel="0" r="1942">
      <c r="A1942" s="3" t="s">
        <f>=HYPERLINK("https://mp39851918.megaplan.ua/deals/94366/card/","15735")</f>
      </c>
      <c r="B1942" s="3" t="inlineStr">
        <is>
          <t>111-8337343-1265029</t>
        </is>
      </c>
      <c r="C1942" s="3" t="inlineStr">
        <is>
          <t>PartsUnlimited</t>
        </is>
      </c>
    </row>
    <row collapsed="false" customFormat="false" customHeight="false" hidden="false" ht="12.1" outlineLevel="0" r="1943">
      <c r="A1943" s="3" t="s">
        <f>=HYPERLINK("https://mp39851918.megaplan.ua/deals/94369/card/","15736")</f>
      </c>
      <c r="B1943" s="3" t="inlineStr">
        <is>
          <t>114-4458475-1878650</t>
        </is>
      </c>
      <c r="C1943" s="3" t="inlineStr">
        <is>
          <t>PartsUnlimited</t>
        </is>
      </c>
    </row>
    <row collapsed="false" customFormat="false" customHeight="false" hidden="false" ht="12.1" outlineLevel="0" r="1944">
      <c r="A1944" s="3" t="s">
        <f>=HYPERLINK("https://mp39851918.megaplan.ua/deals/94370/card/","15737")</f>
      </c>
      <c r="B1944" s="3" t="inlineStr">
        <is>
          <t>111-1170574-7004223</t>
        </is>
      </c>
      <c r="C1944" s="3" t="inlineStr">
        <is>
          <t>RockyMountain</t>
        </is>
      </c>
    </row>
    <row collapsed="false" customFormat="false" customHeight="false" hidden="false" ht="12.1" outlineLevel="0" r="1945">
      <c r="A1945" s="3" t="s">
        <f>=HYPERLINK("https://mp39851918.megaplan.ua/deals/94372/card/","15738")</f>
      </c>
      <c r="B1945" s="3" t="inlineStr">
        <is>
          <t>113-3490160-9231462</t>
        </is>
      </c>
      <c r="C1945" s="3" t="inlineStr">
        <is>
          <t>PartsUnlimited</t>
        </is>
      </c>
    </row>
    <row collapsed="false" customFormat="false" customHeight="false" hidden="false" ht="12.1" outlineLevel="0" r="1946">
      <c r="A1946" s="3" t="s">
        <f>=HYPERLINK("https://mp39851918.megaplan.ua/deals/94373/card/","15739")</f>
      </c>
      <c r="B1946" s="3" t="inlineStr">
        <is>
          <t>112-8368338-1165818</t>
        </is>
      </c>
      <c r="C1946" s="3" t="inlineStr">
        <is>
          <t>TuckerRocky</t>
        </is>
      </c>
    </row>
    <row collapsed="false" customFormat="false" customHeight="false" hidden="false" ht="12.1" outlineLevel="0" r="1947">
      <c r="A1947" s="3" t="s">
        <f>=HYPERLINK("https://mp39851918.megaplan.ua/deals/94374/card/","15740")</f>
      </c>
      <c r="B1947" s="3" t="inlineStr">
        <is>
          <t>113-2907495-1685006</t>
        </is>
      </c>
      <c r="C1947" s="3" t="inlineStr">
        <is>
          <t>RockyMountain</t>
        </is>
      </c>
    </row>
    <row collapsed="false" customFormat="false" customHeight="false" hidden="false" ht="12.1" outlineLevel="0" r="1948">
      <c r="A1948" s="3" t="s">
        <f>=HYPERLINK("https://mp39851918.megaplan.ua/deals/94375/card/","15741")</f>
      </c>
      <c r="B1948" s="3" t="inlineStr">
        <is>
          <t>112-2306179-3643464</t>
        </is>
      </c>
      <c r="C1948" s="3" t="inlineStr">
        <is>
          <t>RockyMountain</t>
        </is>
      </c>
    </row>
    <row collapsed="false" customFormat="false" customHeight="false" hidden="false" ht="12.1" outlineLevel="0" r="1949">
      <c r="A1949" s="3" t="s">
        <f>=HYPERLINK("https://mp39851918.megaplan.ua/deals/94376/card/","15742")</f>
      </c>
      <c r="B1949" s="3" t="inlineStr">
        <is>
          <t>112-5083476-7310624</t>
        </is>
      </c>
      <c r="C1949" s="3" t="inlineStr">
        <is>
          <t>PartsUnlimited</t>
        </is>
      </c>
    </row>
    <row collapsed="false" customFormat="false" customHeight="false" hidden="false" ht="12.1" outlineLevel="0" r="1950">
      <c r="A1950" s="3" t="s">
        <f>=HYPERLINK("https://mp39851918.megaplan.ua/deals/94377/card/","15743")</f>
      </c>
      <c r="B1950" s="3" t="inlineStr">
        <is>
          <t>114-9875790-9630616</t>
        </is>
      </c>
      <c r="C1950" s="3" t="inlineStr">
        <is>
          <t>Autodist</t>
        </is>
      </c>
    </row>
    <row collapsed="false" customFormat="false" customHeight="false" hidden="false" ht="12.1" outlineLevel="0" r="1951">
      <c r="A1951" s="3" t="s">
        <f>=HYPERLINK("https://mp39851918.megaplan.ua/deals/94380/card/","15744")</f>
      </c>
      <c r="B1951" s="3" t="inlineStr">
        <is>
          <t>114-8872089-0046647</t>
        </is>
      </c>
      <c r="C1951" s="3" t="inlineStr">
        <is>
          <t>RockyMountain</t>
        </is>
      </c>
    </row>
    <row collapsed="false" customFormat="false" customHeight="false" hidden="false" ht="12.1" outlineLevel="0" r="1952">
      <c r="A1952" s="3" t="s">
        <f>=HYPERLINK("https://mp39851918.megaplan.ua/deals/94381/card/","15745")</f>
      </c>
      <c r="B1952" s="3" t="inlineStr">
        <is>
          <t>111-8167280-6906667</t>
        </is>
      </c>
      <c r="C1952" s="3" t="inlineStr">
        <is>
          <t>RockyMountain</t>
        </is>
      </c>
    </row>
    <row collapsed="false" customFormat="false" customHeight="false" hidden="false" ht="12.1" outlineLevel="0" r="1953">
      <c r="A1953" s="3" t="s">
        <f>=HYPERLINK("https://mp39851918.megaplan.ua/deals/94382/card/","15746")</f>
      </c>
      <c r="B1953" s="3" t="inlineStr">
        <is>
          <t>111-2399642-4637005</t>
        </is>
      </c>
      <c r="C1953" s="3" t="inlineStr">
        <is>
          <t>PartsUnlimited</t>
        </is>
      </c>
    </row>
    <row collapsed="false" customFormat="false" customHeight="false" hidden="false" ht="12.1" outlineLevel="0" r="1954">
      <c r="A1954" s="3" t="s">
        <f>=HYPERLINK("https://mp39851918.megaplan.ua/deals/94386/card/","15747")</f>
      </c>
      <c r="B1954" s="3" t="inlineStr">
        <is>
          <t>113-3360099-8852223</t>
        </is>
      </c>
      <c r="C1954" s="3" t="inlineStr">
        <is>
          <t>PartsUnlimited</t>
        </is>
      </c>
    </row>
    <row collapsed="false" customFormat="false" customHeight="false" hidden="false" ht="12.1" outlineLevel="0" r="1955">
      <c r="A1955" s="3" t="s">
        <f>=HYPERLINK("https://mp39851918.megaplan.ua/deals/94389/card/","15748")</f>
      </c>
      <c r="B1955" s="3" t="inlineStr">
        <is>
          <t>113-5999834-2293830</t>
        </is>
      </c>
      <c r="C1955" s="3" t="inlineStr">
        <is>
          <t>RockyMountain</t>
        </is>
      </c>
    </row>
    <row collapsed="false" customFormat="false" customHeight="false" hidden="false" ht="12.1" outlineLevel="0" r="1956">
      <c r="A1956" s="3" t="s">
        <f>=HYPERLINK("https://mp39851918.megaplan.ua/deals/94397/card/","15749")</f>
      </c>
      <c r="B1956" s="3" t="inlineStr">
        <is>
          <t>114-4190794-2693848</t>
        </is>
      </c>
      <c r="C1956" s="3" t="inlineStr">
        <is>
          <t>PartsUnlimited</t>
        </is>
      </c>
    </row>
    <row collapsed="false" customFormat="false" customHeight="false" hidden="false" ht="12.1" outlineLevel="0" r="1957">
      <c r="A1957" s="3" t="s">
        <f>=HYPERLINK("https://mp39851918.megaplan.ua/deals/94405/card/","15750")</f>
      </c>
      <c r="B1957" s="3" t="inlineStr">
        <is>
          <t>114-7695635-2391468</t>
        </is>
      </c>
      <c r="C1957" s="3" t="inlineStr">
        <is>
          <t>TuckerRocky</t>
        </is>
      </c>
    </row>
    <row collapsed="false" customFormat="false" customHeight="false" hidden="false" ht="12.1" outlineLevel="0" r="1958">
      <c r="A1958" s="3" t="s">
        <f>=HYPERLINK("https://mp39851918.megaplan.ua/deals/94406/card/","15751")</f>
      </c>
      <c r="B1958" s="3" t="inlineStr">
        <is>
          <t>114-6137983-5850601</t>
        </is>
      </c>
      <c r="C1958" s="3" t="inlineStr">
        <is>
          <t>RockyMountain</t>
        </is>
      </c>
    </row>
    <row collapsed="false" customFormat="false" customHeight="false" hidden="false" ht="12.1" outlineLevel="0" r="1959">
      <c r="A1959" s="3" t="s">
        <f>=HYPERLINK("https://mp39851918.megaplan.ua/deals/94422/card/","15752")</f>
      </c>
      <c r="B1959" s="3" t="inlineStr">
        <is>
          <t>113-5914426-5801810</t>
        </is>
      </c>
      <c r="C1959" s="3" t="inlineStr">
        <is>
          <t>RockyMountain</t>
        </is>
      </c>
    </row>
    <row collapsed="false" customFormat="false" customHeight="false" hidden="false" ht="12.1" outlineLevel="0" r="1960">
      <c r="A1960" s="3" t="s">
        <f>=HYPERLINK("https://mp39851918.megaplan.ua/deals/94427/card/","15753")</f>
      </c>
      <c r="B1960" s="3" t="inlineStr">
        <is>
          <t>113-6392546-8506657</t>
        </is>
      </c>
      <c r="C1960" s="3" t="inlineStr">
        <is>
          <t>TuckerRocky</t>
        </is>
      </c>
    </row>
    <row collapsed="false" customFormat="false" customHeight="false" hidden="false" ht="12.1" outlineLevel="0" r="1961">
      <c r="A1961" s="3" t="s">
        <f>=HYPERLINK("https://mp39851918.megaplan.ua/deals/94433/card/","15754")</f>
      </c>
      <c r="B1961" s="3" t="inlineStr">
        <is>
          <t>113-6903708-1477842</t>
        </is>
      </c>
      <c r="C1961" s="3" t="inlineStr">
        <is>
          <t>PartsUnlimited</t>
        </is>
      </c>
    </row>
    <row collapsed="false" customFormat="false" customHeight="false" hidden="false" ht="12.1" outlineLevel="0" r="1962">
      <c r="A1962" s="3" t="s">
        <f>=HYPERLINK("https://mp39851918.megaplan.ua/deals/94436/card/","15755")</f>
      </c>
      <c r="B1962" s="3" t="inlineStr">
        <is>
          <t>111-3433264-9035445</t>
        </is>
      </c>
      <c r="C1962" s="3" t="inlineStr">
        <is>
          <t>TuckerRocky</t>
        </is>
      </c>
    </row>
    <row collapsed="false" customFormat="false" customHeight="false" hidden="false" ht="12.1" outlineLevel="0" r="1963">
      <c r="A1963" s="3" t="s">
        <f>=HYPERLINK("https://mp39851918.megaplan.ua/deals/94456/card/","15757")</f>
      </c>
      <c r="B1963" s="3" t="inlineStr">
        <is>
          <t>112-5242660-1541826</t>
        </is>
      </c>
      <c r="C1963" s="3" t="inlineStr">
        <is>
          <t>Autodist</t>
        </is>
      </c>
    </row>
    <row collapsed="false" customFormat="false" customHeight="false" hidden="false" ht="12.1" outlineLevel="0" r="1964">
      <c r="A1964" s="3" t="s">
        <f>=HYPERLINK("https://mp39851918.megaplan.ua/deals/94457/card/","15758")</f>
      </c>
      <c r="B1964" s="3" t="inlineStr">
        <is>
          <t>113-6042613-7036214</t>
        </is>
      </c>
      <c r="C1964" s="3" t="inlineStr">
        <is>
          <t>RockyMountain</t>
        </is>
      </c>
    </row>
    <row collapsed="false" customFormat="false" customHeight="false" hidden="false" ht="12.1" outlineLevel="0" r="1965">
      <c r="A1965" s="3" t="s">
        <f>=HYPERLINK("https://mp39851918.megaplan.ua/deals/94459/card/","15759")</f>
      </c>
      <c r="B1965" s="3" t="inlineStr">
        <is>
          <t>114-6265234-5643438</t>
        </is>
      </c>
      <c r="C1965" s="3" t="inlineStr">
        <is>
          <t>PartsUnlimited</t>
        </is>
      </c>
    </row>
    <row collapsed="false" customFormat="false" customHeight="false" hidden="false" ht="12.1" outlineLevel="0" r="1966">
      <c r="A1966" s="3" t="s">
        <f>=HYPERLINK("https://mp39851918.megaplan.ua/deals/94469/card/","15761")</f>
      </c>
      <c r="B1966" s="3" t="inlineStr">
        <is>
          <t>113-8621714-3719437</t>
        </is>
      </c>
      <c r="C1966" s="3" t="inlineStr">
        <is>
          <t>Autodist</t>
        </is>
      </c>
    </row>
    <row collapsed="false" customFormat="false" customHeight="false" hidden="false" ht="12.1" outlineLevel="0" r="1967">
      <c r="A1967" s="3" t="s">
        <f>=HYPERLINK("https://mp39851918.megaplan.ua/deals/94470/card/","15762")</f>
      </c>
      <c r="B1967" s="3" t="inlineStr">
        <is>
          <t>114-0063125-5427410</t>
        </is>
      </c>
      <c r="C1967" s="3" t="inlineStr">
        <is>
          <t>TuckerRocky</t>
        </is>
      </c>
    </row>
    <row collapsed="false" customFormat="false" customHeight="false" hidden="false" ht="12.1" outlineLevel="0" r="1968">
      <c r="A1968" s="3" t="s">
        <f>=HYPERLINK("https://mp39851918.megaplan.ua/deals/94473/card/","15763")</f>
      </c>
      <c r="B1968" s="3" t="inlineStr">
        <is>
          <t>113-7666136-6799462</t>
        </is>
      </c>
      <c r="C1968" s="3" t="inlineStr">
        <is>
          <t>TuckerRocky</t>
        </is>
      </c>
    </row>
    <row collapsed="false" customFormat="false" customHeight="false" hidden="false" ht="12.1" outlineLevel="0" r="1969">
      <c r="A1969" s="3" t="s">
        <f>=HYPERLINK("https://mp39851918.megaplan.ua/deals/94485/card/","15764")</f>
      </c>
      <c r="B1969" s="3" t="inlineStr">
        <is>
          <t>114-4287193-4704219</t>
        </is>
      </c>
      <c r="C1969" s="3" t="inlineStr">
        <is>
          <t>RockyMountain</t>
        </is>
      </c>
    </row>
    <row collapsed="false" customFormat="false" customHeight="false" hidden="false" ht="12.1" outlineLevel="0" r="1970">
      <c r="A1970" s="3" t="s">
        <f>=HYPERLINK("https://mp39851918.megaplan.ua/deals/94496/card/","15765")</f>
      </c>
      <c r="B1970" s="3" t="inlineStr">
        <is>
          <t>111-7551867-0570618</t>
        </is>
      </c>
      <c r="C1970" s="3" t="inlineStr">
        <is>
          <t>RockyMountain</t>
        </is>
      </c>
    </row>
    <row collapsed="false" customFormat="false" customHeight="false" hidden="false" ht="12.1" outlineLevel="0" r="1971">
      <c r="A1971" s="3" t="s">
        <f>=HYPERLINK("https://mp39851918.megaplan.ua/deals/94497/card/","15766")</f>
      </c>
      <c r="B1971" s="3" t="inlineStr">
        <is>
          <t>112-1571073-8331412</t>
        </is>
      </c>
      <c r="C1971" s="3" t="inlineStr">
        <is>
          <t>TuckerRocky</t>
        </is>
      </c>
    </row>
    <row collapsed="false" customFormat="false" customHeight="false" hidden="false" ht="12.1" outlineLevel="0" r="1972">
      <c r="A1972" s="3" t="s">
        <f>=HYPERLINK("https://mp39851918.megaplan.ua/deals/94500/card/","15767")</f>
      </c>
      <c r="B1972" s="3" t="inlineStr">
        <is>
          <t>112-6219992-9509032</t>
        </is>
      </c>
      <c r="C1972" s="3" t="inlineStr">
        <is>
          <t>RockyMountain</t>
        </is>
      </c>
    </row>
    <row collapsed="false" customFormat="false" customHeight="false" hidden="false" ht="12.1" outlineLevel="0" r="1973">
      <c r="A1973" s="3" t="s">
        <f>=HYPERLINK("https://mp39851918.megaplan.ua/deals/94504/card/","15768")</f>
      </c>
      <c r="B1973" s="3" t="inlineStr">
        <is>
          <t>113-4169662-7255415</t>
        </is>
      </c>
      <c r="C1973" s="3" t="inlineStr">
        <is>
          <t>TuckerRocky</t>
        </is>
      </c>
    </row>
    <row collapsed="false" customFormat="false" customHeight="false" hidden="false" ht="12.1" outlineLevel="0" r="1974">
      <c r="A1974" s="3" t="s">
        <f>=HYPERLINK("https://mp39851918.megaplan.ua/deals/94538/card/","15771")</f>
      </c>
      <c r="B1974" s="3" t="inlineStr">
        <is>
          <t>112-6319307-0666601</t>
        </is>
      </c>
      <c r="C1974" s="3" t="inlineStr">
        <is>
          <t>RockyMountain</t>
        </is>
      </c>
    </row>
    <row collapsed="false" customFormat="false" customHeight="false" hidden="false" ht="12.1" outlineLevel="0" r="1975">
      <c r="A1975" s="3" t="s">
        <f>=HYPERLINK("https://mp39851918.megaplan.ua/deals/94543/card/","15772")</f>
      </c>
      <c r="B1975" s="3" t="inlineStr">
        <is>
          <t>114-7264730-1647413</t>
        </is>
      </c>
      <c r="C1975" s="3" t="inlineStr">
        <is>
          <t>PartsUnlimited</t>
        </is>
      </c>
    </row>
    <row collapsed="false" customFormat="false" customHeight="false" hidden="false" ht="12.1" outlineLevel="0" r="1976">
      <c r="A1976" s="3" t="s">
        <f>=HYPERLINK("https://mp39851918.megaplan.ua/deals/94547/card/","15773")</f>
      </c>
      <c r="B1976" s="3" t="inlineStr">
        <is>
          <t>112-4736258-7665005</t>
        </is>
      </c>
      <c r="C1976" s="3" t="inlineStr">
        <is>
          <t>RockyMountain</t>
        </is>
      </c>
    </row>
    <row collapsed="false" customFormat="false" customHeight="false" hidden="false" ht="12.1" outlineLevel="0" r="1977">
      <c r="A1977" s="3" t="s">
        <f>=HYPERLINK("https://mp39851918.megaplan.ua/deals/94549/card/","15774")</f>
      </c>
      <c r="B1977" s="3" t="inlineStr">
        <is>
          <t>113-8077445-6688255</t>
        </is>
      </c>
      <c r="C1977" s="3" t="inlineStr">
        <is>
          <t>TuckerRocky</t>
        </is>
      </c>
    </row>
    <row collapsed="false" customFormat="false" customHeight="false" hidden="false" ht="12.1" outlineLevel="0" r="1978">
      <c r="A1978" s="3" t="s">
        <f>=HYPERLINK("https://mp39851918.megaplan.ua/deals/94551/card/","15775")</f>
      </c>
      <c r="B1978" s="3" t="inlineStr">
        <is>
          <t>113-8785554-5305809</t>
        </is>
      </c>
      <c r="C1978" s="3" t="inlineStr">
        <is>
          <t>RockyMountain</t>
        </is>
      </c>
    </row>
    <row collapsed="false" customFormat="false" customHeight="false" hidden="false" ht="12.1" outlineLevel="0" r="1979">
      <c r="A1979" s="3" t="s">
        <f>=HYPERLINK("https://mp39851918.megaplan.ua/deals/94555/card/","15776")</f>
      </c>
      <c r="B1979" s="3" t="inlineStr">
        <is>
          <t>111-7943221-3539467</t>
        </is>
      </c>
      <c r="C1979" s="3" t="inlineStr">
        <is>
          <t>Autodist</t>
        </is>
      </c>
    </row>
    <row collapsed="false" customFormat="false" customHeight="false" hidden="false" ht="12.1" outlineLevel="0" r="1980">
      <c r="A1980" s="3" t="s">
        <f>=HYPERLINK("https://mp39851918.megaplan.ua/deals/94566/card/","15777")</f>
      </c>
      <c r="B1980" s="3" t="inlineStr">
        <is>
          <t>112-4634606-4270665</t>
        </is>
      </c>
      <c r="C1980" s="3" t="inlineStr">
        <is>
          <t>RockyMountain</t>
        </is>
      </c>
    </row>
    <row collapsed="false" customFormat="false" customHeight="false" hidden="false" ht="12.1" outlineLevel="0" r="1981">
      <c r="A1981" s="3" t="s">
        <f>=HYPERLINK("https://mp39851918.megaplan.ua/deals/94568/card/","15778")</f>
      </c>
      <c r="B1981" s="3" t="inlineStr">
        <is>
          <t>113-9116966-5355451</t>
        </is>
      </c>
      <c r="C1981" s="3" t="inlineStr">
        <is>
          <t>RockyMountain</t>
        </is>
      </c>
    </row>
    <row collapsed="false" customFormat="false" customHeight="false" hidden="false" ht="12.1" outlineLevel="0" r="1982">
      <c r="A1982" s="3" t="s">
        <f>=HYPERLINK("https://mp39851918.megaplan.ua/deals/94589/card/","15780")</f>
      </c>
      <c r="B1982" s="3" t="inlineStr">
        <is>
          <t>111-9414448-5116223</t>
        </is>
      </c>
      <c r="C1982" s="3" t="inlineStr">
        <is>
          <t>RockyMountain</t>
        </is>
      </c>
    </row>
    <row collapsed="false" customFormat="false" customHeight="false" hidden="false" ht="12.1" outlineLevel="0" r="1983">
      <c r="A1983" s="3" t="s">
        <f>=HYPERLINK("https://mp39851918.megaplan.ua/deals/94592/card/","15781")</f>
      </c>
      <c r="B1983" s="3" t="inlineStr">
        <is>
          <t>112-1021931-5957026</t>
        </is>
      </c>
      <c r="C1983" s="3" t="inlineStr">
        <is>
          <t>RockyMountain</t>
        </is>
      </c>
    </row>
    <row collapsed="false" customFormat="false" customHeight="false" hidden="false" ht="12.1" outlineLevel="0" r="1984">
      <c r="A1984" s="3" t="s">
        <f>=HYPERLINK("https://mp39851918.megaplan.ua/deals/94597/card/","15782")</f>
      </c>
      <c r="B1984" s="3" t="inlineStr">
        <is>
          <t>112-7083464-4093002</t>
        </is>
      </c>
      <c r="C1984" s="3" t="inlineStr">
        <is>
          <t>RockyMountain</t>
        </is>
      </c>
    </row>
    <row collapsed="false" customFormat="false" customHeight="false" hidden="false" ht="12.1" outlineLevel="0" r="1985">
      <c r="A1985" s="3" t="s">
        <f>=HYPERLINK("https://mp39851918.megaplan.ua/deals/94603/card/","15783")</f>
      </c>
      <c r="B1985" s="3" t="inlineStr">
        <is>
          <t>114-2909738-8142637</t>
        </is>
      </c>
      <c r="C1985" s="3" t="inlineStr">
        <is>
          <t>Autodist</t>
        </is>
      </c>
    </row>
    <row collapsed="false" customFormat="false" customHeight="false" hidden="false" ht="12.1" outlineLevel="0" r="1986">
      <c r="A1986" s="3" t="s">
        <f>=HYPERLINK("https://mp39851918.megaplan.ua/deals/94610/card/","15784")</f>
      </c>
      <c r="B1986" s="3" t="inlineStr">
        <is>
          <t>114-5150537-5706623</t>
        </is>
      </c>
      <c r="C1986" s="3" t="inlineStr">
        <is>
          <t>RockyMountain</t>
        </is>
      </c>
    </row>
    <row collapsed="false" customFormat="false" customHeight="false" hidden="false" ht="12.1" outlineLevel="0" r="1987">
      <c r="A1987" s="3" t="s">
        <f>=HYPERLINK("https://mp39851918.megaplan.ua/deals/94627/card/","15786")</f>
      </c>
      <c r="B1987" s="3" t="inlineStr">
        <is>
          <t>112-3735125-0321856</t>
        </is>
      </c>
      <c r="C1987" s="3" t="inlineStr">
        <is>
          <t>Autodist</t>
        </is>
      </c>
    </row>
    <row collapsed="false" customFormat="false" customHeight="false" hidden="false" ht="12.1" outlineLevel="0" r="1988">
      <c r="A1988" s="3" t="s">
        <f>=HYPERLINK("https://mp39851918.megaplan.ua/deals/94634/card/","15787")</f>
      </c>
      <c r="B1988" s="3" t="inlineStr">
        <is>
          <t>112-6068653-4256226</t>
        </is>
      </c>
      <c r="C1988" s="3" t="inlineStr">
        <is>
          <t>RockyMountain</t>
        </is>
      </c>
    </row>
    <row collapsed="false" customFormat="false" customHeight="false" hidden="false" ht="12.1" outlineLevel="0" r="1989">
      <c r="A1989" s="3" t="s">
        <f>=HYPERLINK("https://mp39851918.megaplan.ua/deals/94640/card/","15788")</f>
      </c>
      <c r="B1989" s="3" t="inlineStr">
        <is>
          <t>111-1117896-7013836</t>
        </is>
      </c>
      <c r="C1989" s="3" t="inlineStr">
        <is>
          <t>RockyMountain</t>
        </is>
      </c>
    </row>
    <row collapsed="false" customFormat="false" customHeight="false" hidden="false" ht="12.1" outlineLevel="0" r="1990">
      <c r="A1990" s="3" t="s">
        <f>=HYPERLINK("https://mp39851918.megaplan.ua/deals/94656/card/","15790")</f>
      </c>
      <c r="B1990" s="3" t="inlineStr">
        <is>
          <t>114-6357354-4030603</t>
        </is>
      </c>
      <c r="C1990" s="3" t="inlineStr">
        <is>
          <t>Autodist</t>
        </is>
      </c>
    </row>
    <row collapsed="false" customFormat="false" customHeight="false" hidden="false" ht="12.1" outlineLevel="0" r="1991">
      <c r="A1991" s="3" t="s">
        <f>=HYPERLINK("https://mp39851918.megaplan.ua/deals/94662/card/","15791")</f>
      </c>
      <c r="B1991" s="3" t="inlineStr">
        <is>
          <t>113-2148896-6021841</t>
        </is>
      </c>
      <c r="C1991" s="3" t="inlineStr">
        <is>
          <t>TuckerRocky</t>
        </is>
      </c>
    </row>
    <row collapsed="false" customFormat="false" customHeight="false" hidden="false" ht="12.1" outlineLevel="0" r="1992">
      <c r="A1992" s="3" t="s">
        <f>=HYPERLINK("https://mp39851918.megaplan.ua/deals/94663/card/","15792")</f>
      </c>
      <c r="B1992" s="3" t="inlineStr">
        <is>
          <t>114-8281348-7026614</t>
        </is>
      </c>
      <c r="C1992" s="3" t="inlineStr">
        <is>
          <t>RockyMountain</t>
        </is>
      </c>
    </row>
    <row collapsed="false" customFormat="false" customHeight="false" hidden="false" ht="12.1" outlineLevel="0" r="1993">
      <c r="A1993" s="3" t="s">
        <f>=HYPERLINK("https://mp39851918.megaplan.ua/deals/94666/card/","15793")</f>
      </c>
      <c r="B1993" s="3" t="inlineStr">
        <is>
          <t>112-9947222-4253836</t>
        </is>
      </c>
      <c r="C1993" s="3" t="inlineStr">
        <is>
          <t>Autodist</t>
        </is>
      </c>
    </row>
    <row collapsed="false" customFormat="false" customHeight="false" hidden="false" ht="12.1" outlineLevel="0" r="1994">
      <c r="A1994" s="3" t="s">
        <f>=HYPERLINK("https://mp39851918.megaplan.ua/deals/94668/card/","15794")</f>
      </c>
      <c r="B1994" s="3" t="inlineStr">
        <is>
          <t>114-6268429-1172253</t>
        </is>
      </c>
      <c r="C1994" s="3" t="inlineStr">
        <is>
          <t>RockyMountain</t>
        </is>
      </c>
    </row>
    <row collapsed="false" customFormat="false" customHeight="false" hidden="false" ht="12.1" outlineLevel="0" r="1995">
      <c r="A1995" s="3" t="s">
        <f>=HYPERLINK("https://mp39851918.megaplan.ua/deals/94677/card/","15795")</f>
      </c>
      <c r="B1995" s="3" t="inlineStr">
        <is>
          <t>114-1100008-0133835</t>
        </is>
      </c>
      <c r="C1995" s="3" t="inlineStr">
        <is>
          <t>TuckerRocky</t>
        </is>
      </c>
    </row>
    <row collapsed="false" customFormat="false" customHeight="false" hidden="false" ht="12.1" outlineLevel="0" r="1996">
      <c r="A1996" s="3" t="s">
        <f>=HYPERLINK("https://mp39851918.megaplan.ua/deals/94701/card/","15798")</f>
      </c>
      <c r="B1996" s="3" t="inlineStr">
        <is>
          <t>112-0406080-4100204</t>
        </is>
      </c>
      <c r="C1996" s="3" t="inlineStr">
        <is>
          <t>TuckerRocky</t>
        </is>
      </c>
    </row>
    <row collapsed="false" customFormat="false" customHeight="false" hidden="false" ht="12.1" outlineLevel="0" r="1997">
      <c r="A1997" s="3" t="s">
        <f>=HYPERLINK("https://mp39851918.megaplan.ua/deals/94716/card/","15802")</f>
      </c>
      <c r="B1997" s="3" t="inlineStr">
        <is>
          <t>114-7154359-4450658</t>
        </is>
      </c>
      <c r="C1997" s="3" t="inlineStr">
        <is>
          <t>Autodist</t>
        </is>
      </c>
    </row>
    <row collapsed="false" customFormat="false" customHeight="false" hidden="false" ht="12.1" outlineLevel="0" r="1998">
      <c r="A1998" s="3" t="s">
        <f>=HYPERLINK("https://mp39851918.megaplan.ua/deals/94731/card/","15803")</f>
      </c>
      <c r="B1998" s="3" t="inlineStr">
        <is>
          <t>114-1046642-7148238</t>
        </is>
      </c>
      <c r="C1998" s="3" t="inlineStr">
        <is>
          <t>RockyMountain</t>
        </is>
      </c>
    </row>
    <row collapsed="false" customFormat="false" customHeight="false" hidden="false" ht="12.1" outlineLevel="0" r="1999">
      <c r="A1999" s="3" t="s">
        <f>=HYPERLINK("https://mp39851918.megaplan.ua/deals/94734/card/","15804")</f>
      </c>
      <c r="B1999" s="3" t="inlineStr">
        <is>
          <t>111-0605127-5872266</t>
        </is>
      </c>
      <c r="C1999" s="3" t="inlineStr">
        <is>
          <t>RockyMountain</t>
        </is>
      </c>
    </row>
    <row collapsed="false" customFormat="false" customHeight="false" hidden="false" ht="12.1" outlineLevel="0" r="2000">
      <c r="A2000" s="3" t="s">
        <f>=HYPERLINK("https://mp39851918.megaplan.ua/deals/94737/card/","15805")</f>
      </c>
      <c r="B2000" s="3" t="inlineStr">
        <is>
          <t>111-2958903-4236223</t>
        </is>
      </c>
      <c r="C2000" s="3" t="inlineStr">
        <is>
          <t>RockyMountain</t>
        </is>
      </c>
    </row>
    <row collapsed="false" customFormat="false" customHeight="false" hidden="false" ht="12.1" outlineLevel="0" r="2001">
      <c r="A2001" s="3" t="s">
        <f>=HYPERLINK("https://mp39851918.megaplan.ua/deals/94740/card/","15806")</f>
      </c>
      <c r="B2001" s="3" t="inlineStr">
        <is>
          <t>112-4716230-8753848</t>
        </is>
      </c>
      <c r="C2001" s="3" t="inlineStr">
        <is>
          <t>TuckerRocky</t>
        </is>
      </c>
    </row>
    <row collapsed="false" customFormat="false" customHeight="false" hidden="false" ht="12.1" outlineLevel="0" r="2002">
      <c r="A2002" s="3" t="s">
        <f>=HYPERLINK("https://mp39851918.megaplan.ua/deals/94743/card/","15807")</f>
      </c>
      <c r="B2002" s="3" t="inlineStr">
        <is>
          <t>114-2984146-1424229</t>
        </is>
      </c>
      <c r="C2002" s="3" t="inlineStr">
        <is>
          <t>TuckerRocky</t>
        </is>
      </c>
    </row>
    <row collapsed="false" customFormat="false" customHeight="false" hidden="false" ht="12.1" outlineLevel="0" r="2003">
      <c r="A2003" s="3" t="s">
        <f>=HYPERLINK("https://mp39851918.megaplan.ua/deals/94763/card/","15812")</f>
      </c>
      <c r="B2003" s="3" t="inlineStr">
        <is>
          <t>111-3977355-9336238</t>
        </is>
      </c>
      <c r="C2003" s="3" t="inlineStr">
        <is>
          <t>RockyMountain</t>
        </is>
      </c>
    </row>
    <row collapsed="false" customFormat="false" customHeight="false" hidden="false" ht="12.1" outlineLevel="0" r="2004">
      <c r="A2004" s="3" t="s">
        <f>=HYPERLINK("https://mp39851918.megaplan.ua/deals/94767/card/","15813")</f>
      </c>
      <c r="B2004" s="3" t="inlineStr">
        <is>
          <t>112-1044872-3513836</t>
        </is>
      </c>
      <c r="C2004" s="3" t="inlineStr">
        <is>
          <t>TuckerRocky</t>
        </is>
      </c>
    </row>
    <row collapsed="false" customFormat="false" customHeight="false" hidden="false" ht="12.1" outlineLevel="0" r="2005">
      <c r="A2005" s="3" t="s">
        <f>=HYPERLINK("https://mp39851918.megaplan.ua/deals/94771/card/","15814")</f>
      </c>
      <c r="B2005" s="3" t="inlineStr">
        <is>
          <t>113-8777128-6221061</t>
        </is>
      </c>
      <c r="C2005" s="3" t="inlineStr">
        <is>
          <t>RockyMountain</t>
        </is>
      </c>
    </row>
    <row collapsed="false" customFormat="false" customHeight="false" hidden="false" ht="12.1" outlineLevel="0" r="2006">
      <c r="A2006" s="3" t="s">
        <f>=HYPERLINK("https://mp39851918.megaplan.ua/deals/94775/card/","15815")</f>
      </c>
      <c r="B2006" s="3" t="inlineStr">
        <is>
          <t>111-7732409-7390611</t>
        </is>
      </c>
      <c r="C2006" s="3" t="inlineStr">
        <is>
          <t>Autodist</t>
        </is>
      </c>
    </row>
    <row collapsed="false" customFormat="false" customHeight="false" hidden="false" ht="12.1" outlineLevel="0" r="2007">
      <c r="A2007" s="3" t="s">
        <f>=HYPERLINK("https://mp39851918.megaplan.ua/deals/94778/card/","15816")</f>
      </c>
      <c r="B2007" s="3" t="inlineStr">
        <is>
          <t>111-2459960-2570608</t>
        </is>
      </c>
      <c r="C2007" s="3" t="inlineStr">
        <is>
          <t>PartsUnlimited</t>
        </is>
      </c>
    </row>
    <row collapsed="false" customFormat="false" customHeight="false" hidden="false" ht="12.1" outlineLevel="0" r="2008">
      <c r="A2008" s="3" t="s">
        <f>=HYPERLINK("https://mp39851918.megaplan.ua/deals/94782/card/","15817")</f>
      </c>
      <c r="B2008" s="3" t="inlineStr">
        <is>
          <t>114-7066483-5734614</t>
        </is>
      </c>
      <c r="C2008" s="3" t="inlineStr">
        <is>
          <t>RockyMountain</t>
        </is>
      </c>
    </row>
    <row collapsed="false" customFormat="false" customHeight="false" hidden="false" ht="12.1" outlineLevel="0" r="2009">
      <c r="A2009" s="3" t="s">
        <f>=HYPERLINK("https://mp39851918.megaplan.ua/deals/94783/card/","15818")</f>
      </c>
      <c r="B2009" s="3" t="inlineStr">
        <is>
          <t>112-8093536-1837069</t>
        </is>
      </c>
      <c r="C2009" s="3" t="inlineStr">
        <is>
          <t>RockyMountain</t>
        </is>
      </c>
    </row>
    <row collapsed="false" customFormat="false" customHeight="false" hidden="false" ht="12.1" outlineLevel="0" r="2010">
      <c r="A2010" s="3" t="s">
        <f>=HYPERLINK("https://mp39851918.megaplan.ua/deals/94793/card/","15819")</f>
      </c>
      <c r="B2010" s="3" t="inlineStr">
        <is>
          <t>111-0599912-6492218</t>
        </is>
      </c>
      <c r="C2010" s="3" t="inlineStr">
        <is>
          <t>RockyMountain</t>
        </is>
      </c>
    </row>
    <row collapsed="false" customFormat="false" customHeight="false" hidden="false" ht="12.1" outlineLevel="0" r="2011">
      <c r="A2011" s="3" t="s">
        <f>=HYPERLINK("https://mp39851918.megaplan.ua/deals/94801/card/","15820")</f>
      </c>
      <c r="B2011" s="3" t="inlineStr">
        <is>
          <t>113-6226952-9089026</t>
        </is>
      </c>
      <c r="C2011" s="3" t="inlineStr">
        <is>
          <t>RockyMountain</t>
        </is>
      </c>
    </row>
    <row collapsed="false" customFormat="false" customHeight="false" hidden="false" ht="12.1" outlineLevel="0" r="2012">
      <c r="A2012" s="3" t="s">
        <f>=HYPERLINK("https://mp39851918.megaplan.ua/deals/94807/card/","15821")</f>
      </c>
      <c r="B2012" s="3" t="inlineStr">
        <is>
          <t>111-5527471-2478605</t>
        </is>
      </c>
      <c r="C2012" s="3" t="inlineStr">
        <is>
          <t>RockyMountain</t>
        </is>
      </c>
    </row>
    <row collapsed="false" customFormat="false" customHeight="false" hidden="false" ht="12.1" outlineLevel="0" r="2013">
      <c r="A2013" s="3" t="s">
        <f>=HYPERLINK("https://mp39851918.megaplan.ua/deals/94817/card/","15822")</f>
      </c>
      <c r="B2013" s="3" t="inlineStr">
        <is>
          <t>111-3214064-4613006</t>
        </is>
      </c>
      <c r="C2013" s="3" t="inlineStr">
        <is>
          <t>TuckerRocky</t>
        </is>
      </c>
    </row>
    <row collapsed="false" customFormat="false" customHeight="false" hidden="false" ht="12.1" outlineLevel="0" r="2014">
      <c r="A2014" s="3" t="s">
        <f>=HYPERLINK("https://mp39851918.megaplan.ua/deals/94832/card/","15825")</f>
      </c>
      <c r="B2014" s="3" t="inlineStr">
        <is>
          <t>114-7760271-7906639</t>
        </is>
      </c>
      <c r="C2014" s="3" t="inlineStr">
        <is>
          <t>RockyMountain</t>
        </is>
      </c>
    </row>
    <row collapsed="false" customFormat="false" customHeight="false" hidden="false" ht="12.1" outlineLevel="0" r="2015">
      <c r="A2015" s="3" t="s">
        <f>=HYPERLINK("https://mp39851918.megaplan.ua/deals/94833/card/","15826")</f>
      </c>
      <c r="B2015" s="3" t="inlineStr">
        <is>
          <t>111-4972978-5224215</t>
        </is>
      </c>
      <c r="C2015" s="3" t="inlineStr">
        <is>
          <t>RockyMountain</t>
        </is>
      </c>
    </row>
    <row collapsed="false" customFormat="false" customHeight="false" hidden="false" ht="12.1" outlineLevel="0" r="2016">
      <c r="A2016" s="3" t="s">
        <f>=HYPERLINK("https://mp39851918.megaplan.ua/deals/94834/card/","15827")</f>
      </c>
      <c r="B2016" s="3" t="inlineStr">
        <is>
          <t>114-6045534-5031403</t>
        </is>
      </c>
      <c r="C2016" s="3" t="inlineStr">
        <is>
          <t>TuckerRocky</t>
        </is>
      </c>
    </row>
    <row collapsed="false" customFormat="false" customHeight="false" hidden="false" ht="12.1" outlineLevel="0" r="2017">
      <c r="A2017" s="3" t="s">
        <f>=HYPERLINK("https://mp39851918.megaplan.ua/deals/94839/card/","15828")</f>
      </c>
      <c r="B2017" s="3" t="inlineStr">
        <is>
          <t>111-6250820-0280231</t>
        </is>
      </c>
      <c r="C2017" s="3" t="inlineStr">
        <is>
          <t>RockyMountain</t>
        </is>
      </c>
    </row>
    <row collapsed="false" customFormat="false" customHeight="false" hidden="false" ht="12.1" outlineLevel="0" r="2018">
      <c r="A2018" s="3" t="s">
        <f>=HYPERLINK("https://mp39851918.megaplan.ua/deals/94845/card/","15829")</f>
      </c>
      <c r="B2018" s="3" t="inlineStr">
        <is>
          <t>113-7017916-1873864</t>
        </is>
      </c>
      <c r="C2018" s="3" t="inlineStr">
        <is>
          <t>RockyMountain</t>
        </is>
      </c>
    </row>
    <row collapsed="false" customFormat="false" customHeight="false" hidden="false" ht="12.1" outlineLevel="0" r="2019">
      <c r="A2019" s="3" t="s">
        <f>=HYPERLINK("https://mp39851918.megaplan.ua/deals/94848/card/","15830")</f>
      </c>
      <c r="B2019" s="3" t="inlineStr">
        <is>
          <t>114-5579678-0612217</t>
        </is>
      </c>
      <c r="C2019" s="3" t="inlineStr">
        <is>
          <t>RockyMountain</t>
        </is>
      </c>
    </row>
    <row collapsed="false" customFormat="false" customHeight="false" hidden="false" ht="12.1" outlineLevel="0" r="2020">
      <c r="A2020" s="3" t="s">
        <f>=HYPERLINK("https://mp39851918.megaplan.ua/deals/94857/card/","15831")</f>
      </c>
      <c r="B2020" s="3" t="inlineStr">
        <is>
          <t>112-7172449-6461810</t>
        </is>
      </c>
      <c r="C2020" s="3" t="inlineStr">
        <is>
          <t>TuckerRocky</t>
        </is>
      </c>
    </row>
    <row collapsed="false" customFormat="false" customHeight="false" hidden="false" ht="12.1" outlineLevel="0" r="2021">
      <c r="A2021" s="3" t="s">
        <f>=HYPERLINK("https://mp39851918.megaplan.ua/deals/94870/card/","15834")</f>
      </c>
      <c r="B2021" s="3" t="inlineStr">
        <is>
          <t>112-5411472-4429029</t>
        </is>
      </c>
      <c r="C2021" s="3" t="inlineStr">
        <is>
          <t>RockyMountain</t>
        </is>
      </c>
    </row>
    <row collapsed="false" customFormat="false" customHeight="false" hidden="false" ht="12.1" outlineLevel="0" r="2022">
      <c r="A2022" s="3" t="s">
        <f>=HYPERLINK("https://mp39851918.megaplan.ua/deals/94874/card/","15835")</f>
      </c>
      <c r="B2022" s="3" t="inlineStr">
        <is>
          <t>111-5192826-5428238</t>
        </is>
      </c>
      <c r="C2022" s="3" t="inlineStr">
        <is>
          <t>RockyMountain</t>
        </is>
      </c>
    </row>
    <row collapsed="false" customFormat="false" customHeight="false" hidden="false" ht="12.1" outlineLevel="0" r="2023">
      <c r="A2023" s="3" t="s">
        <f>=HYPERLINK("https://mp39851918.megaplan.ua/deals/94891/card/","15836")</f>
      </c>
      <c r="B2023" s="3" t="inlineStr">
        <is>
          <t>112-5269088-0499452</t>
        </is>
      </c>
      <c r="C2023" s="3" t="inlineStr">
        <is>
          <t>RockyMountain</t>
        </is>
      </c>
    </row>
    <row collapsed="false" customFormat="false" customHeight="false" hidden="false" ht="12.1" outlineLevel="0" r="2024">
      <c r="A2024" s="3" t="s">
        <f>=HYPERLINK("https://mp39851918.megaplan.ua/deals/94903/card/","15837")</f>
      </c>
      <c r="B2024" s="3" t="inlineStr">
        <is>
          <t>112-3804783-5821060</t>
        </is>
      </c>
      <c r="C2024" s="3" t="inlineStr">
        <is>
          <t>RockyMountain</t>
        </is>
      </c>
    </row>
    <row collapsed="false" customFormat="false" customHeight="false" hidden="false" ht="12.1" outlineLevel="0" r="2025">
      <c r="A2025" s="3" t="s">
        <f>=HYPERLINK("https://mp39851918.megaplan.ua/deals/94914/card/","15839")</f>
      </c>
      <c r="B2025" s="3" t="inlineStr">
        <is>
          <t>113-2747897-9043402</t>
        </is>
      </c>
      <c r="C2025" s="3" t="inlineStr">
        <is>
          <t>TuckerRocky</t>
        </is>
      </c>
    </row>
    <row collapsed="false" customFormat="false" customHeight="false" hidden="false" ht="12.1" outlineLevel="0" r="2026">
      <c r="A2026" s="3" t="s">
        <f>=HYPERLINK("https://mp39851918.megaplan.ua/deals/94915/card/","15840")</f>
      </c>
      <c r="B2026" s="3" t="inlineStr">
        <is>
          <t>112-0717126-4326669</t>
        </is>
      </c>
      <c r="C2026" s="3" t="inlineStr">
        <is>
          <t>Autodist</t>
        </is>
      </c>
    </row>
    <row collapsed="false" customFormat="false" customHeight="false" hidden="false" ht="12.1" outlineLevel="0" r="2027">
      <c r="A2027" s="3" t="s">
        <f>=HYPERLINK("https://mp39851918.megaplan.ua/deals/94918/card/","15841")</f>
      </c>
      <c r="B2027" s="3" t="inlineStr">
        <is>
          <t>114-8993377-9917031</t>
        </is>
      </c>
      <c r="C2027" s="3" t="inlineStr">
        <is>
          <t>RockyMountain</t>
        </is>
      </c>
    </row>
    <row collapsed="false" customFormat="false" customHeight="false" hidden="false" ht="12.1" outlineLevel="0" r="2028">
      <c r="A2028" s="3" t="s">
        <f>=HYPERLINK("https://mp39851918.megaplan.ua/deals/94919/card/","15842")</f>
      </c>
      <c r="B2028" s="3" t="inlineStr">
        <is>
          <t>111-4828826-5557044</t>
        </is>
      </c>
      <c r="C2028" s="3" t="inlineStr">
        <is>
          <t>TuckerRocky</t>
        </is>
      </c>
    </row>
    <row collapsed="false" customFormat="false" customHeight="false" hidden="false" ht="12.1" outlineLevel="0" r="2029">
      <c r="A2029" s="3" t="s">
        <f>=HYPERLINK("https://mp39851918.megaplan.ua/deals/94933/card/","15845")</f>
      </c>
      <c r="B2029" s="3" t="inlineStr">
        <is>
          <t>111-8247179-4535410</t>
        </is>
      </c>
      <c r="C2029" s="3" t="inlineStr">
        <is>
          <t>Autodist</t>
        </is>
      </c>
    </row>
    <row collapsed="false" customFormat="false" customHeight="false" hidden="false" ht="12.1" outlineLevel="0" r="2030">
      <c r="A2030" s="3" t="s">
        <f>=HYPERLINK("https://mp39851918.megaplan.ua/deals/94935/card/","15846")</f>
      </c>
      <c r="B2030" s="3" t="inlineStr">
        <is>
          <t>112-1248859-0795400</t>
        </is>
      </c>
      <c r="C2030" s="3" t="inlineStr">
        <is>
          <t>RockyMountain</t>
        </is>
      </c>
    </row>
    <row collapsed="false" customFormat="false" customHeight="false" hidden="false" ht="12.1" outlineLevel="0" r="2031">
      <c r="A2031" s="3" t="s">
        <f>=HYPERLINK("https://mp39851918.megaplan.ua/deals/94936/card/","15847")</f>
      </c>
      <c r="B2031" s="3" t="inlineStr">
        <is>
          <t>113-7593070-0599418</t>
        </is>
      </c>
      <c r="C2031" s="3" t="inlineStr">
        <is>
          <t>RockyMountain</t>
        </is>
      </c>
    </row>
    <row collapsed="false" customFormat="false" customHeight="false" hidden="false" ht="12.1" outlineLevel="0" r="2032">
      <c r="A2032" s="3" t="s">
        <f>=HYPERLINK("https://mp39851918.megaplan.ua/deals/94937/card/","15848")</f>
      </c>
      <c r="B2032" s="3" t="inlineStr">
        <is>
          <t>114-3467217-6009066</t>
        </is>
      </c>
      <c r="C2032" s="3" t="inlineStr">
        <is>
          <t>RockyMountain</t>
        </is>
      </c>
    </row>
    <row collapsed="false" customFormat="false" customHeight="false" hidden="false" ht="12.1" outlineLevel="0" r="2033">
      <c r="A2033" s="3" t="s">
        <f>=HYPERLINK("https://mp39851918.megaplan.ua/deals/94944/card/","15849")</f>
      </c>
      <c r="B2033" s="3" t="inlineStr">
        <is>
          <t>114-0666526-7064262</t>
        </is>
      </c>
      <c r="C2033" s="3" t="inlineStr">
        <is>
          <t>TuckerRocky</t>
        </is>
      </c>
    </row>
    <row collapsed="false" customFormat="false" customHeight="false" hidden="false" ht="12.1" outlineLevel="0" r="2034">
      <c r="A2034" s="3" t="s">
        <f>=HYPERLINK("https://mp39851918.megaplan.ua/deals/94945/card/","15850")</f>
      </c>
      <c r="B2034" s="3" t="inlineStr">
        <is>
          <t>114-3761355-5356213</t>
        </is>
      </c>
      <c r="C2034" s="3" t="inlineStr">
        <is>
          <t>TuckerRocky</t>
        </is>
      </c>
    </row>
    <row collapsed="false" customFormat="false" customHeight="false" hidden="false" ht="12.1" outlineLevel="0" r="2035">
      <c r="A2035" s="3" t="s">
        <f>=HYPERLINK("https://mp39851918.megaplan.ua/deals/94949/card/","15852")</f>
      </c>
      <c r="B2035" s="3" t="inlineStr">
        <is>
          <t>113-9159328-1769056</t>
        </is>
      </c>
      <c r="C2035" s="3" t="inlineStr">
        <is>
          <t>RockyMountain</t>
        </is>
      </c>
    </row>
    <row collapsed="false" customFormat="false" customHeight="false" hidden="false" ht="12.1" outlineLevel="0" r="2036">
      <c r="A2036" s="3" t="s">
        <f>=HYPERLINK("https://mp39851918.megaplan.ua/deals/94960/card/","15853")</f>
      </c>
      <c r="B2036" s="3" t="inlineStr">
        <is>
          <t>114-6259746-1053027</t>
        </is>
      </c>
      <c r="C2036" s="3" t="inlineStr">
        <is>
          <t>Autodist</t>
        </is>
      </c>
    </row>
    <row collapsed="false" customFormat="false" customHeight="false" hidden="false" ht="12.1" outlineLevel="0" r="2037">
      <c r="A2037" s="3" t="s">
        <f>=HYPERLINK("https://mp39851918.megaplan.ua/deals/94970/card/","15854")</f>
      </c>
      <c r="B2037" s="3" t="inlineStr">
        <is>
          <t>114-2683154-7237805</t>
        </is>
      </c>
      <c r="C2037" s="3" t="inlineStr">
        <is>
          <t>TuckerRocky</t>
        </is>
      </c>
    </row>
    <row collapsed="false" customFormat="false" customHeight="false" hidden="false" ht="12.1" outlineLevel="0" r="2038">
      <c r="A2038" s="3" t="s">
        <f>=HYPERLINK("https://mp39851918.megaplan.ua/deals/94971/card/","15855")</f>
      </c>
      <c r="B2038" s="3" t="inlineStr">
        <is>
          <t>112-9084540-6799466</t>
        </is>
      </c>
      <c r="C2038" s="3" t="inlineStr">
        <is>
          <t>TuckerRocky</t>
        </is>
      </c>
    </row>
    <row collapsed="false" customFormat="false" customHeight="false" hidden="false" ht="12.1" outlineLevel="0" r="2039">
      <c r="A2039" s="3" t="s">
        <f>=HYPERLINK("https://mp39851918.megaplan.ua/deals/94981/card/","15857")</f>
      </c>
      <c r="B2039" s="3" t="inlineStr">
        <is>
          <t>114-3884458-2769045</t>
        </is>
      </c>
      <c r="C2039" s="3" t="inlineStr">
        <is>
          <t>TuckerRocky</t>
        </is>
      </c>
    </row>
    <row collapsed="false" customFormat="false" customHeight="false" hidden="false" ht="12.1" outlineLevel="0" r="2040">
      <c r="A2040" s="3" t="s">
        <f>=HYPERLINK("https://mp39851918.megaplan.ua/deals/94990/card/","15858")</f>
      </c>
      <c r="B2040" s="3" t="inlineStr">
        <is>
          <t>112-0174904-1387408</t>
        </is>
      </c>
      <c r="C2040" s="3" t="inlineStr">
        <is>
          <t>TuckerRocky</t>
        </is>
      </c>
    </row>
    <row collapsed="false" customFormat="false" customHeight="false" hidden="false" ht="12.1" outlineLevel="0" r="2041">
      <c r="A2041" s="3" t="s">
        <f>=HYPERLINK("https://mp39851918.megaplan.ua/deals/95025/card/","15862")</f>
      </c>
      <c r="B2041" s="3" t="inlineStr">
        <is>
          <t>112-5007199-1766655</t>
        </is>
      </c>
      <c r="C2041" s="3" t="inlineStr">
        <is>
          <t>RockyMountain</t>
        </is>
      </c>
    </row>
    <row collapsed="false" customFormat="false" customHeight="false" hidden="false" ht="12.1" outlineLevel="0" r="2042">
      <c r="A2042" s="3" t="s">
        <f>=HYPERLINK("https://mp39851918.megaplan.ua/deals/95042/card/","15864")</f>
      </c>
      <c r="B2042" s="3" t="inlineStr">
        <is>
          <t>111-4067617-4285014</t>
        </is>
      </c>
      <c r="C2042" s="3" t="inlineStr">
        <is>
          <t>TuckerRocky</t>
        </is>
      </c>
    </row>
    <row collapsed="false" customFormat="false" customHeight="false" hidden="false" ht="12.1" outlineLevel="0" r="2043">
      <c r="A2043" s="3" t="s">
        <f>=HYPERLINK("https://mp39851918.megaplan.ua/deals/95044/card/","15865")</f>
      </c>
      <c r="B2043" s="3" t="inlineStr">
        <is>
          <t>112-9706149-9826614</t>
        </is>
      </c>
      <c r="C2043" s="3" t="inlineStr">
        <is>
          <t>TuckerRocky</t>
        </is>
      </c>
    </row>
    <row collapsed="false" customFormat="false" customHeight="false" hidden="false" ht="12.1" outlineLevel="0" r="2044">
      <c r="A2044" s="3" t="s">
        <f>=HYPERLINK("https://mp39851918.megaplan.ua/deals/95045/card/","15866")</f>
      </c>
      <c r="B2044" s="3" t="inlineStr">
        <is>
          <t>113-5253768-7884254</t>
        </is>
      </c>
      <c r="C2044" s="3" t="inlineStr">
        <is>
          <t>RockyMountain</t>
        </is>
      </c>
    </row>
    <row collapsed="false" customFormat="false" customHeight="false" hidden="false" ht="12.1" outlineLevel="0" r="2045">
      <c r="A2045" s="3" t="s">
        <f>=HYPERLINK("https://mp39851918.megaplan.ua/deals/95069/card/","15869")</f>
      </c>
      <c r="B2045" s="3" t="inlineStr">
        <is>
          <t>113-9739012-4796254</t>
        </is>
      </c>
      <c r="C2045" s="3" t="inlineStr">
        <is>
          <t>RockyMountain</t>
        </is>
      </c>
    </row>
    <row collapsed="false" customFormat="false" customHeight="false" hidden="false" ht="12.1" outlineLevel="0" r="2046">
      <c r="A2046" s="3" t="s">
        <f>=HYPERLINK("https://mp39851918.megaplan.ua/deals/95087/card/","15871")</f>
      </c>
      <c r="B2046" s="3" t="inlineStr">
        <is>
          <t>113-8690478-9164237</t>
        </is>
      </c>
      <c r="C2046" s="3" t="inlineStr">
        <is>
          <t>TuckerRocky</t>
        </is>
      </c>
    </row>
    <row collapsed="false" customFormat="false" customHeight="false" hidden="false" ht="12.1" outlineLevel="0" r="2047">
      <c r="A2047" s="3" t="s">
        <f>=HYPERLINK("https://mp39851918.megaplan.ua/deals/95088/card/","15872")</f>
      </c>
      <c r="B2047" s="3" t="inlineStr">
        <is>
          <t>114-2539735-6700206</t>
        </is>
      </c>
      <c r="C2047" s="3" t="inlineStr">
        <is>
          <t>RockyMountain</t>
        </is>
      </c>
    </row>
    <row collapsed="false" customFormat="false" customHeight="false" hidden="false" ht="12.1" outlineLevel="0" r="2048">
      <c r="A2048" s="3" t="s">
        <f>=HYPERLINK("https://mp39851918.megaplan.ua/deals/95099/card/","15874")</f>
      </c>
      <c r="B2048" s="3" t="inlineStr">
        <is>
          <t>112-6910314-4487459</t>
        </is>
      </c>
      <c r="C2048" s="3" t="inlineStr">
        <is>
          <t>RockyMountain</t>
        </is>
      </c>
    </row>
    <row collapsed="false" customFormat="false" customHeight="false" hidden="false" ht="12.1" outlineLevel="0" r="2049">
      <c r="A2049" s="3" t="s">
        <f>=HYPERLINK("https://mp39851918.megaplan.ua/deals/95100/card/","15875")</f>
      </c>
      <c r="B2049" s="3" t="inlineStr">
        <is>
          <t>114-3242980-7210617</t>
        </is>
      </c>
      <c r="C2049" s="3" t="inlineStr">
        <is>
          <t>Autodist</t>
        </is>
      </c>
    </row>
    <row collapsed="false" customFormat="false" customHeight="false" hidden="false" ht="12.1" outlineLevel="0" r="2050">
      <c r="A2050" s="3" t="s">
        <f>=HYPERLINK("https://mp39851918.megaplan.ua/deals/95101/card/","15876")</f>
      </c>
      <c r="B2050" s="3" t="inlineStr">
        <is>
          <t>114-4094529-5814620</t>
        </is>
      </c>
      <c r="C2050" s="3" t="inlineStr">
        <is>
          <t>RockyMountain</t>
        </is>
      </c>
    </row>
    <row collapsed="false" customFormat="false" customHeight="false" hidden="false" ht="12.1" outlineLevel="0" r="2051">
      <c r="A2051" s="3" t="s">
        <f>=HYPERLINK("https://mp39851918.megaplan.ua/deals/95103/card/","15877")</f>
      </c>
      <c r="B2051" s="3" t="inlineStr">
        <is>
          <t>114-9800998-5577008</t>
        </is>
      </c>
      <c r="C2051" s="3" t="inlineStr">
        <is>
          <t>TuckerRocky</t>
        </is>
      </c>
    </row>
    <row collapsed="false" customFormat="false" customHeight="false" hidden="false" ht="12.1" outlineLevel="0" r="2052">
      <c r="A2052" s="3" t="s">
        <f>=HYPERLINK("https://mp39851918.megaplan.ua/deals/95116/card/","15880")</f>
      </c>
      <c r="B2052" s="3" t="inlineStr">
        <is>
          <t>113-5515782-9725002</t>
        </is>
      </c>
      <c r="C2052" s="3" t="inlineStr">
        <is>
          <t>TuckerRocky</t>
        </is>
      </c>
    </row>
    <row collapsed="false" customFormat="false" customHeight="false" hidden="false" ht="12.1" outlineLevel="0" r="2053">
      <c r="A2053" s="3" t="s">
        <f>=HYPERLINK("https://mp39851918.megaplan.ua/deals/95119/card/","15881")</f>
      </c>
      <c r="B2053" s="3" t="inlineStr">
        <is>
          <t>113-7143667-4810610</t>
        </is>
      </c>
      <c r="C2053" s="3" t="inlineStr">
        <is>
          <t>RockyMountain</t>
        </is>
      </c>
    </row>
    <row collapsed="false" customFormat="false" customHeight="false" hidden="false" ht="12.1" outlineLevel="0" r="2054">
      <c r="A2054" s="3" t="s">
        <f>=HYPERLINK("https://mp39851918.megaplan.ua/deals/95133/card/","15882")</f>
      </c>
      <c r="B2054" s="3" t="inlineStr">
        <is>
          <t>114-5304712-5449842</t>
        </is>
      </c>
      <c r="C2054" s="3" t="inlineStr">
        <is>
          <t>RockyMountain</t>
        </is>
      </c>
    </row>
    <row collapsed="false" customFormat="false" customHeight="false" hidden="false" ht="12.1" outlineLevel="0" r="2055">
      <c r="A2055" s="3" t="s">
        <f>=HYPERLINK("https://mp39851918.megaplan.ua/deals/95140/card/","15883")</f>
      </c>
      <c r="B2055" s="3" t="inlineStr">
        <is>
          <t>114-8425326-8132267</t>
        </is>
      </c>
      <c r="C2055" s="3" t="inlineStr">
        <is>
          <t>RockyMountain</t>
        </is>
      </c>
    </row>
    <row collapsed="false" customFormat="false" customHeight="false" hidden="false" ht="12.1" outlineLevel="0" r="2056">
      <c r="A2056" s="3" t="s">
        <f>=HYPERLINK("https://mp39851918.megaplan.ua/deals/95164/card/","15888")</f>
      </c>
      <c r="B2056" s="3" t="inlineStr">
        <is>
          <t>111-1962548-5692239</t>
        </is>
      </c>
      <c r="C2056" s="3" t="inlineStr">
        <is>
          <t>TuckerRocky</t>
        </is>
      </c>
    </row>
    <row collapsed="false" customFormat="false" customHeight="false" hidden="false" ht="12.1" outlineLevel="0" r="2057">
      <c r="A2057" s="3" t="s">
        <f>=HYPERLINK("https://mp39851918.megaplan.ua/deals/95165/card/","15889")</f>
      </c>
      <c r="B2057" s="3" t="inlineStr">
        <is>
          <t>112-9466024-8065833</t>
        </is>
      </c>
      <c r="C2057" s="3" t="inlineStr">
        <is>
          <t>RockyMountain</t>
        </is>
      </c>
    </row>
    <row collapsed="false" customFormat="false" customHeight="false" hidden="false" ht="12.1" outlineLevel="0" r="2058">
      <c r="A2058" s="3" t="s">
        <f>=HYPERLINK("https://mp39851918.megaplan.ua/deals/95175/card/","15893")</f>
      </c>
      <c r="B2058" s="3" t="inlineStr">
        <is>
          <t>114-5808862-8336225</t>
        </is>
      </c>
      <c r="C2058" s="3" t="inlineStr">
        <is>
          <t>TuckerRocky</t>
        </is>
      </c>
    </row>
    <row collapsed="false" customFormat="false" customHeight="false" hidden="false" ht="12.1" outlineLevel="0" r="2059">
      <c r="A2059" s="3" t="s">
        <f>=HYPERLINK("https://mp39851918.megaplan.ua/deals/95186/card/","15894")</f>
      </c>
      <c r="B2059" s="3" t="inlineStr">
        <is>
          <t>113-6191520-5255437</t>
        </is>
      </c>
      <c r="C2059" s="3" t="inlineStr">
        <is>
          <t>Autodist</t>
        </is>
      </c>
    </row>
    <row collapsed="false" customFormat="false" customHeight="false" hidden="false" ht="12.1" outlineLevel="0" r="2060">
      <c r="A2060" s="3" t="s">
        <f>=HYPERLINK("https://mp39851918.megaplan.ua/deals/95195/card/","15897")</f>
      </c>
      <c r="B2060" s="3" t="inlineStr">
        <is>
          <t>114-9579896-6545802</t>
        </is>
      </c>
      <c r="C2060" s="3" t="inlineStr">
        <is>
          <t>PartsUnlimited</t>
        </is>
      </c>
    </row>
    <row collapsed="false" customFormat="false" customHeight="false" hidden="false" ht="12.1" outlineLevel="0" r="2061">
      <c r="A2061" s="3" t="s">
        <f>=HYPERLINK("https://mp39851918.megaplan.ua/deals/95204/card/","15898")</f>
      </c>
      <c r="B2061" s="3" t="inlineStr">
        <is>
          <t>112-1534199-0225019</t>
        </is>
      </c>
      <c r="C2061" s="3" t="inlineStr">
        <is>
          <t>RockyMountain</t>
        </is>
      </c>
    </row>
    <row collapsed="false" customFormat="false" customHeight="false" hidden="false" ht="12.1" outlineLevel="0" r="2062">
      <c r="A2062" s="3" t="s">
        <f>=HYPERLINK("https://mp39851918.megaplan.ua/deals/95205/card/","15899")</f>
      </c>
      <c r="B2062" s="3" t="inlineStr">
        <is>
          <t>114-8073905-9985800</t>
        </is>
      </c>
      <c r="C2062" s="3" t="inlineStr">
        <is>
          <t>RockyMountain</t>
        </is>
      </c>
    </row>
    <row collapsed="false" customFormat="false" customHeight="false" hidden="false" ht="12.1" outlineLevel="0" r="2063">
      <c r="A2063" s="3" t="s">
        <f>=HYPERLINK("https://mp39851918.megaplan.ua/deals/95210/card/","15901")</f>
      </c>
      <c r="B2063" s="3" t="inlineStr">
        <is>
          <t>112-6495976-5293864</t>
        </is>
      </c>
      <c r="C2063" s="3" t="inlineStr">
        <is>
          <t>Autodist</t>
        </is>
      </c>
    </row>
    <row collapsed="false" customFormat="false" customHeight="false" hidden="false" ht="12.1" outlineLevel="0" r="2064">
      <c r="A2064" s="3" t="s">
        <f>=HYPERLINK("https://mp39851918.megaplan.ua/deals/95225/card/","15902")</f>
      </c>
      <c r="B2064" s="3" t="inlineStr">
        <is>
          <t>114-0685886-5643401</t>
        </is>
      </c>
      <c r="C2064" s="3" t="inlineStr">
        <is>
          <t>TuckerRocky</t>
        </is>
      </c>
    </row>
    <row collapsed="false" customFormat="false" customHeight="false" hidden="false" ht="12.1" outlineLevel="0" r="2065">
      <c r="A2065" s="3" t="s">
        <f>=HYPERLINK("https://mp39851918.megaplan.ua/deals/95272/card/","15906")</f>
      </c>
      <c r="B2065" s="3" t="inlineStr">
        <is>
          <t>112-5980481-8489841</t>
        </is>
      </c>
      <c r="C2065" s="3" t="inlineStr">
        <is>
          <t>Autodist</t>
        </is>
      </c>
    </row>
    <row collapsed="false" customFormat="false" customHeight="false" hidden="false" ht="12.1" outlineLevel="0" r="2066">
      <c r="A2066" s="3" t="s">
        <f>=HYPERLINK("https://mp39851918.megaplan.ua/deals/95277/card/","15907")</f>
      </c>
      <c r="B2066" s="3" t="inlineStr">
        <is>
          <t>114-5535342-7897812</t>
        </is>
      </c>
      <c r="C2066" s="3" t="inlineStr">
        <is>
          <t>TuckerRocky</t>
        </is>
      </c>
    </row>
    <row collapsed="false" customFormat="false" customHeight="false" hidden="false" ht="12.1" outlineLevel="0" r="2067">
      <c r="A2067" s="3" t="s">
        <f>=HYPERLINK("https://mp39851918.megaplan.ua/deals/95288/card/","15908")</f>
      </c>
      <c r="B2067" s="3" t="inlineStr">
        <is>
          <t>112-3320933-4884257</t>
        </is>
      </c>
      <c r="C2067" s="3" t="inlineStr">
        <is>
          <t>RockyMountain</t>
        </is>
      </c>
    </row>
    <row collapsed="false" customFormat="false" customHeight="false" hidden="false" ht="12.1" outlineLevel="0" r="2068">
      <c r="A2068" s="3" t="s">
        <f>=HYPERLINK("https://mp39851918.megaplan.ua/deals/95299/card/","15912")</f>
      </c>
      <c r="B2068" s="3" t="inlineStr">
        <is>
          <t>113-3965309-8909848</t>
        </is>
      </c>
      <c r="C2068" s="3" t="inlineStr">
        <is>
          <t>Autodist</t>
        </is>
      </c>
    </row>
    <row collapsed="false" customFormat="false" customHeight="false" hidden="false" ht="12.1" outlineLevel="0" r="2069">
      <c r="A2069" s="3" t="s">
        <f>=HYPERLINK("https://mp39851918.megaplan.ua/deals/95312/card/","15913")</f>
      </c>
      <c r="B2069" s="3" t="inlineStr">
        <is>
          <t>113-1052074-6694658</t>
        </is>
      </c>
      <c r="C2069" s="3" t="inlineStr">
        <is>
          <t>RockyMountain</t>
        </is>
      </c>
    </row>
    <row collapsed="false" customFormat="false" customHeight="false" hidden="false" ht="12.1" outlineLevel="0" r="2070">
      <c r="A2070" s="3" t="s">
        <f>=HYPERLINK("https://mp39851918.megaplan.ua/deals/95332/card/","15914")</f>
      </c>
      <c r="B2070" s="3" t="inlineStr">
        <is>
          <t>112-2564910-7445868</t>
        </is>
      </c>
      <c r="C2070" s="3" t="inlineStr">
        <is>
          <t>TuckerRocky</t>
        </is>
      </c>
    </row>
    <row collapsed="false" customFormat="false" customHeight="false" hidden="false" ht="12.1" outlineLevel="0" r="2071">
      <c r="A2071" s="3" t="s">
        <f>=HYPERLINK("https://mp39851918.megaplan.ua/deals/95344/card/","15917")</f>
      </c>
      <c r="B2071" s="3" t="inlineStr">
        <is>
          <t>111-1989556-0501800</t>
        </is>
      </c>
      <c r="C2071" s="3" t="inlineStr">
        <is>
          <t>Autodist</t>
        </is>
      </c>
    </row>
    <row collapsed="false" customFormat="false" customHeight="false" hidden="false" ht="12.1" outlineLevel="0" r="2072">
      <c r="A2072" s="3" t="s">
        <f>=HYPERLINK("https://mp39851918.megaplan.ua/deals/95346/card/","15918")</f>
      </c>
      <c r="B2072" s="3" t="inlineStr">
        <is>
          <t>113-4315400-4356245</t>
        </is>
      </c>
      <c r="C2072" s="3" t="inlineStr">
        <is>
          <t>Autodist</t>
        </is>
      </c>
    </row>
    <row collapsed="false" customFormat="false" customHeight="false" hidden="false" ht="12.1" outlineLevel="0" r="2073">
      <c r="A2073" s="3" t="s">
        <f>=HYPERLINK("https://mp39851918.megaplan.ua/deals/95385/card/","15921")</f>
      </c>
      <c r="B2073" s="3" t="inlineStr">
        <is>
          <t>111-4287699-2601035</t>
        </is>
      </c>
      <c r="C2073" s="3" t="inlineStr">
        <is>
          <t>RockyMountain</t>
        </is>
      </c>
    </row>
    <row collapsed="false" customFormat="false" customHeight="false" hidden="false" ht="12.1" outlineLevel="0" r="2074">
      <c r="A2074" s="3" t="s">
        <f>=HYPERLINK("https://mp39851918.megaplan.ua/deals/95392/card/","15923")</f>
      </c>
      <c r="B2074" s="3" t="inlineStr">
        <is>
          <t>112-4717274-4882661</t>
        </is>
      </c>
      <c r="C2074" s="3" t="inlineStr">
        <is>
          <t>Autodist</t>
        </is>
      </c>
    </row>
    <row collapsed="false" customFormat="false" customHeight="false" hidden="false" ht="12.1" outlineLevel="0" r="2075">
      <c r="A2075" s="3" t="s">
        <f>=HYPERLINK("https://mp39851918.megaplan.ua/deals/95418/card/","15927")</f>
      </c>
      <c r="B2075" s="3" t="inlineStr">
        <is>
          <t>114-5544955-4568203</t>
        </is>
      </c>
      <c r="C2075" s="3" t="inlineStr">
        <is>
          <t>Autodist</t>
        </is>
      </c>
    </row>
    <row collapsed="false" customFormat="false" customHeight="false" hidden="false" ht="12.1" outlineLevel="0" r="2076">
      <c r="A2076" s="3" t="s">
        <f>=HYPERLINK("https://mp39851918.megaplan.ua/deals/95423/card/","15928")</f>
      </c>
      <c r="B2076" s="3" t="inlineStr">
        <is>
          <t>114-2617474-6275453</t>
        </is>
      </c>
      <c r="C2076" s="3" t="inlineStr">
        <is>
          <t>RockyMountain</t>
        </is>
      </c>
    </row>
    <row collapsed="false" customFormat="false" customHeight="false" hidden="false" ht="12.1" outlineLevel="0" r="2077">
      <c r="A2077" s="3" t="s">
        <f>=HYPERLINK("https://mp39851918.megaplan.ua/deals/95436/card/","15929")</f>
      </c>
      <c r="B2077" s="3" t="inlineStr">
        <is>
          <t>114-0703958-7444217</t>
        </is>
      </c>
      <c r="C2077" s="3" t="inlineStr">
        <is>
          <t>RockyMountain</t>
        </is>
      </c>
    </row>
    <row collapsed="false" customFormat="false" customHeight="false" hidden="false" ht="12.1" outlineLevel="0" r="2078">
      <c r="A2078" s="3" t="s">
        <f>=HYPERLINK("https://mp39851918.megaplan.ua/deals/95454/card/","15930")</f>
      </c>
      <c r="B2078" s="3" t="inlineStr">
        <is>
          <t>113-0186567-1605805</t>
        </is>
      </c>
      <c r="C2078" s="3" t="inlineStr">
        <is>
          <t>Autodist</t>
        </is>
      </c>
    </row>
    <row collapsed="false" customFormat="false" customHeight="false" hidden="false" ht="12.1" outlineLevel="0" r="2079">
      <c r="A2079" s="3" t="s">
        <f>=HYPERLINK("https://mp39851918.megaplan.ua/deals/95493/card/","15933")</f>
      </c>
      <c r="B2079" s="3" t="inlineStr">
        <is>
          <t>111-9724173-7843420</t>
        </is>
      </c>
      <c r="C2079" s="3" t="inlineStr">
        <is>
          <t>Autodist</t>
        </is>
      </c>
    </row>
    <row collapsed="false" customFormat="false" customHeight="false" hidden="false" ht="12.1" outlineLevel="0" r="2080">
      <c r="A2080" s="3" t="s">
        <f>=HYPERLINK("https://mp39851918.megaplan.ua/deals/95498/card/","15934")</f>
      </c>
      <c r="B2080" s="3" t="inlineStr">
        <is>
          <t>114-8607335-9786638</t>
        </is>
      </c>
      <c r="C2080" s="3" t="inlineStr">
        <is>
          <t>RockyMountain</t>
        </is>
      </c>
    </row>
    <row collapsed="false" customFormat="false" customHeight="false" hidden="false" ht="12.1" outlineLevel="0" r="2081">
      <c r="A2081" s="3" t="s">
        <f>=HYPERLINK("https://mp39851918.megaplan.ua/deals/95499/card/","15935")</f>
      </c>
      <c r="B2081" s="3" t="inlineStr">
        <is>
          <t>112-3267370-4065813</t>
        </is>
      </c>
      <c r="C2081" s="3" t="inlineStr">
        <is>
          <t>RockyMountain</t>
        </is>
      </c>
    </row>
    <row collapsed="false" customFormat="false" customHeight="false" hidden="false" ht="12.1" outlineLevel="0" r="2082">
      <c r="A2082" s="3" t="s">
        <f>=HYPERLINK("https://mp39851918.megaplan.ua/deals/95500/card/","15936")</f>
      </c>
      <c r="B2082" s="3" t="inlineStr">
        <is>
          <t>112-6820332-2205052</t>
        </is>
      </c>
      <c r="C2082" s="3" t="inlineStr">
        <is>
          <t>Autodist</t>
        </is>
      </c>
    </row>
    <row collapsed="false" customFormat="false" customHeight="false" hidden="false" ht="12.1" outlineLevel="0" r="2083">
      <c r="A2083" s="3" t="s">
        <f>=HYPERLINK("https://mp39851918.megaplan.ua/deals/95502/card/","15937")</f>
      </c>
      <c r="B2083" s="3" t="inlineStr">
        <is>
          <t>114-4486320-6169055</t>
        </is>
      </c>
      <c r="C2083" s="3" t="inlineStr">
        <is>
          <t>RockyMountain</t>
        </is>
      </c>
    </row>
    <row collapsed="false" customFormat="false" customHeight="false" hidden="false" ht="12.1" outlineLevel="0" r="2084">
      <c r="A2084" s="3" t="s">
        <f>=HYPERLINK("https://mp39851918.megaplan.ua/deals/95505/card/","15938")</f>
      </c>
      <c r="B2084" s="3" t="inlineStr">
        <is>
          <t>112-5228616-7197048</t>
        </is>
      </c>
      <c r="C2084" s="3" t="inlineStr">
        <is>
          <t>RockyMountain</t>
        </is>
      </c>
    </row>
    <row collapsed="false" customFormat="false" customHeight="false" hidden="false" ht="12.1" outlineLevel="0" r="2085">
      <c r="A2085" s="3" t="s">
        <f>=HYPERLINK("https://mp39851918.megaplan.ua/deals/95506/card/","15939")</f>
      </c>
      <c r="B2085" s="3" t="inlineStr">
        <is>
          <t>113-9495137-4960264</t>
        </is>
      </c>
      <c r="C2085" s="3" t="inlineStr">
        <is>
          <t>PartsUnlimited</t>
        </is>
      </c>
    </row>
    <row collapsed="false" customFormat="false" customHeight="false" hidden="false" ht="12.1" outlineLevel="0" r="2086">
      <c r="A2086" s="3" t="s">
        <f>=HYPERLINK("https://mp39851918.megaplan.ua/deals/95507/card/","15940")</f>
      </c>
      <c r="B2086" s="3" t="inlineStr">
        <is>
          <t>114-8338910-1206620</t>
        </is>
      </c>
      <c r="C2086" s="3" t="inlineStr">
        <is>
          <t>RockyMountain</t>
        </is>
      </c>
    </row>
    <row collapsed="false" customFormat="false" customHeight="false" hidden="false" ht="12.1" outlineLevel="0" r="2087">
      <c r="A2087" s="3" t="s">
        <f>=HYPERLINK("https://mp39851918.megaplan.ua/deals/95517/card/","15942")</f>
      </c>
      <c r="B2087" s="3" t="inlineStr">
        <is>
          <t>111-0253541-0809855</t>
        </is>
      </c>
      <c r="C2087" s="3" t="inlineStr">
        <is>
          <t>TuckerRocky</t>
        </is>
      </c>
    </row>
    <row collapsed="false" customFormat="false" customHeight="false" hidden="false" ht="12.1" outlineLevel="0" r="2088">
      <c r="A2088" s="3" t="s">
        <f>=HYPERLINK("https://mp39851918.megaplan.ua/deals/95529/card/","15943")</f>
      </c>
      <c r="B2088" s="3" t="inlineStr">
        <is>
          <t>111-8771849-7504237</t>
        </is>
      </c>
      <c r="C2088" s="3" t="inlineStr">
        <is>
          <t>RockyMountain</t>
        </is>
      </c>
    </row>
    <row collapsed="false" customFormat="false" customHeight="false" hidden="false" ht="12.1" outlineLevel="0" r="2089">
      <c r="A2089" s="3" t="s">
        <f>=HYPERLINK("https://mp39851918.megaplan.ua/deals/95535/card/","15945")</f>
      </c>
      <c r="B2089" s="3" t="inlineStr">
        <is>
          <t>113-1412071-0120238</t>
        </is>
      </c>
      <c r="C2089" s="3" t="inlineStr">
        <is>
          <t>RockyMountain</t>
        </is>
      </c>
    </row>
    <row collapsed="false" customFormat="false" customHeight="false" hidden="false" ht="12.1" outlineLevel="0" r="2090">
      <c r="A2090" s="3" t="s">
        <f>=HYPERLINK("https://mp39851918.megaplan.ua/deals/95543/card/","15946")</f>
      </c>
      <c r="B2090" s="3" t="inlineStr">
        <is>
          <t>114-3027875-5577069</t>
        </is>
      </c>
      <c r="C2090" s="3" t="inlineStr">
        <is>
          <t>TuckerRocky</t>
        </is>
      </c>
    </row>
    <row collapsed="false" customFormat="false" customHeight="false" hidden="false" ht="12.1" outlineLevel="0" r="2091">
      <c r="A2091" s="3" t="s">
        <f>=HYPERLINK("https://mp39851918.megaplan.ua/deals/95557/card/","15947")</f>
      </c>
      <c r="B2091" s="3" t="inlineStr">
        <is>
          <t>112-9869025-0045807</t>
        </is>
      </c>
      <c r="C2091" s="3" t="inlineStr">
        <is>
          <t>PartsUnlimited</t>
        </is>
      </c>
    </row>
    <row collapsed="false" customFormat="false" customHeight="false" hidden="false" ht="12.1" outlineLevel="0" r="2092">
      <c r="A2092" s="3" t="s">
        <f>=HYPERLINK("https://mp39851918.megaplan.ua/deals/95600/card/","15948")</f>
      </c>
      <c r="B2092" s="3" t="inlineStr">
        <is>
          <t>114-0824670-8683451</t>
        </is>
      </c>
      <c r="C2092" s="3" t="inlineStr">
        <is>
          <t>PartsUnlimited</t>
        </is>
      </c>
    </row>
    <row collapsed="false" customFormat="false" customHeight="false" hidden="false" ht="12.1" outlineLevel="0" r="2093">
      <c r="A2093" s="3" t="s">
        <f>=HYPERLINK("https://mp39851918.megaplan.ua/deals/95602/card/","15949")</f>
      </c>
      <c r="B2093" s="3" t="inlineStr">
        <is>
          <t>114-8267342-0204201</t>
        </is>
      </c>
      <c r="C2093" s="3" t="inlineStr">
        <is>
          <t>RockyMountain</t>
        </is>
      </c>
    </row>
    <row collapsed="false" customFormat="false" customHeight="false" hidden="false" ht="12.1" outlineLevel="0" r="2094">
      <c r="A2094" s="3" t="s">
        <f>=HYPERLINK("https://mp39851918.megaplan.ua/deals/95603/card/","15950")</f>
      </c>
      <c r="B2094" s="3" t="inlineStr">
        <is>
          <t>114-6269966-9388261</t>
        </is>
      </c>
      <c r="C2094" s="3" t="inlineStr">
        <is>
          <t>RockyMountain</t>
        </is>
      </c>
    </row>
    <row collapsed="false" customFormat="false" customHeight="false" hidden="false" ht="12.1" outlineLevel="0" r="2095">
      <c r="A2095" s="3" t="s">
        <f>=HYPERLINK("https://mp39851918.megaplan.ua/deals/95604/card/","15951")</f>
      </c>
      <c r="B2095" s="3" t="inlineStr">
        <is>
          <t>111-8582731-4309819</t>
        </is>
      </c>
      <c r="C2095" s="3" t="inlineStr">
        <is>
          <t>RockyMountain</t>
        </is>
      </c>
    </row>
    <row collapsed="false" customFormat="false" customHeight="false" hidden="false" ht="12.1" outlineLevel="0" r="2096">
      <c r="A2096" s="3" t="s">
        <f>=HYPERLINK("https://mp39851918.megaplan.ua/deals/95606/card/","15952")</f>
      </c>
      <c r="B2096" s="3" t="inlineStr">
        <is>
          <t>111-0019393-0313859</t>
        </is>
      </c>
      <c r="C2096" s="3" t="inlineStr">
        <is>
          <t>RockyMountain</t>
        </is>
      </c>
    </row>
    <row collapsed="false" customFormat="false" customHeight="false" hidden="false" ht="12.1" outlineLevel="0" r="2097">
      <c r="A2097" s="3" t="s">
        <f>=HYPERLINK("https://mp39851918.megaplan.ua/deals/95608/card/","15953")</f>
      </c>
      <c r="B2097" s="3" t="inlineStr">
        <is>
          <t>114-2851730-7613047</t>
        </is>
      </c>
      <c r="C2097" s="3" t="inlineStr">
        <is>
          <t>PartsUnlimited</t>
        </is>
      </c>
    </row>
    <row collapsed="false" customFormat="false" customHeight="false" hidden="false" ht="12.1" outlineLevel="0" r="2098">
      <c r="A2098" s="3" t="s">
        <f>=HYPERLINK("https://mp39851918.megaplan.ua/deals/95609/card/","15954")</f>
      </c>
      <c r="B2098" s="3" t="inlineStr">
        <is>
          <t>114-9044730-9240257</t>
        </is>
      </c>
      <c r="C2098" s="3" t="inlineStr">
        <is>
          <t>TuckerRocky</t>
        </is>
      </c>
    </row>
    <row collapsed="false" customFormat="false" customHeight="false" hidden="false" ht="12.1" outlineLevel="0" r="2099">
      <c r="A2099" s="3" t="s">
        <f>=HYPERLINK("https://mp39851918.megaplan.ua/deals/95613/card/","15955")</f>
      </c>
      <c r="B2099" s="3" t="inlineStr">
        <is>
          <t>113-6853515-1068219</t>
        </is>
      </c>
      <c r="C2099" s="3" t="inlineStr">
        <is>
          <t>RockyMountain</t>
        </is>
      </c>
    </row>
    <row collapsed="false" customFormat="false" customHeight="false" hidden="false" ht="12.1" outlineLevel="0" r="2100">
      <c r="A2100" s="3" t="s">
        <f>=HYPERLINK("https://mp39851918.megaplan.ua/deals/95616/card/","15956")</f>
      </c>
      <c r="B2100" s="3" t="inlineStr">
        <is>
          <t>114-1221290-9616212</t>
        </is>
      </c>
      <c r="C2100" s="3" t="inlineStr">
        <is>
          <t>TuckerRocky</t>
        </is>
      </c>
    </row>
    <row collapsed="false" customFormat="false" customHeight="false" hidden="false" ht="12.1" outlineLevel="0" r="2101">
      <c r="A2101" s="3" t="s">
        <f>=HYPERLINK("https://mp39851918.megaplan.ua/deals/95621/card/","15957")</f>
      </c>
      <c r="B2101" s="3" t="inlineStr">
        <is>
          <t>111-2400431-9384234</t>
        </is>
      </c>
      <c r="C2101" s="3" t="inlineStr">
        <is>
          <t>Autodist</t>
        </is>
      </c>
    </row>
    <row collapsed="false" customFormat="false" customHeight="false" hidden="false" ht="12.1" outlineLevel="0" r="2102">
      <c r="A2102" s="3" t="s">
        <f>=HYPERLINK("https://mp39851918.megaplan.ua/deals/95624/card/","15958")</f>
      </c>
      <c r="B2102" s="3" t="inlineStr">
        <is>
          <t>111-3857670-8079453</t>
        </is>
      </c>
      <c r="C2102" s="3" t="inlineStr">
        <is>
          <t>RockyMountain</t>
        </is>
      </c>
    </row>
    <row collapsed="false" customFormat="false" customHeight="false" hidden="false" ht="12.1" outlineLevel="0" r="2103">
      <c r="A2103" s="3" t="s">
        <f>=HYPERLINK("https://mp39851918.megaplan.ua/deals/95625/card/","15959")</f>
      </c>
      <c r="B2103" s="3" t="inlineStr">
        <is>
          <t>111-7518583-6173065</t>
        </is>
      </c>
      <c r="C2103" s="3" t="inlineStr">
        <is>
          <t>Autodist</t>
        </is>
      </c>
    </row>
    <row collapsed="false" customFormat="false" customHeight="false" hidden="false" ht="12.1" outlineLevel="0" r="2104">
      <c r="A2104" s="3" t="s">
        <f>=HYPERLINK("https://mp39851918.megaplan.ua/deals/95629/card/","15960")</f>
      </c>
      <c r="B2104" s="3" t="inlineStr">
        <is>
          <t>113-6451598-6156214</t>
        </is>
      </c>
      <c r="C2104" s="3" t="inlineStr">
        <is>
          <t>RockyMountain</t>
        </is>
      </c>
    </row>
    <row collapsed="false" customFormat="false" customHeight="false" hidden="false" ht="12.1" outlineLevel="0" r="2105">
      <c r="A2105" s="3" t="s">
        <f>=HYPERLINK("https://mp39851918.megaplan.ua/deals/95632/card/","15961")</f>
      </c>
      <c r="B2105" s="3" t="inlineStr">
        <is>
          <t>114-2958095-9608246</t>
        </is>
      </c>
      <c r="C2105" s="3" t="inlineStr">
        <is>
          <t>RockyMountain</t>
        </is>
      </c>
    </row>
    <row collapsed="false" customFormat="false" customHeight="false" hidden="false" ht="12.1" outlineLevel="0" r="2106">
      <c r="A2106" s="3" t="s">
        <f>=HYPERLINK("https://mp39851918.megaplan.ua/deals/95634/card/","15962")</f>
      </c>
      <c r="B2106" s="3" t="inlineStr">
        <is>
          <t>112-3281966-4915459</t>
        </is>
      </c>
      <c r="C2106" s="3" t="inlineStr">
        <is>
          <t>RockyMountain</t>
        </is>
      </c>
    </row>
    <row collapsed="false" customFormat="false" customHeight="false" hidden="false" ht="12.1" outlineLevel="0" r="2107">
      <c r="A2107" s="3" t="s">
        <f>=HYPERLINK("https://mp39851918.megaplan.ua/deals/95635/card/","15963")</f>
      </c>
      <c r="B2107" s="3" t="inlineStr">
        <is>
          <t>113-3832081-9395431</t>
        </is>
      </c>
      <c r="C2107" s="3" t="inlineStr">
        <is>
          <t>RockyMountain</t>
        </is>
      </c>
    </row>
    <row collapsed="false" customFormat="false" customHeight="false" hidden="false" ht="12.1" outlineLevel="0" r="2108">
      <c r="A2108" s="3" t="s">
        <f>=HYPERLINK("https://mp39851918.megaplan.ua/deals/95638/card/","15964")</f>
      </c>
      <c r="B2108" s="3" t="inlineStr">
        <is>
          <t>112-8890138-2401030</t>
        </is>
      </c>
      <c r="C2108" s="3" t="inlineStr">
        <is>
          <t>Autodist</t>
        </is>
      </c>
    </row>
    <row collapsed="false" customFormat="false" customHeight="false" hidden="false" ht="12.1" outlineLevel="0" r="2109">
      <c r="A2109" s="3" t="s">
        <f>=HYPERLINK("https://mp39851918.megaplan.ua/deals/95641/card/","15965")</f>
      </c>
      <c r="B2109" s="3" t="inlineStr">
        <is>
          <t>114-5696454-0601038</t>
        </is>
      </c>
      <c r="C2109" s="3" t="inlineStr">
        <is>
          <t>RockyMountain</t>
        </is>
      </c>
    </row>
    <row collapsed="false" customFormat="false" customHeight="false" hidden="false" ht="12.1" outlineLevel="0" r="2110">
      <c r="A2110" s="3" t="s">
        <f>=HYPERLINK("https://mp39851918.megaplan.ua/deals/95642/card/","15966")</f>
      </c>
      <c r="B2110" s="3" t="inlineStr">
        <is>
          <t>114-3366855-8973808</t>
        </is>
      </c>
      <c r="C2110" s="3" t="inlineStr">
        <is>
          <t>RockyMountain</t>
        </is>
      </c>
    </row>
    <row collapsed="false" customFormat="false" customHeight="false" hidden="false" ht="12.1" outlineLevel="0" r="2111">
      <c r="A2111" s="3" t="s">
        <f>=HYPERLINK("https://mp39851918.megaplan.ua/deals/95645/card/","15967")</f>
      </c>
      <c r="B2111" s="3" t="inlineStr">
        <is>
          <t>111-3846322-4578618</t>
        </is>
      </c>
      <c r="C2111" s="3" t="inlineStr">
        <is>
          <t>RockyMountain</t>
        </is>
      </c>
    </row>
    <row collapsed="false" customFormat="false" customHeight="false" hidden="false" ht="12.1" outlineLevel="0" r="2112">
      <c r="A2112" s="3" t="s">
        <f>=HYPERLINK("https://mp39851918.megaplan.ua/deals/95646/card/","15968")</f>
      </c>
      <c r="B2112" s="3" t="inlineStr">
        <is>
          <t>111-3636305-5539413</t>
        </is>
      </c>
      <c r="C2112" s="3" t="inlineStr">
        <is>
          <t>RockyMountain</t>
        </is>
      </c>
    </row>
    <row collapsed="false" customFormat="false" customHeight="false" hidden="false" ht="12.1" outlineLevel="0" r="2113">
      <c r="A2113" s="3" t="s">
        <f>=HYPERLINK("https://mp39851918.megaplan.ua/deals/95649/card/","15969")</f>
      </c>
      <c r="B2113" s="3" t="inlineStr">
        <is>
          <t>111-9090620-6316233</t>
        </is>
      </c>
      <c r="C2113" s="3" t="inlineStr">
        <is>
          <t>RockyMountain</t>
        </is>
      </c>
    </row>
    <row collapsed="false" customFormat="false" customHeight="false" hidden="false" ht="12.1" outlineLevel="0" r="2114">
      <c r="A2114" s="3" t="s">
        <f>=HYPERLINK("https://mp39851918.megaplan.ua/deals/95652/card/","15970")</f>
      </c>
      <c r="B2114" s="3" t="inlineStr">
        <is>
          <t>114-1417882-3202602</t>
        </is>
      </c>
      <c r="C2114" s="3" t="inlineStr">
        <is>
          <t>RockyMountain</t>
        </is>
      </c>
    </row>
    <row collapsed="false" customFormat="false" customHeight="false" hidden="false" ht="12.1" outlineLevel="0" r="2115">
      <c r="A2115" s="3" t="s">
        <f>=HYPERLINK("https://mp39851918.megaplan.ua/deals/95653/card/","15971")</f>
      </c>
      <c r="B2115" s="3" t="inlineStr">
        <is>
          <t>111-1629950-2322620</t>
        </is>
      </c>
      <c r="C2115" s="3" t="inlineStr">
        <is>
          <t>RockyMountain</t>
        </is>
      </c>
    </row>
    <row collapsed="false" customFormat="false" customHeight="false" hidden="false" ht="12.1" outlineLevel="0" r="2116">
      <c r="A2116" s="3" t="s">
        <f>=HYPERLINK("https://mp39851918.megaplan.ua/deals/95656/card/","15972")</f>
      </c>
      <c r="B2116" s="3" t="inlineStr">
        <is>
          <t>113-8311382-4656235</t>
        </is>
      </c>
      <c r="C2116" s="3" t="inlineStr">
        <is>
          <t>RockyMountain</t>
        </is>
      </c>
    </row>
    <row collapsed="false" customFormat="false" customHeight="false" hidden="false" ht="12.1" outlineLevel="0" r="2117">
      <c r="A2117" s="3" t="s">
        <f>=HYPERLINK("https://mp39851918.megaplan.ua/deals/95657/card/","15973")</f>
      </c>
      <c r="B2117" s="3" t="inlineStr">
        <is>
          <t>114-6181756-3189037</t>
        </is>
      </c>
      <c r="C2117" s="3" t="inlineStr">
        <is>
          <t>RockyMountain</t>
        </is>
      </c>
    </row>
    <row collapsed="false" customFormat="false" customHeight="false" hidden="false" ht="12.1" outlineLevel="0" r="2118">
      <c r="A2118" s="3" t="s">
        <f>=HYPERLINK("https://mp39851918.megaplan.ua/deals/95662/card/","15974")</f>
      </c>
      <c r="B2118" s="3" t="inlineStr">
        <is>
          <t>114-2333546-0482664</t>
        </is>
      </c>
      <c r="C2118" s="3" t="inlineStr">
        <is>
          <t>RockyMountain</t>
        </is>
      </c>
    </row>
    <row collapsed="false" customFormat="false" customHeight="false" hidden="false" ht="12.1" outlineLevel="0" r="2119">
      <c r="A2119" s="3" t="s">
        <f>=HYPERLINK("https://mp39851918.megaplan.ua/deals/95664/card/","15975")</f>
      </c>
      <c r="B2119" s="3" t="inlineStr">
        <is>
          <t>113-7230713-1332235</t>
        </is>
      </c>
      <c r="C2119" s="3" t="inlineStr">
        <is>
          <t>RockyMountain</t>
        </is>
      </c>
    </row>
    <row collapsed="false" customFormat="false" customHeight="false" hidden="false" ht="12.1" outlineLevel="0" r="2120">
      <c r="A2120" s="3" t="s">
        <f>=HYPERLINK("https://mp39851918.megaplan.ua/deals/95670/card/","15976")</f>
      </c>
      <c r="B2120" s="3" t="inlineStr">
        <is>
          <t>111-3954292-2536252</t>
        </is>
      </c>
      <c r="C2120" s="3" t="inlineStr">
        <is>
          <t>TuckerRocky</t>
        </is>
      </c>
    </row>
    <row collapsed="false" customFormat="false" customHeight="false" hidden="false" ht="12.1" outlineLevel="0" r="2121">
      <c r="A2121" s="3" t="s">
        <f>=HYPERLINK("https://mp39851918.megaplan.ua/deals/95671/card/","15977")</f>
      </c>
      <c r="B2121" s="3" t="inlineStr">
        <is>
          <t>114-1444121-0590647</t>
        </is>
      </c>
      <c r="C2121" s="3" t="inlineStr">
        <is>
          <t>Autodist</t>
        </is>
      </c>
    </row>
    <row collapsed="false" customFormat="false" customHeight="false" hidden="false" ht="12.1" outlineLevel="0" r="2122">
      <c r="A2122" s="3" t="s">
        <f>=HYPERLINK("https://mp39851918.megaplan.ua/deals/95694/card/","15978")</f>
      </c>
      <c r="B2122" s="3" t="inlineStr">
        <is>
          <t>112-8491366-1866635</t>
        </is>
      </c>
      <c r="C2122" s="3" t="inlineStr">
        <is>
          <t>RockyMountain</t>
        </is>
      </c>
    </row>
    <row collapsed="false" customFormat="false" customHeight="false" hidden="false" ht="12.1" outlineLevel="0" r="2123">
      <c r="A2123" s="3" t="s">
        <f>=HYPERLINK("https://mp39851918.megaplan.ua/deals/95695/card/","15979")</f>
      </c>
      <c r="B2123" s="3" t="inlineStr">
        <is>
          <t>112-6931042-1457832</t>
        </is>
      </c>
      <c r="C2123" s="3" t="inlineStr">
        <is>
          <t>RockyMountain</t>
        </is>
      </c>
    </row>
    <row collapsed="false" customFormat="false" customHeight="false" hidden="false" ht="12.1" outlineLevel="0" r="2124">
      <c r="A2124" s="3" t="s">
        <f>=HYPERLINK("https://mp39851918.megaplan.ua/deals/95700/card/","15980")</f>
      </c>
      <c r="B2124" s="3" t="inlineStr">
        <is>
          <t>111-7335338-6658648</t>
        </is>
      </c>
      <c r="C2124" s="3" t="inlineStr">
        <is>
          <t>Autodist</t>
        </is>
      </c>
    </row>
    <row collapsed="false" customFormat="false" customHeight="false" hidden="false" ht="12.1" outlineLevel="0" r="2125">
      <c r="A2125" s="3" t="s">
        <f>=HYPERLINK("https://mp39851918.megaplan.ua/deals/95705/card/","15981")</f>
      </c>
      <c r="B2125" s="3" t="inlineStr">
        <is>
          <t>114-0094785-3457030</t>
        </is>
      </c>
      <c r="C2125" s="3" t="inlineStr">
        <is>
          <t>RockyMountain</t>
        </is>
      </c>
    </row>
    <row collapsed="false" customFormat="false" customHeight="false" hidden="false" ht="12.1" outlineLevel="0" r="2126">
      <c r="A2126" s="3" t="s">
        <f>=HYPERLINK("https://mp39851918.megaplan.ua/deals/95707/card/","15982")</f>
      </c>
      <c r="B2126" s="3" t="inlineStr">
        <is>
          <t>111-1205753-2987432</t>
        </is>
      </c>
      <c r="C2126" s="3" t="inlineStr">
        <is>
          <t>TuckerRocky</t>
        </is>
      </c>
    </row>
    <row collapsed="false" customFormat="false" customHeight="false" hidden="false" ht="12.1" outlineLevel="0" r="2127">
      <c r="A2127" s="3" t="s">
        <f>=HYPERLINK("https://mp39851918.megaplan.ua/deals/95710/card/","15983")</f>
      </c>
      <c r="B2127" s="3" t="inlineStr">
        <is>
          <t>112-5543685-2535409</t>
        </is>
      </c>
      <c r="C2127" s="3" t="inlineStr">
        <is>
          <t>RockyMountain</t>
        </is>
      </c>
    </row>
    <row collapsed="false" customFormat="false" customHeight="false" hidden="false" ht="12.1" outlineLevel="0" r="2128">
      <c r="A2128" s="3" t="s">
        <f>=HYPERLINK("https://mp39851918.megaplan.ua/deals/95715/card/","15984")</f>
      </c>
      <c r="B2128" s="3" t="inlineStr">
        <is>
          <t>113-8239820-3568237</t>
        </is>
      </c>
      <c r="C2128" s="3" t="inlineStr">
        <is>
          <t>RockyMountain</t>
        </is>
      </c>
    </row>
    <row collapsed="false" customFormat="false" customHeight="false" hidden="false" ht="12.1" outlineLevel="0" r="2129">
      <c r="A2129" s="3" t="s">
        <f>=HYPERLINK("https://mp39851918.megaplan.ua/deals/95718/card/","15985")</f>
      </c>
      <c r="B2129" s="3" t="inlineStr">
        <is>
          <t>113-9788461-7168259</t>
        </is>
      </c>
      <c r="C2129" s="3" t="inlineStr">
        <is>
          <t>TuckerRocky</t>
        </is>
      </c>
    </row>
    <row collapsed="false" customFormat="false" customHeight="false" hidden="false" ht="12.1" outlineLevel="0" r="2130">
      <c r="A2130" s="3" t="s">
        <f>=HYPERLINK("https://mp39851918.megaplan.ua/deals/95751/card/","15986")</f>
      </c>
      <c r="B2130" s="3" t="inlineStr">
        <is>
          <t>111-4433149-2485862</t>
        </is>
      </c>
      <c r="C2130" s="3" t="inlineStr">
        <is>
          <t>Autodist</t>
        </is>
      </c>
    </row>
    <row collapsed="false" customFormat="false" customHeight="false" hidden="false" ht="12.1" outlineLevel="0" r="2131">
      <c r="A2131" s="3" t="s">
        <f>=HYPERLINK("https://mp39851918.megaplan.ua/deals/95763/card/","15987")</f>
      </c>
      <c r="B2131" s="3" t="inlineStr">
        <is>
          <t>111-2145585-0688218</t>
        </is>
      </c>
      <c r="C2131" s="3" t="inlineStr">
        <is>
          <t>TuckerRocky</t>
        </is>
      </c>
    </row>
    <row collapsed="false" customFormat="false" customHeight="false" hidden="false" ht="12.1" outlineLevel="0" r="2132">
      <c r="A2132" s="3" t="s">
        <f>=HYPERLINK("https://mp39851918.megaplan.ua/deals/95775/card/","15988")</f>
      </c>
      <c r="B2132" s="3" t="inlineStr">
        <is>
          <t>114-5564117-5673035</t>
        </is>
      </c>
      <c r="C2132" s="3" t="inlineStr">
        <is>
          <t>TuckerRocky</t>
        </is>
      </c>
    </row>
    <row collapsed="false" customFormat="false" customHeight="false" hidden="false" ht="12.1" outlineLevel="0" r="2133">
      <c r="A2133" s="3" t="s">
        <f>=HYPERLINK("https://mp39851918.megaplan.ua/deals/95795/card/","15989")</f>
      </c>
      <c r="B2133" s="3" t="inlineStr">
        <is>
          <t>111-2250102-5144230</t>
        </is>
      </c>
      <c r="C2133" s="3" t="inlineStr">
        <is>
          <t>RockyMountain</t>
        </is>
      </c>
    </row>
    <row collapsed="false" customFormat="false" customHeight="false" hidden="false" ht="12.1" outlineLevel="0" r="2134">
      <c r="A2134" s="3" t="s">
        <f>=HYPERLINK("https://mp39851918.megaplan.ua/deals/95807/card/","15991")</f>
      </c>
      <c r="B2134" s="3" t="inlineStr">
        <is>
          <t>113-5193521-1903414</t>
        </is>
      </c>
      <c r="C2134" s="3" t="inlineStr">
        <is>
          <t>RockyMountain</t>
        </is>
      </c>
    </row>
    <row collapsed="false" customFormat="false" customHeight="false" hidden="false" ht="12.1" outlineLevel="0" r="2135">
      <c r="A2135" s="3" t="s">
        <f>=HYPERLINK("https://mp39851918.megaplan.ua/deals/95821/card/","15992")</f>
      </c>
      <c r="B2135" s="3" t="inlineStr">
        <is>
          <t>112-4609060-5109809</t>
        </is>
      </c>
      <c r="C2135" s="3" t="inlineStr">
        <is>
          <t>TuckerRocky</t>
        </is>
      </c>
    </row>
    <row collapsed="false" customFormat="false" customHeight="false" hidden="false" ht="12.1" outlineLevel="0" r="2136">
      <c r="A2136" s="3" t="s">
        <f>=HYPERLINK("https://mp39851918.megaplan.ua/deals/95822/card/","15993")</f>
      </c>
      <c r="B2136" s="3" t="inlineStr">
        <is>
          <t>114-3257277-4368202</t>
        </is>
      </c>
      <c r="C2136" s="3" t="inlineStr">
        <is>
          <t>RockyMountain</t>
        </is>
      </c>
    </row>
    <row collapsed="false" customFormat="false" customHeight="false" hidden="false" ht="12.1" outlineLevel="0" r="2137">
      <c r="A2137" s="3" t="s">
        <f>=HYPERLINK("https://mp39851918.megaplan.ua/deals/95830/card/","15994")</f>
      </c>
      <c r="B2137" s="3" t="inlineStr">
        <is>
          <t>114-4256490-8953053</t>
        </is>
      </c>
      <c r="C2137" s="3" t="inlineStr">
        <is>
          <t>TuckerRocky</t>
        </is>
      </c>
    </row>
    <row collapsed="false" customFormat="false" customHeight="false" hidden="false" ht="12.1" outlineLevel="0" r="2138">
      <c r="A2138" s="3" t="s">
        <f>=HYPERLINK("https://mp39851918.megaplan.ua/deals/95831/card/","15995")</f>
      </c>
      <c r="B2138" s="3" t="inlineStr">
        <is>
          <t>114-5673561-0591455</t>
        </is>
      </c>
      <c r="C2138" s="3" t="inlineStr">
        <is>
          <t>TuckerRocky</t>
        </is>
      </c>
    </row>
    <row collapsed="false" customFormat="false" customHeight="false" hidden="false" ht="12.1" outlineLevel="0" r="2139">
      <c r="A2139" s="3" t="s">
        <f>=HYPERLINK("https://mp39851918.megaplan.ua/deals/95844/card/","15996")</f>
      </c>
      <c r="B2139" s="3" t="inlineStr">
        <is>
          <t>112-5445701-1821853</t>
        </is>
      </c>
      <c r="C2139" s="3" t="inlineStr">
        <is>
          <t>Autodist</t>
        </is>
      </c>
    </row>
    <row collapsed="false" customFormat="false" customHeight="false" hidden="false" ht="12.1" outlineLevel="0" r="2140">
      <c r="A2140" s="3" t="s">
        <f>=HYPERLINK("https://mp39851918.megaplan.ua/deals/95845/card/","15997")</f>
      </c>
      <c r="B2140" s="3" t="inlineStr">
        <is>
          <t>112-6396958-7186662</t>
        </is>
      </c>
      <c r="C2140" s="3" t="inlineStr">
        <is>
          <t>RockyMountain</t>
        </is>
      </c>
    </row>
    <row collapsed="false" customFormat="false" customHeight="false" hidden="false" ht="12.1" outlineLevel="0" r="2141">
      <c r="A2141" s="3" t="s">
        <f>=HYPERLINK("https://mp39851918.megaplan.ua/deals/95847/card/","15998")</f>
      </c>
      <c r="B2141" s="3" t="inlineStr">
        <is>
          <t>113-1609042-6725804</t>
        </is>
      </c>
      <c r="C2141" s="3" t="inlineStr">
        <is>
          <t>Autodist</t>
        </is>
      </c>
    </row>
    <row collapsed="false" customFormat="false" customHeight="false" hidden="false" ht="12.1" outlineLevel="0" r="2142">
      <c r="A2142" s="3" t="s">
        <f>=HYPERLINK("https://mp39851918.megaplan.ua/deals/95856/card/","15999")</f>
      </c>
      <c r="B2142" s="3" t="inlineStr">
        <is>
          <t>112-3540196-1631467</t>
        </is>
      </c>
      <c r="C2142" s="3" t="inlineStr">
        <is>
          <t>RockyMountain</t>
        </is>
      </c>
    </row>
    <row collapsed="false" customFormat="false" customHeight="false" hidden="false" ht="12.1" outlineLevel="0" r="2143">
      <c r="A2143" s="3" t="s">
        <f>=HYPERLINK("https://mp39851918.megaplan.ua/deals/95858/card/","16000")</f>
      </c>
      <c r="B2143" s="3" t="inlineStr">
        <is>
          <t>111-8624690-4093008</t>
        </is>
      </c>
      <c r="C2143" s="3" t="inlineStr">
        <is>
          <t>TuckerRocky</t>
        </is>
      </c>
    </row>
    <row collapsed="false" customFormat="false" customHeight="false" hidden="false" ht="12.1" outlineLevel="0" r="2144">
      <c r="A2144" s="3" t="s">
        <f>=HYPERLINK("https://mp39851918.megaplan.ua/deals/95868/card/","16001")</f>
      </c>
      <c r="B2144" s="3" t="inlineStr">
        <is>
          <t>111-0444651-4268236</t>
        </is>
      </c>
      <c r="C2144" s="3" t="inlineStr">
        <is>
          <t>TuckerRocky</t>
        </is>
      </c>
    </row>
    <row collapsed="false" customFormat="false" customHeight="false" hidden="false" ht="12.1" outlineLevel="0" r="2145">
      <c r="A2145" s="3" t="s">
        <f>=HYPERLINK("https://mp39851918.megaplan.ua/deals/95875/card/","16002")</f>
      </c>
      <c r="B2145" s="3" t="inlineStr">
        <is>
          <t>113-4549577-2826649</t>
        </is>
      </c>
      <c r="C2145" s="3" t="inlineStr">
        <is>
          <t>Autodist</t>
        </is>
      </c>
    </row>
    <row collapsed="false" customFormat="false" customHeight="false" hidden="false" ht="12.1" outlineLevel="0" r="2146">
      <c r="A2146" s="3" t="s">
        <f>=HYPERLINK("https://mp39851918.megaplan.ua/deals/95882/card/","16003")</f>
      </c>
      <c r="B2146" s="3" t="inlineStr">
        <is>
          <t>113-4352997-4614664</t>
        </is>
      </c>
      <c r="C2146" s="3" t="inlineStr">
        <is>
          <t>RockyMountain</t>
        </is>
      </c>
    </row>
    <row collapsed="false" customFormat="false" customHeight="false" hidden="false" ht="12.1" outlineLevel="0" r="2147">
      <c r="A2147" s="3" t="s">
        <f>=HYPERLINK("https://mp39851918.megaplan.ua/deals/95892/card/","16004")</f>
      </c>
      <c r="B2147" s="3" t="inlineStr">
        <is>
          <t>112-0268111-6993843</t>
        </is>
      </c>
      <c r="C2147" s="3" t="inlineStr">
        <is>
          <t>RockyMountain</t>
        </is>
      </c>
    </row>
    <row collapsed="false" customFormat="false" customHeight="false" hidden="false" ht="12.1" outlineLevel="0" r="2148">
      <c r="A2148" s="3" t="s">
        <f>=HYPERLINK("https://mp39851918.megaplan.ua/deals/95906/card/","16007")</f>
      </c>
      <c r="B2148" s="3" t="inlineStr">
        <is>
          <t>112-9275628-6957057</t>
        </is>
      </c>
      <c r="C2148" s="3" t="inlineStr">
        <is>
          <t>RockyMountain</t>
        </is>
      </c>
    </row>
    <row collapsed="false" customFormat="false" customHeight="false" hidden="false" ht="12.1" outlineLevel="0" r="2149">
      <c r="A2149" s="3" t="s">
        <f>=HYPERLINK("https://mp39851918.megaplan.ua/deals/95908/card/","16008")</f>
      </c>
      <c r="B2149" s="3" t="inlineStr">
        <is>
          <t>112-9871182-3739416</t>
        </is>
      </c>
      <c r="C2149" s="3" t="inlineStr">
        <is>
          <t>RockyMountain</t>
        </is>
      </c>
    </row>
    <row collapsed="false" customFormat="false" customHeight="false" hidden="false" ht="12.1" outlineLevel="0" r="2150">
      <c r="A2150" s="3" t="s">
        <f>=HYPERLINK("https://mp39851918.megaplan.ua/deals/95911/card/","16009")</f>
      </c>
      <c r="B2150" s="3" t="inlineStr">
        <is>
          <t>112-1086281-0688247</t>
        </is>
      </c>
      <c r="C2150" s="3" t="inlineStr">
        <is>
          <t>RockyMountain</t>
        </is>
      </c>
    </row>
    <row collapsed="false" customFormat="false" customHeight="false" hidden="false" ht="12.1" outlineLevel="0" r="2151">
      <c r="A2151" s="3" t="s">
        <f>=HYPERLINK("https://mp39851918.megaplan.ua/deals/95914/card/","16010")</f>
      </c>
      <c r="B2151" s="3" t="inlineStr">
        <is>
          <t>111-7923855-6889047</t>
        </is>
      </c>
      <c r="C2151" s="3" t="inlineStr">
        <is>
          <t>RockyMountain</t>
        </is>
      </c>
    </row>
    <row collapsed="false" customFormat="false" customHeight="false" hidden="false" ht="12.1" outlineLevel="0" r="2152">
      <c r="A2152" s="3" t="s">
        <f>=HYPERLINK("https://mp39851918.megaplan.ua/deals/95916/card/","16011")</f>
      </c>
      <c r="B2152" s="3" t="inlineStr">
        <is>
          <t>113-0370778-0671405</t>
        </is>
      </c>
      <c r="C2152" s="3" t="inlineStr">
        <is>
          <t>RockyMountain</t>
        </is>
      </c>
    </row>
    <row collapsed="false" customFormat="false" customHeight="false" hidden="false" ht="12.1" outlineLevel="0" r="2153">
      <c r="A2153" s="3" t="s">
        <f>=HYPERLINK("https://mp39851918.megaplan.ua/deals/95919/card/","16012")</f>
      </c>
      <c r="B2153" s="3" t="inlineStr">
        <is>
          <t>114-6100456-6792235</t>
        </is>
      </c>
      <c r="C2153" s="3" t="inlineStr">
        <is>
          <t>RockyMountain</t>
        </is>
      </c>
    </row>
    <row collapsed="false" customFormat="false" customHeight="false" hidden="false" ht="12.1" outlineLevel="0" r="2154">
      <c r="A2154" s="3" t="s">
        <f>=HYPERLINK("https://mp39851918.megaplan.ua/deals/95921/card/","16013")</f>
      </c>
      <c r="B2154" s="3" t="inlineStr">
        <is>
          <t>113-6349649-1856204</t>
        </is>
      </c>
      <c r="C2154" s="3" t="inlineStr">
        <is>
          <t>RockyMountain</t>
        </is>
      </c>
    </row>
    <row collapsed="false" customFormat="false" customHeight="false" hidden="false" ht="12.1" outlineLevel="0" r="2155">
      <c r="A2155" s="3" t="s">
        <f>=HYPERLINK("https://mp39851918.megaplan.ua/deals/95924/card/","16014")</f>
      </c>
      <c r="B2155" s="3" t="inlineStr">
        <is>
          <t>112-8193482-4558651</t>
        </is>
      </c>
      <c r="C2155" s="3" t="inlineStr">
        <is>
          <t>RockyMountain</t>
        </is>
      </c>
    </row>
    <row collapsed="false" customFormat="false" customHeight="false" hidden="false" ht="12.1" outlineLevel="0" r="2156">
      <c r="A2156" s="3" t="s">
        <f>=HYPERLINK("https://mp39851918.megaplan.ua/deals/95925/card/","16015")</f>
      </c>
      <c r="B2156" s="3" t="inlineStr">
        <is>
          <t>112-9146930-2359451</t>
        </is>
      </c>
      <c r="C2156" s="3" t="inlineStr">
        <is>
          <t>RockyMountain</t>
        </is>
      </c>
    </row>
    <row collapsed="false" customFormat="false" customHeight="false" hidden="false" ht="12.1" outlineLevel="0" r="2157">
      <c r="A2157" s="3" t="s">
        <f>=HYPERLINK("https://mp39851918.megaplan.ua/deals/95927/card/","16016")</f>
      </c>
      <c r="B2157" s="3" t="inlineStr">
        <is>
          <t>111-0719001-0285069</t>
        </is>
      </c>
      <c r="C2157" s="3" t="inlineStr">
        <is>
          <t>RockyMountain</t>
        </is>
      </c>
    </row>
    <row collapsed="false" customFormat="false" customHeight="false" hidden="false" ht="12.1" outlineLevel="0" r="2158">
      <c r="A2158" s="3" t="s">
        <f>=HYPERLINK("https://mp39851918.megaplan.ua/deals/95929/card/","16017")</f>
      </c>
      <c r="B2158" s="3" t="inlineStr">
        <is>
          <t>111-1268183-9361866</t>
        </is>
      </c>
      <c r="C2158" s="3" t="inlineStr">
        <is>
          <t>Autodist</t>
        </is>
      </c>
    </row>
    <row collapsed="false" customFormat="false" customHeight="false" hidden="false" ht="12.1" outlineLevel="0" r="2159">
      <c r="A2159" s="3" t="s">
        <f>=HYPERLINK("https://mp39851918.megaplan.ua/deals/95930/card/","16018")</f>
      </c>
      <c r="B2159" s="3" t="inlineStr">
        <is>
          <t>112-4515070-0160232</t>
        </is>
      </c>
      <c r="C2159" s="3" t="inlineStr">
        <is>
          <t>TuckerRocky</t>
        </is>
      </c>
    </row>
    <row collapsed="false" customFormat="false" customHeight="false" hidden="false" ht="12.1" outlineLevel="0" r="2160">
      <c r="A2160" s="3" t="s">
        <f>=HYPERLINK("https://mp39851918.megaplan.ua/deals/95931/card/","16019")</f>
      </c>
      <c r="B2160" s="3" t="inlineStr">
        <is>
          <t>113-9710212-8135436</t>
        </is>
      </c>
      <c r="C2160" s="3" t="inlineStr">
        <is>
          <t>RockyMountain</t>
        </is>
      </c>
    </row>
    <row collapsed="false" customFormat="false" customHeight="false" hidden="false" ht="12.1" outlineLevel="0" r="2161">
      <c r="A2161" s="3" t="s">
        <f>=HYPERLINK("https://mp39851918.megaplan.ua/deals/95933/card/","16020")</f>
      </c>
      <c r="B2161" s="3" t="inlineStr">
        <is>
          <t>113-0934774-1998647</t>
        </is>
      </c>
      <c r="C2161" s="3" t="inlineStr">
        <is>
          <t>TuckerRocky</t>
        </is>
      </c>
    </row>
    <row collapsed="false" customFormat="false" customHeight="false" hidden="false" ht="12.1" outlineLevel="0" r="2162">
      <c r="A2162" s="3" t="s">
        <f>=HYPERLINK("https://mp39851918.megaplan.ua/deals/95934/card/","16021")</f>
      </c>
      <c r="B2162" s="3" t="inlineStr">
        <is>
          <t>112-0756374-3661815</t>
        </is>
      </c>
      <c r="C2162" s="3" t="inlineStr">
        <is>
          <t>Autodist</t>
        </is>
      </c>
    </row>
    <row collapsed="false" customFormat="false" customHeight="false" hidden="false" ht="12.1" outlineLevel="0" r="2163">
      <c r="A2163" s="3" t="s">
        <f>=HYPERLINK("https://mp39851918.megaplan.ua/deals/95935/card/","16022")</f>
      </c>
      <c r="B2163" s="3" t="inlineStr">
        <is>
          <t>113-0700167-3737865</t>
        </is>
      </c>
      <c r="C2163" s="3" t="inlineStr">
        <is>
          <t>RockyMountain</t>
        </is>
      </c>
    </row>
    <row collapsed="false" customFormat="false" customHeight="false" hidden="false" ht="12.1" outlineLevel="0" r="2164">
      <c r="A2164" s="3" t="s">
        <f>=HYPERLINK("https://mp39851918.megaplan.ua/deals/95937/card/","16023")</f>
      </c>
      <c r="B2164" s="3" t="inlineStr">
        <is>
          <t>111-1523975-7597025</t>
        </is>
      </c>
      <c r="C2164" s="3" t="inlineStr">
        <is>
          <t>RockyMountain</t>
        </is>
      </c>
    </row>
    <row collapsed="false" customFormat="false" customHeight="false" hidden="false" ht="12.1" outlineLevel="0" r="2165">
      <c r="A2165" s="3" t="s">
        <f>=HYPERLINK("https://mp39851918.megaplan.ua/deals/95938/card/","16024")</f>
      </c>
      <c r="B2165" s="3" t="inlineStr">
        <is>
          <t>112-4885900-8978622</t>
        </is>
      </c>
      <c r="C2165" s="3" t="inlineStr">
        <is>
          <t>RockyMountain</t>
        </is>
      </c>
    </row>
    <row collapsed="false" customFormat="false" customHeight="false" hidden="false" ht="12.1" outlineLevel="0" r="2166">
      <c r="A2166" s="3" t="s">
        <f>=HYPERLINK("https://mp39851918.megaplan.ua/deals/95939/card/","16025")</f>
      </c>
      <c r="B2166" s="3" t="inlineStr">
        <is>
          <t>111-6899401-3897009</t>
        </is>
      </c>
      <c r="C2166" s="3" t="inlineStr">
        <is>
          <t>Autodist</t>
        </is>
      </c>
    </row>
    <row collapsed="false" customFormat="false" customHeight="false" hidden="false" ht="12.1" outlineLevel="0" r="2167">
      <c r="A2167" s="3" t="s">
        <f>=HYPERLINK("https://mp39851918.megaplan.ua/deals/95942/card/","16026")</f>
      </c>
      <c r="B2167" s="3" t="inlineStr">
        <is>
          <t>111-8076831-6437805</t>
        </is>
      </c>
      <c r="C2167" s="3" t="inlineStr">
        <is>
          <t>RockyMountain</t>
        </is>
      </c>
    </row>
    <row collapsed="false" customFormat="false" customHeight="false" hidden="false" ht="12.1" outlineLevel="0" r="2168">
      <c r="A2168" s="3" t="s">
        <f>=HYPERLINK("https://mp39851918.megaplan.ua/deals/96014/card/","16029")</f>
      </c>
      <c r="B2168" s="3" t="inlineStr">
        <is>
          <t>111-9971098-3394624</t>
        </is>
      </c>
      <c r="C2168" s="3" t="inlineStr">
        <is>
          <t>RockyMountain</t>
        </is>
      </c>
    </row>
    <row collapsed="false" customFormat="false" customHeight="false" hidden="false" ht="12.1" outlineLevel="0" r="2169">
      <c r="A2169" s="3" t="s">
        <f>=HYPERLINK("https://mp39851918.megaplan.ua/deals/96023/card/","16030")</f>
      </c>
      <c r="B2169" s="3" t="inlineStr">
        <is>
          <t>113-2057279-4765811</t>
        </is>
      </c>
      <c r="C2169" s="3" t="inlineStr">
        <is>
          <t>RockyMountain</t>
        </is>
      </c>
    </row>
    <row collapsed="false" customFormat="false" customHeight="false" hidden="false" ht="12.1" outlineLevel="0" r="2170">
      <c r="A2170" s="3" t="s">
        <f>=HYPERLINK("https://mp39851918.megaplan.ua/deals/96030/card/","16032")</f>
      </c>
      <c r="B2170" s="3" t="inlineStr">
        <is>
          <t>113-8622065-9824200</t>
        </is>
      </c>
      <c r="C2170" s="3" t="inlineStr">
        <is>
          <t>RockyMountain</t>
        </is>
      </c>
    </row>
    <row collapsed="false" customFormat="false" customHeight="false" hidden="false" ht="12.1" outlineLevel="0" r="2171">
      <c r="A2171" s="3" t="s">
        <f>=HYPERLINK("https://mp39851918.megaplan.ua/deals/96031/card/","16033")</f>
      </c>
      <c r="B2171" s="3" t="inlineStr">
        <is>
          <t>114-4792099-8886650</t>
        </is>
      </c>
      <c r="C2171" s="3" t="inlineStr">
        <is>
          <t>RockyMountain</t>
        </is>
      </c>
    </row>
    <row collapsed="false" customFormat="false" customHeight="false" hidden="false" ht="12.1" outlineLevel="0" r="2172">
      <c r="A2172" s="3" t="s">
        <f>=HYPERLINK("https://mp39851918.megaplan.ua/deals/96083/card/","16049")</f>
      </c>
      <c r="B2172" s="3" t="inlineStr">
        <is>
          <t>114-4110968-2087443</t>
        </is>
      </c>
      <c r="C2172" s="3" t="inlineStr">
        <is>
          <t>TuckerRocky</t>
        </is>
      </c>
    </row>
    <row collapsed="false" customFormat="false" customHeight="false" hidden="false" ht="12.1" outlineLevel="0" r="2173">
      <c r="A2173" s="3" t="s">
        <f>=HYPERLINK("https://mp39851918.megaplan.ua/deals/96095/card/","16052")</f>
      </c>
      <c r="B2173" s="3" t="inlineStr">
        <is>
          <t>113-0481481-9501867</t>
        </is>
      </c>
      <c r="C2173" s="3" t="inlineStr">
        <is>
          <t>RockyMountain</t>
        </is>
      </c>
    </row>
    <row collapsed="false" customFormat="false" customHeight="false" hidden="false" ht="12.1" outlineLevel="0" r="2174">
      <c r="A2174" s="3" t="s">
        <f>=HYPERLINK("https://mp39851918.megaplan.ua/deals/96096/card/","16053")</f>
      </c>
      <c r="B2174" s="3" t="inlineStr">
        <is>
          <t>111-5649121-2717866</t>
        </is>
      </c>
      <c r="C2174" s="3" t="inlineStr">
        <is>
          <t>RockyMountain</t>
        </is>
      </c>
    </row>
    <row collapsed="false" customFormat="false" customHeight="false" hidden="false" ht="12.1" outlineLevel="0" r="2175">
      <c r="A2175" s="3" t="s">
        <f>=HYPERLINK("https://mp39851918.megaplan.ua/deals/96114/card/","16057")</f>
      </c>
      <c r="B2175" s="3" t="inlineStr">
        <is>
          <t>113-1390594-6885819</t>
        </is>
      </c>
      <c r="C2175" s="3" t="inlineStr">
        <is>
          <t>RockyMountain</t>
        </is>
      </c>
    </row>
    <row collapsed="false" customFormat="false" customHeight="false" hidden="false" ht="12.1" outlineLevel="0" r="2176">
      <c r="A2176" s="3" t="s">
        <f>=HYPERLINK("https://mp39851918.megaplan.ua/deals/96117/card/","16058")</f>
      </c>
      <c r="B2176" s="3" t="inlineStr">
        <is>
          <t>112-2818941-9396224</t>
        </is>
      </c>
      <c r="C2176" s="3" t="inlineStr">
        <is>
          <t>RockyMountain</t>
        </is>
      </c>
    </row>
    <row collapsed="false" customFormat="false" customHeight="false" hidden="false" ht="12.1" outlineLevel="0" r="2177">
      <c r="A2177" s="3" t="s">
        <f>=HYPERLINK("https://mp39851918.megaplan.ua/deals/96118/card/","16059")</f>
      </c>
      <c r="B2177" s="3" t="inlineStr">
        <is>
          <t>112-8083794-5525825</t>
        </is>
      </c>
      <c r="C2177" s="3" t="inlineStr">
        <is>
          <t>RockyMountain</t>
        </is>
      </c>
    </row>
    <row collapsed="false" customFormat="false" customHeight="false" hidden="false" ht="12.1" outlineLevel="0" r="2178">
      <c r="A2178" s="3" t="s">
        <f>=HYPERLINK("https://mp39851918.megaplan.ua/deals/96119/card/","16060")</f>
      </c>
      <c r="B2178" s="3" t="inlineStr">
        <is>
          <t>111-3168135-5654632</t>
        </is>
      </c>
      <c r="C2178" s="3" t="inlineStr">
        <is>
          <t>RockyMountain</t>
        </is>
      </c>
    </row>
    <row collapsed="false" customFormat="false" customHeight="false" hidden="false" ht="12.1" outlineLevel="0" r="2179">
      <c r="A2179" s="3" t="s">
        <f>=HYPERLINK("https://mp39851918.megaplan.ua/deals/96126/card/","16061")</f>
      </c>
      <c r="B2179" s="3" t="inlineStr">
        <is>
          <t>114-5259794-8276226</t>
        </is>
      </c>
      <c r="C2179" s="3" t="inlineStr">
        <is>
          <t>RockyMountain</t>
        </is>
      </c>
    </row>
    <row collapsed="false" customFormat="false" customHeight="false" hidden="false" ht="12.1" outlineLevel="0" r="2180">
      <c r="A2180" s="3" t="s">
        <f>=HYPERLINK("https://mp39851918.megaplan.ua/deals/96128/card/","16062")</f>
      </c>
      <c r="B2180" s="3" t="inlineStr">
        <is>
          <t>111-1989556-0501800</t>
        </is>
      </c>
      <c r="C2180" s="3" t="inlineStr">
        <is>
          <t>TuckerRocky</t>
        </is>
      </c>
    </row>
    <row collapsed="false" customFormat="false" customHeight="false" hidden="false" ht="12.1" outlineLevel="0" r="2181">
      <c r="A2181" s="3" t="s">
        <f>=HYPERLINK("https://mp39851918.megaplan.ua/deals/96137/card/","16063")</f>
      </c>
      <c r="B2181" s="3" t="inlineStr">
        <is>
          <t>113-7728171-5923458</t>
        </is>
      </c>
      <c r="C2181" s="3" t="inlineStr">
        <is>
          <t>PartsUnlimited</t>
        </is>
      </c>
    </row>
    <row collapsed="false" customFormat="false" customHeight="false" hidden="false" ht="12.1" outlineLevel="0" r="2182">
      <c r="A2182" s="3" t="s">
        <f>=HYPERLINK("https://mp39851918.megaplan.ua/deals/96146/card/","16065")</f>
      </c>
      <c r="B2182" s="3" t="inlineStr">
        <is>
          <t>112-6650665-0814610</t>
        </is>
      </c>
      <c r="C2182" s="3" t="inlineStr">
        <is>
          <t>RockyMountain</t>
        </is>
      </c>
    </row>
    <row collapsed="false" customFormat="false" customHeight="false" hidden="false" ht="12.1" outlineLevel="0" r="2183">
      <c r="A2183" s="3" t="s">
        <f>=HYPERLINK("https://mp39851918.megaplan.ua/deals/96157/card/","16066")</f>
      </c>
      <c r="B2183" s="3" t="inlineStr">
        <is>
          <t>114-8121075-2348241</t>
        </is>
      </c>
      <c r="C2183" s="3" t="inlineStr">
        <is>
          <t>TuckerRocky</t>
        </is>
      </c>
    </row>
    <row collapsed="false" customFormat="false" customHeight="false" hidden="false" ht="12.1" outlineLevel="0" r="2184">
      <c r="A2184" s="3" t="s">
        <f>=HYPERLINK("https://mp39851918.megaplan.ua/deals/96158/card/","16067")</f>
      </c>
      <c r="B2184" s="3" t="inlineStr">
        <is>
          <t>111-7185994-7409055</t>
        </is>
      </c>
      <c r="C2184" s="3" t="inlineStr">
        <is>
          <t>RockyMountain</t>
        </is>
      </c>
    </row>
    <row collapsed="false" customFormat="false" customHeight="false" hidden="false" ht="12.1" outlineLevel="0" r="2185">
      <c r="A2185" s="3" t="s">
        <f>=HYPERLINK("https://mp39851918.megaplan.ua/deals/96159/card/","16068")</f>
      </c>
      <c r="B2185" s="3" t="inlineStr">
        <is>
          <t>111-9505854-5917846</t>
        </is>
      </c>
      <c r="C2185" s="3" t="inlineStr">
        <is>
          <t>TuckerRocky</t>
        </is>
      </c>
    </row>
    <row collapsed="false" customFormat="false" customHeight="false" hidden="false" ht="12.1" outlineLevel="0" r="2186">
      <c r="A2186" s="3" t="s">
        <f>=HYPERLINK("https://mp39851918.megaplan.ua/deals/96167/card/","16069")</f>
      </c>
      <c r="B2186" s="3" t="inlineStr">
        <is>
          <t>114-1296076-0581829</t>
        </is>
      </c>
      <c r="C2186" s="3" t="inlineStr">
        <is>
          <t>RockyMountain</t>
        </is>
      </c>
    </row>
    <row collapsed="false" customFormat="false" customHeight="false" hidden="false" ht="12.1" outlineLevel="0" r="2187">
      <c r="A2187" s="3" t="s">
        <f>=HYPERLINK("https://mp39851918.megaplan.ua/deals/96168/card/","16070")</f>
      </c>
      <c r="B2187" s="3" t="inlineStr">
        <is>
          <t>113-9444460-3097054</t>
        </is>
      </c>
      <c r="C2187" s="3" t="inlineStr">
        <is>
          <t>Autodist</t>
        </is>
      </c>
    </row>
    <row collapsed="false" customFormat="false" customHeight="false" hidden="false" ht="12.1" outlineLevel="0" r="2188">
      <c r="A2188" s="3" t="s">
        <f>=HYPERLINK("https://mp39851918.megaplan.ua/deals/96181/card/","16071")</f>
      </c>
      <c r="B2188" s="3" t="inlineStr">
        <is>
          <t>111-6357170-2687422</t>
        </is>
      </c>
      <c r="C2188" s="3" t="inlineStr">
        <is>
          <t>Autodist</t>
        </is>
      </c>
    </row>
    <row collapsed="false" customFormat="false" customHeight="false" hidden="false" ht="12.1" outlineLevel="0" r="2189">
      <c r="A2189" s="3" t="s">
        <f>=HYPERLINK("https://mp39851918.megaplan.ua/deals/96184/card/","16072")</f>
      </c>
      <c r="B2189" s="3" t="inlineStr">
        <is>
          <t>113-6276879-2231425</t>
        </is>
      </c>
      <c r="C2189" s="3" t="inlineStr">
        <is>
          <t>TuckerRocky</t>
        </is>
      </c>
    </row>
    <row collapsed="false" customFormat="false" customHeight="false" hidden="false" ht="12.1" outlineLevel="0" r="2190">
      <c r="A2190" s="3" t="s">
        <f>=HYPERLINK("https://mp39851918.megaplan.ua/deals/96191/card/","16073")</f>
      </c>
      <c r="B2190" s="3" t="inlineStr">
        <is>
          <t>111-7906340-3801028</t>
        </is>
      </c>
      <c r="C2190" s="3" t="inlineStr">
        <is>
          <t>RockyMountain</t>
        </is>
      </c>
    </row>
    <row collapsed="false" customFormat="false" customHeight="false" hidden="false" ht="12.1" outlineLevel="0" r="2191">
      <c r="A2191" s="3" t="s">
        <f>=HYPERLINK("https://mp39851918.megaplan.ua/deals/96224/card/","16074")</f>
      </c>
      <c r="B2191" s="3" t="inlineStr">
        <is>
          <t>111-6951576-0742643</t>
        </is>
      </c>
      <c r="C2191" s="3" t="inlineStr">
        <is>
          <t>RockyMountain</t>
        </is>
      </c>
    </row>
    <row collapsed="false" customFormat="false" customHeight="false" hidden="false" ht="12.1" outlineLevel="0" r="2192">
      <c r="A2192" s="3" t="s">
        <f>=HYPERLINK("https://mp39851918.megaplan.ua/deals/96237/card/","16075")</f>
      </c>
      <c r="B2192" s="3" t="inlineStr">
        <is>
          <t>113-2240999-6961031</t>
        </is>
      </c>
      <c r="C2192" s="3" t="inlineStr">
        <is>
          <t>RockyMountain</t>
        </is>
      </c>
    </row>
    <row collapsed="false" customFormat="false" customHeight="false" hidden="false" ht="12.1" outlineLevel="0" r="2193">
      <c r="A2193" s="3" t="s">
        <f>=HYPERLINK("https://mp39851918.megaplan.ua/deals/96240/card/","16076")</f>
      </c>
      <c r="B2193" s="3" t="inlineStr">
        <is>
          <t>112-0741197-2910658</t>
        </is>
      </c>
      <c r="C2193" s="3" t="inlineStr">
        <is>
          <t>RockyMountain</t>
        </is>
      </c>
    </row>
    <row collapsed="false" customFormat="false" customHeight="false" hidden="false" ht="12.1" outlineLevel="0" r="2194">
      <c r="A2194" s="3" t="s">
        <f>=HYPERLINK("https://mp39851918.megaplan.ua/deals/96241/card/","16077")</f>
      </c>
      <c r="B2194" s="3" t="inlineStr">
        <is>
          <t>114-5341292-7421803</t>
        </is>
      </c>
      <c r="C2194" s="3" t="inlineStr">
        <is>
          <t>TuckerRocky</t>
        </is>
      </c>
    </row>
    <row collapsed="false" customFormat="false" customHeight="false" hidden="false" ht="12.1" outlineLevel="0" r="2195">
      <c r="A2195" s="3" t="s">
        <f>=HYPERLINK("https://mp39851918.megaplan.ua/deals/96242/card/","16078")</f>
      </c>
      <c r="B2195" s="3" t="inlineStr">
        <is>
          <t>114-8478578-8222625</t>
        </is>
      </c>
      <c r="C2195" s="3" t="inlineStr">
        <is>
          <t>TuckerRocky</t>
        </is>
      </c>
    </row>
    <row collapsed="false" customFormat="false" customHeight="false" hidden="false" ht="12.1" outlineLevel="0" r="2196">
      <c r="A2196" s="3" t="s">
        <f>=HYPERLINK("https://mp39851918.megaplan.ua/deals/96243/card/","16079")</f>
      </c>
      <c r="B2196" s="3" t="inlineStr">
        <is>
          <t>111-2411151-5632209</t>
        </is>
      </c>
      <c r="C2196" s="3" t="inlineStr">
        <is>
          <t>Autodist</t>
        </is>
      </c>
    </row>
    <row collapsed="false" customFormat="false" customHeight="false" hidden="false" ht="12.1" outlineLevel="0" r="2197">
      <c r="A2197" s="3" t="s">
        <f>=HYPERLINK("https://mp39851918.megaplan.ua/deals/96265/card/","16080")</f>
      </c>
      <c r="B2197" s="3" t="inlineStr">
        <is>
          <t>112-6639290-3275428</t>
        </is>
      </c>
      <c r="C2197" s="3" t="inlineStr">
        <is>
          <t>RockyMountain</t>
        </is>
      </c>
    </row>
    <row collapsed="false" customFormat="false" customHeight="false" hidden="false" ht="12.1" outlineLevel="0" r="2198">
      <c r="A2198" s="3" t="s">
        <f>=HYPERLINK("https://mp39851918.megaplan.ua/deals/96266/card/","16081")</f>
      </c>
      <c r="B2198" s="3" t="inlineStr">
        <is>
          <t>111-5306836-0895435</t>
        </is>
      </c>
      <c r="C2198" s="3" t="inlineStr">
        <is>
          <t>TuckerRocky</t>
        </is>
      </c>
    </row>
    <row collapsed="false" customFormat="false" customHeight="false" hidden="false" ht="12.1" outlineLevel="0" r="2199">
      <c r="A2199" s="3" t="s">
        <f>=HYPERLINK("https://mp39851918.megaplan.ua/deals/96267/card/","16082")</f>
      </c>
      <c r="B2199" s="3" t="inlineStr">
        <is>
          <t>112-2328138-4762625</t>
        </is>
      </c>
      <c r="C2199" s="3" t="inlineStr">
        <is>
          <t>Autodist</t>
        </is>
      </c>
    </row>
    <row collapsed="false" customFormat="false" customHeight="false" hidden="false" ht="12.1" outlineLevel="0" r="2200">
      <c r="A2200" s="3" t="s">
        <f>=HYPERLINK("https://mp39851918.megaplan.ua/deals/96286/card/","16084")</f>
      </c>
      <c r="B2200" s="3" t="inlineStr">
        <is>
          <t>112-4270822-0341863</t>
        </is>
      </c>
      <c r="C2200" s="3" t="inlineStr">
        <is>
          <t>RockyMountain</t>
        </is>
      </c>
    </row>
    <row collapsed="false" customFormat="false" customHeight="false" hidden="false" ht="12.1" outlineLevel="0" r="2201">
      <c r="A2201" s="3" t="s">
        <f>=HYPERLINK("https://mp39851918.megaplan.ua/deals/96287/card/","16085")</f>
      </c>
      <c r="B2201" s="3" t="inlineStr">
        <is>
          <t>112-5520610-9836261</t>
        </is>
      </c>
      <c r="C2201" s="3" t="inlineStr">
        <is>
          <t>RockyMountain</t>
        </is>
      </c>
    </row>
    <row collapsed="false" customFormat="false" customHeight="false" hidden="false" ht="12.1" outlineLevel="0" r="2202">
      <c r="A2202" s="3" t="s">
        <f>=HYPERLINK("https://mp39851918.megaplan.ua/deals/96314/card/","16086")</f>
      </c>
      <c r="B2202" s="3" t="inlineStr">
        <is>
          <t>113-7127036-1929821</t>
        </is>
      </c>
      <c r="C2202" s="3" t="inlineStr">
        <is>
          <t>RockyMountain</t>
        </is>
      </c>
    </row>
    <row collapsed="false" customFormat="false" customHeight="false" hidden="false" ht="12.1" outlineLevel="0" r="2203">
      <c r="A2203" s="3" t="s">
        <f>=HYPERLINK("https://mp39851918.megaplan.ua/deals/96331/card/","16087")</f>
      </c>
      <c r="B2203" s="3" t="inlineStr">
        <is>
          <t>114-4446907-6360221</t>
        </is>
      </c>
      <c r="C2203" s="3" t="inlineStr">
        <is>
          <t>RockyMountain</t>
        </is>
      </c>
    </row>
    <row collapsed="false" customFormat="false" customHeight="false" hidden="false" ht="12.1" outlineLevel="0" r="2204">
      <c r="A2204" s="3" t="s">
        <f>=HYPERLINK("https://mp39851918.megaplan.ua/deals/96377/card/","16090")</f>
      </c>
      <c r="B2204" s="3" t="inlineStr">
        <is>
          <t>111-2142721-4961802</t>
        </is>
      </c>
      <c r="C2204" s="3" t="inlineStr">
        <is>
          <t>RockyMountain</t>
        </is>
      </c>
    </row>
    <row collapsed="false" customFormat="false" customHeight="false" hidden="false" ht="12.1" outlineLevel="0" r="2205">
      <c r="A2205" s="3" t="s">
        <f>=HYPERLINK("https://mp39851918.megaplan.ua/deals/96379/card/","16091")</f>
      </c>
      <c r="B2205" s="3" t="inlineStr">
        <is>
          <t>113-5686430-4673862</t>
        </is>
      </c>
      <c r="C2205" s="3" t="inlineStr">
        <is>
          <t>Autodist</t>
        </is>
      </c>
    </row>
    <row collapsed="false" customFormat="false" customHeight="false" hidden="false" ht="12.1" outlineLevel="0" r="2206">
      <c r="A2206" s="3" t="s">
        <f>=HYPERLINK("https://mp39851918.megaplan.ua/deals/96383/card/","16092")</f>
      </c>
      <c r="B2206" s="3" t="inlineStr">
        <is>
          <t>112-3011521-0203444</t>
        </is>
      </c>
      <c r="C2206" s="3" t="inlineStr">
        <is>
          <t>RockyMountain</t>
        </is>
      </c>
    </row>
    <row collapsed="false" customFormat="false" customHeight="false" hidden="false" ht="12.1" outlineLevel="0" r="2207">
      <c r="A2207" s="3" t="s">
        <f>=HYPERLINK("https://mp39851918.megaplan.ua/deals/96404/card/","16093")</f>
      </c>
      <c r="B2207" s="3" t="inlineStr">
        <is>
          <t>111-0657594-8782650</t>
        </is>
      </c>
      <c r="C2207" s="3" t="inlineStr">
        <is>
          <t>TuckerRocky</t>
        </is>
      </c>
    </row>
    <row collapsed="false" customFormat="false" customHeight="false" hidden="false" ht="12.1" outlineLevel="0" r="2208">
      <c r="A2208" s="3" t="s">
        <f>=HYPERLINK("https://mp39851918.megaplan.ua/deals/96406/card/","16094")</f>
      </c>
      <c r="B2208" s="3" t="inlineStr">
        <is>
          <t>113-7574279-9916205</t>
        </is>
      </c>
      <c r="C2208" s="3" t="inlineStr">
        <is>
          <t>PartsUnlimited</t>
        </is>
      </c>
    </row>
    <row collapsed="false" customFormat="false" customHeight="false" hidden="false" ht="12.1" outlineLevel="0" r="2209">
      <c r="A2209" s="3" t="s">
        <f>=HYPERLINK("https://mp39851918.megaplan.ua/deals/96426/card/","16095")</f>
      </c>
      <c r="B2209" s="3" t="inlineStr">
        <is>
          <t>112-1492897-7182615</t>
        </is>
      </c>
      <c r="C2209" s="3" t="inlineStr">
        <is>
          <t>Autodist</t>
        </is>
      </c>
    </row>
    <row collapsed="false" customFormat="false" customHeight="false" hidden="false" ht="12.1" outlineLevel="0" r="2210">
      <c r="A2210" s="3" t="s">
        <f>=HYPERLINK("https://mp39851918.megaplan.ua/deals/96446/card/","16096")</f>
      </c>
      <c r="B2210" s="3" t="inlineStr">
        <is>
          <t>113-8047547-3897809</t>
        </is>
      </c>
      <c r="C2210" s="3" t="inlineStr">
        <is>
          <t>TuckerRocky</t>
        </is>
      </c>
    </row>
    <row collapsed="false" customFormat="false" customHeight="false" hidden="false" ht="12.1" outlineLevel="0" r="2211">
      <c r="A2211" s="3" t="s">
        <f>=HYPERLINK("https://mp39851918.megaplan.ua/deals/96453/card/","16097")</f>
      </c>
      <c r="B2211" s="3" t="inlineStr">
        <is>
          <t>111-6687687-6617042</t>
        </is>
      </c>
      <c r="C2211" s="3" t="inlineStr">
        <is>
          <t>RockyMountain</t>
        </is>
      </c>
    </row>
    <row collapsed="false" customFormat="false" customHeight="false" hidden="false" ht="12.1" outlineLevel="0" r="2212">
      <c r="A2212" s="3" t="s">
        <f>=HYPERLINK("https://mp39851918.megaplan.ua/deals/96565/card/","16112")</f>
      </c>
      <c r="B2212" s="3" t="inlineStr">
        <is>
          <t>113-2171082-9581844</t>
        </is>
      </c>
      <c r="C2212" s="3" t="inlineStr">
        <is>
          <t>RockyMountain</t>
        </is>
      </c>
    </row>
    <row collapsed="false" customFormat="false" customHeight="false" hidden="false" ht="12.1" outlineLevel="0" r="2213">
      <c r="A2213" s="3" t="s">
        <f>=HYPERLINK("https://mp39851918.megaplan.ua/deals/96572/card/","16113")</f>
      </c>
      <c r="B2213" s="3" t="inlineStr">
        <is>
          <t>113-3313802-5677803</t>
        </is>
      </c>
      <c r="C2213" s="3" t="inlineStr">
        <is>
          <t>RockyMountain</t>
        </is>
      </c>
    </row>
    <row collapsed="false" customFormat="false" customHeight="false" hidden="false" ht="12.1" outlineLevel="0" r="2214">
      <c r="A2214" s="3" t="s">
        <f>=HYPERLINK("https://mp39851918.megaplan.ua/deals/96579/card/","16114")</f>
      </c>
      <c r="B2214" s="3" t="inlineStr">
        <is>
          <t>112-2328521-4554622</t>
        </is>
      </c>
      <c r="C2214" s="3" t="inlineStr">
        <is>
          <t>RockyMountain</t>
        </is>
      </c>
    </row>
    <row collapsed="false" customFormat="false" customHeight="false" hidden="false" ht="12.1" outlineLevel="0" r="2215">
      <c r="A2215" s="3" t="s">
        <f>=HYPERLINK("https://mp39851918.megaplan.ua/deals/96586/card/","16117")</f>
      </c>
      <c r="B2215" s="3" t="inlineStr">
        <is>
          <t>113-9022675-4725018</t>
        </is>
      </c>
      <c r="C2215" s="3" t="inlineStr">
        <is>
          <t>Autodist</t>
        </is>
      </c>
    </row>
    <row collapsed="false" customFormat="false" customHeight="false" hidden="false" ht="12.1" outlineLevel="0" r="2216">
      <c r="A2216" s="3" t="s">
        <f>=HYPERLINK("https://mp39851918.megaplan.ua/deals/96590/card/","16118")</f>
      </c>
      <c r="B2216" s="3" t="inlineStr">
        <is>
          <t>113-1064499-1541067</t>
        </is>
      </c>
      <c r="C2216" s="3" t="inlineStr">
        <is>
          <t>PartsUnlimited</t>
        </is>
      </c>
    </row>
    <row collapsed="false" customFormat="false" customHeight="false" hidden="false" ht="12.1" outlineLevel="0" r="2217">
      <c r="A2217" s="3" t="s">
        <f>=HYPERLINK("https://mp39851918.megaplan.ua/deals/96596/card/","16121")</f>
      </c>
      <c r="B2217" s="3" t="inlineStr">
        <is>
          <t>111-3276152-4362648</t>
        </is>
      </c>
      <c r="C2217" s="3" t="inlineStr">
        <is>
          <t>RockyMountain</t>
        </is>
      </c>
    </row>
    <row collapsed="false" customFormat="false" customHeight="false" hidden="false" ht="12.1" outlineLevel="0" r="2218">
      <c r="A2218" s="3" t="s">
        <f>=HYPERLINK("https://mp39851918.megaplan.ua/deals/96622/card/","16131")</f>
      </c>
      <c r="B2218" s="3" t="inlineStr">
        <is>
          <t>114-6648591-6065040</t>
        </is>
      </c>
      <c r="C2218" s="3" t="inlineStr">
        <is>
          <t>Autodist</t>
        </is>
      </c>
    </row>
    <row collapsed="false" customFormat="false" customHeight="false" hidden="false" ht="12.1" outlineLevel="0" r="2219">
      <c r="A2219" s="3" t="s">
        <f>=HYPERLINK("https://mp39851918.megaplan.ua/deals/96629/card/","16132")</f>
      </c>
      <c r="B2219" s="3" t="inlineStr">
        <is>
          <t>112-8836974-1880201</t>
        </is>
      </c>
      <c r="C2219" s="3" t="inlineStr">
        <is>
          <t>RockyMountain</t>
        </is>
      </c>
    </row>
    <row collapsed="false" customFormat="false" customHeight="false" hidden="false" ht="12.1" outlineLevel="0" r="2220">
      <c r="A2220" s="3" t="s">
        <f>=HYPERLINK("https://mp39851918.megaplan.ua/deals/96630/card/","16133")</f>
      </c>
      <c r="B2220" s="3" t="inlineStr">
        <is>
          <t>112-6691827-1335406</t>
        </is>
      </c>
      <c r="C2220" s="3" t="inlineStr">
        <is>
          <t>RockyMountain</t>
        </is>
      </c>
    </row>
    <row collapsed="false" customFormat="false" customHeight="false" hidden="false" ht="12.1" outlineLevel="0" r="2221">
      <c r="A2221" s="3" t="s">
        <f>=HYPERLINK("https://mp39851918.megaplan.ua/deals/96632/card/","16134")</f>
      </c>
      <c r="B2221" s="3" t="inlineStr">
        <is>
          <t>112-0927111-9161802</t>
        </is>
      </c>
      <c r="C2221" s="3" t="inlineStr">
        <is>
          <t>RockyMountain</t>
        </is>
      </c>
    </row>
    <row collapsed="false" customFormat="false" customHeight="false" hidden="false" ht="12.1" outlineLevel="0" r="2222">
      <c r="A2222" s="3" t="s">
        <f>=HYPERLINK("https://mp39851918.megaplan.ua/deals/96647/card/","16135")</f>
      </c>
      <c r="B2222" s="3" t="inlineStr">
        <is>
          <t>114-7759526-7202653</t>
        </is>
      </c>
      <c r="C2222" s="3" t="inlineStr">
        <is>
          <t>RockyMountain</t>
        </is>
      </c>
    </row>
    <row collapsed="false" customFormat="false" customHeight="false" hidden="false" ht="12.1" outlineLevel="0" r="2223">
      <c r="A2223" s="3" t="s">
        <f>=HYPERLINK("https://mp39851918.megaplan.ua/deals/96651/card/","16136")</f>
      </c>
      <c r="B2223" s="3" t="inlineStr">
        <is>
          <t>111-8536687-4251467</t>
        </is>
      </c>
      <c r="C2223" s="3" t="inlineStr">
        <is>
          <t>RockyMountain</t>
        </is>
      </c>
    </row>
    <row collapsed="false" customFormat="false" customHeight="false" hidden="false" ht="12.1" outlineLevel="0" r="2224">
      <c r="A2224" s="3" t="s">
        <f>=HYPERLINK("https://mp39851918.megaplan.ua/deals/96653/card/","16137")</f>
      </c>
      <c r="B2224" s="3" t="inlineStr">
        <is>
          <t>114-0018258-9825806</t>
        </is>
      </c>
      <c r="C2224" s="3" t="inlineStr">
        <is>
          <t>RockyMountain</t>
        </is>
      </c>
    </row>
    <row collapsed="false" customFormat="false" customHeight="false" hidden="false" ht="12.1" outlineLevel="0" r="2225">
      <c r="A2225" s="3" t="s">
        <f>=HYPERLINK("https://mp39851918.megaplan.ua/deals/96657/card/","16138")</f>
      </c>
      <c r="B2225" s="3" t="inlineStr">
        <is>
          <t>114-0221936-1141829</t>
        </is>
      </c>
      <c r="C2225" s="3" t="inlineStr">
        <is>
          <t>TuckerRocky</t>
        </is>
      </c>
    </row>
    <row collapsed="false" customFormat="false" customHeight="false" hidden="false" ht="12.1" outlineLevel="0" r="2226">
      <c r="A2226" s="3" t="s">
        <f>=HYPERLINK("https://mp39851918.megaplan.ua/deals/96669/card/","16139")</f>
      </c>
      <c r="B2226" s="3" t="inlineStr">
        <is>
          <t>111-6052028-0156230</t>
        </is>
      </c>
      <c r="C2226" s="3" t="inlineStr">
        <is>
          <t>RockyMountain</t>
        </is>
      </c>
    </row>
    <row collapsed="false" customFormat="false" customHeight="false" hidden="false" ht="12.1" outlineLevel="0" r="2227">
      <c r="A2227" s="3" t="s">
        <f>=HYPERLINK("https://mp39851918.megaplan.ua/deals/96670/card/","16140")</f>
      </c>
      <c r="B2227" s="3" t="inlineStr">
        <is>
          <t>114-8275140-7485865</t>
        </is>
      </c>
      <c r="C2227" s="3" t="inlineStr">
        <is>
          <t>TuckerRocky</t>
        </is>
      </c>
    </row>
    <row collapsed="false" customFormat="false" customHeight="false" hidden="false" ht="12.1" outlineLevel="0" r="2228">
      <c r="A2228" s="3" t="s">
        <f>=HYPERLINK("https://mp39851918.megaplan.ua/deals/96687/card/","16143")</f>
      </c>
      <c r="B2228" s="3" t="inlineStr">
        <is>
          <t>111-5243463-6458665</t>
        </is>
      </c>
      <c r="C2228" s="3" t="inlineStr">
        <is>
          <t>RockyMountain</t>
        </is>
      </c>
    </row>
    <row collapsed="false" customFormat="false" customHeight="false" hidden="false" ht="12.1" outlineLevel="0" r="2229">
      <c r="A2229" s="3" t="s">
        <f>=HYPERLINK("https://mp39851918.megaplan.ua/deals/96695/card/","16144")</f>
      </c>
      <c r="B2229" s="3" t="inlineStr">
        <is>
          <t>114-1022477-5461853</t>
        </is>
      </c>
      <c r="C2229" s="3" t="inlineStr">
        <is>
          <t>RockyMountain</t>
        </is>
      </c>
    </row>
    <row collapsed="false" customFormat="false" customHeight="false" hidden="false" ht="12.1" outlineLevel="0" r="2230">
      <c r="A2230" s="3" t="s">
        <f>=HYPERLINK("https://mp39851918.megaplan.ua/deals/96696/card/","16145")</f>
      </c>
      <c r="B2230" s="3" t="inlineStr">
        <is>
          <t>112-8267485-7283410</t>
        </is>
      </c>
      <c r="C2230" s="3" t="inlineStr">
        <is>
          <t>RockyMountain</t>
        </is>
      </c>
    </row>
    <row collapsed="false" customFormat="false" customHeight="false" hidden="false" ht="12.1" outlineLevel="0" r="2231">
      <c r="A2231" s="3" t="s">
        <f>=HYPERLINK("https://mp39851918.megaplan.ua/deals/96697/card/","16146")</f>
      </c>
      <c r="B2231" s="3" t="inlineStr">
        <is>
          <t>114-1705201-2466665</t>
        </is>
      </c>
      <c r="C2231" s="3" t="inlineStr">
        <is>
          <t>TuckerRocky</t>
        </is>
      </c>
    </row>
    <row collapsed="false" customFormat="false" customHeight="false" hidden="false" ht="12.1" outlineLevel="0" r="2232">
      <c r="A2232" s="3" t="s">
        <f>=HYPERLINK("https://mp39851918.megaplan.ua/deals/96702/card/","16149")</f>
      </c>
      <c r="B2232" s="3" t="inlineStr">
        <is>
          <t>111-7019113-0434625</t>
        </is>
      </c>
      <c r="C2232" s="3" t="inlineStr">
        <is>
          <t>RockyMountain</t>
        </is>
      </c>
    </row>
    <row collapsed="false" customFormat="false" customHeight="false" hidden="false" ht="12.1" outlineLevel="0" r="2233">
      <c r="A2233" s="3" t="s">
        <f>=HYPERLINK("https://mp39851918.megaplan.ua/deals/96704/card/","16150")</f>
      </c>
      <c r="B2233" s="3" t="inlineStr">
        <is>
          <t>112-4641435-9247415</t>
        </is>
      </c>
      <c r="C2233" s="3" t="inlineStr">
        <is>
          <t>PartsUnlimited</t>
        </is>
      </c>
    </row>
    <row collapsed="false" customFormat="false" customHeight="false" hidden="false" ht="12.1" outlineLevel="0" r="2234">
      <c r="A2234" s="3" t="s">
        <f>=HYPERLINK("https://mp39851918.megaplan.ua/deals/96708/card/","16151")</f>
      </c>
      <c r="B2234" s="3" t="inlineStr">
        <is>
          <t>112-0947257-5206600</t>
        </is>
      </c>
      <c r="C2234" s="3" t="inlineStr">
        <is>
          <t>RockyMountain</t>
        </is>
      </c>
    </row>
    <row collapsed="false" customFormat="false" customHeight="false" hidden="false" ht="12.1" outlineLevel="0" r="2235">
      <c r="A2235" s="3" t="s">
        <f>=HYPERLINK("https://mp39851918.megaplan.ua/deals/96722/card/","16152")</f>
      </c>
      <c r="B2235" s="3" t="inlineStr">
        <is>
          <t>114-5365713-8407449</t>
        </is>
      </c>
      <c r="C2235" s="3" t="inlineStr">
        <is>
          <t>Autodist</t>
        </is>
      </c>
    </row>
    <row collapsed="false" customFormat="false" customHeight="false" hidden="false" ht="12.1" outlineLevel="0" r="2236">
      <c r="A2236" s="3" t="s">
        <f>=HYPERLINK("https://mp39851918.megaplan.ua/deals/96732/card/","16153")</f>
      </c>
      <c r="B2236" s="3" t="inlineStr">
        <is>
          <t>114-9593797-7942638</t>
        </is>
      </c>
      <c r="C2236" s="3" t="inlineStr">
        <is>
          <t>Autodist</t>
        </is>
      </c>
    </row>
    <row collapsed="false" customFormat="false" customHeight="false" hidden="false" ht="12.1" outlineLevel="0" r="2237">
      <c r="A2237" s="3" t="s">
        <f>=HYPERLINK("https://mp39851918.megaplan.ua/deals/96741/card/","16155")</f>
      </c>
      <c r="B2237" s="3" t="inlineStr">
        <is>
          <t>112-3104812-9350613</t>
        </is>
      </c>
      <c r="C2237" s="3" t="inlineStr">
        <is>
          <t>RockyMountain</t>
        </is>
      </c>
    </row>
    <row collapsed="false" customFormat="false" customHeight="false" hidden="false" ht="12.1" outlineLevel="0" r="2238">
      <c r="A2238" s="3" t="s">
        <f>=HYPERLINK("https://mp39851918.megaplan.ua/deals/96742/card/","16156")</f>
      </c>
      <c r="B2238" s="3" t="inlineStr">
        <is>
          <t>111-2943782-2106613</t>
        </is>
      </c>
      <c r="C2238" s="3" t="inlineStr">
        <is>
          <t>RockyMountain</t>
        </is>
      </c>
    </row>
    <row collapsed="false" customFormat="false" customHeight="false" hidden="false" ht="12.1" outlineLevel="0" r="2239">
      <c r="A2239" s="3" t="s">
        <f>=HYPERLINK("https://mp39851918.megaplan.ua/deals/96743/card/","16157")</f>
      </c>
      <c r="B2239" s="3" t="inlineStr">
        <is>
          <t>111-8488576-0637063</t>
        </is>
      </c>
      <c r="C2239" s="3" t="inlineStr">
        <is>
          <t>RockyMountain</t>
        </is>
      </c>
    </row>
    <row collapsed="false" customFormat="false" customHeight="false" hidden="false" ht="12.1" outlineLevel="0" r="2240">
      <c r="A2240" s="3" t="s">
        <f>=HYPERLINK("https://mp39851918.megaplan.ua/deals/96744/card/","16158")</f>
      </c>
      <c r="B2240" s="3" t="inlineStr">
        <is>
          <t>112-6892564-2646618</t>
        </is>
      </c>
      <c r="C2240" s="3" t="inlineStr">
        <is>
          <t>TuckerRocky</t>
        </is>
      </c>
    </row>
    <row collapsed="false" customFormat="false" customHeight="false" hidden="false" ht="12.1" outlineLevel="0" r="2241">
      <c r="A2241" s="3" t="s">
        <f>=HYPERLINK("https://mp39851918.megaplan.ua/deals/96745/card/","16159")</f>
      </c>
      <c r="B2241" s="3" t="inlineStr">
        <is>
          <t>114-1901562-9721018</t>
        </is>
      </c>
      <c r="C2241" s="3" t="inlineStr">
        <is>
          <t>TuckerRocky</t>
        </is>
      </c>
    </row>
    <row collapsed="false" customFormat="false" customHeight="false" hidden="false" ht="12.1" outlineLevel="0" r="2242">
      <c r="A2242" s="3" t="s">
        <f>=HYPERLINK("https://mp39851918.megaplan.ua/deals/96756/card/","16160")</f>
      </c>
      <c r="B2242" s="3" t="inlineStr">
        <is>
          <t>114-1442866-3494666</t>
        </is>
      </c>
      <c r="C2242" s="3" t="inlineStr">
        <is>
          <t>Autodist</t>
        </is>
      </c>
    </row>
    <row collapsed="false" customFormat="false" customHeight="false" hidden="false" ht="12.1" outlineLevel="0" r="2243">
      <c r="A2243" s="3" t="s">
        <f>=HYPERLINK("https://mp39851918.megaplan.ua/deals/96764/card/","16162")</f>
      </c>
      <c r="B2243" s="3" t="inlineStr">
        <is>
          <t>114-0588283-0877839</t>
        </is>
      </c>
      <c r="C2243" s="3" t="inlineStr">
        <is>
          <t>Autodist</t>
        </is>
      </c>
    </row>
    <row collapsed="false" customFormat="false" customHeight="false" hidden="false" ht="12.1" outlineLevel="0" r="2244">
      <c r="A2244" s="3" t="s">
        <f>=HYPERLINK("https://mp39851918.megaplan.ua/deals/96766/card/","16163")</f>
      </c>
      <c r="B2244" s="3" t="inlineStr">
        <is>
          <t>111-3839176-1313048</t>
        </is>
      </c>
      <c r="C2244" s="3" t="inlineStr">
        <is>
          <t>TuckerRocky</t>
        </is>
      </c>
    </row>
    <row collapsed="false" customFormat="false" customHeight="false" hidden="false" ht="12.1" outlineLevel="0" r="2245">
      <c r="A2245" s="3" t="s">
        <f>=HYPERLINK("https://mp39851918.megaplan.ua/deals/96775/card/","16165")</f>
      </c>
      <c r="B2245" s="3" t="inlineStr">
        <is>
          <t>113-5836051-5038611</t>
        </is>
      </c>
      <c r="C2245" s="3" t="inlineStr">
        <is>
          <t>Autodist</t>
        </is>
      </c>
    </row>
    <row collapsed="false" customFormat="false" customHeight="false" hidden="false" ht="12.1" outlineLevel="0" r="2246">
      <c r="A2246" s="3" t="s">
        <f>=HYPERLINK("https://mp39851918.megaplan.ua/deals/96787/card/","16167")</f>
      </c>
      <c r="B2246" s="3" t="inlineStr">
        <is>
          <t>111-0335214-6140203</t>
        </is>
      </c>
      <c r="C2246" s="3" t="inlineStr">
        <is>
          <t>PartsUnlimited</t>
        </is>
      </c>
    </row>
    <row collapsed="false" customFormat="false" customHeight="false" hidden="false" ht="12.1" outlineLevel="0" r="2247">
      <c r="A2247" s="3" t="s">
        <f>=HYPERLINK("https://mp39851918.megaplan.ua/deals/96798/card/","16169")</f>
      </c>
      <c r="B2247" s="3" t="inlineStr">
        <is>
          <t>113-9410395-6003406</t>
        </is>
      </c>
      <c r="C2247" s="3" t="inlineStr">
        <is>
          <t>Autodist</t>
        </is>
      </c>
    </row>
    <row collapsed="false" customFormat="false" customHeight="false" hidden="false" ht="12.1" outlineLevel="0" r="2248">
      <c r="A2248" s="3" t="s">
        <f>=HYPERLINK("https://mp39851918.megaplan.ua/deals/96804/card/","16170")</f>
      </c>
      <c r="B2248" s="3" t="inlineStr">
        <is>
          <t>114-9629238-1265000</t>
        </is>
      </c>
      <c r="C2248" s="3" t="inlineStr">
        <is>
          <t>PartsUnlimited</t>
        </is>
      </c>
    </row>
    <row collapsed="false" customFormat="false" customHeight="false" hidden="false" ht="12.1" outlineLevel="0" r="2249">
      <c r="A2249" s="3" t="s">
        <f>=HYPERLINK("https://mp39851918.megaplan.ua/deals/96806/card/","16171")</f>
      </c>
      <c r="B2249" s="3" t="inlineStr">
        <is>
          <t>114-5422916-0292250</t>
        </is>
      </c>
      <c r="C2249" s="3" t="inlineStr">
        <is>
          <t>RockyMountain</t>
        </is>
      </c>
    </row>
    <row collapsed="false" customFormat="false" customHeight="false" hidden="false" ht="12.1" outlineLevel="0" r="2250">
      <c r="A2250" s="3" t="s">
        <f>=HYPERLINK("https://mp39851918.megaplan.ua/deals/96807/card/","16172")</f>
      </c>
      <c r="B2250" s="3" t="inlineStr">
        <is>
          <t>113-5495592-4073036</t>
        </is>
      </c>
      <c r="C2250" s="3" t="inlineStr">
        <is>
          <t>Autodist</t>
        </is>
      </c>
    </row>
    <row collapsed="false" customFormat="false" customHeight="false" hidden="false" ht="12.1" outlineLevel="0" r="2251">
      <c r="A2251" s="3" t="s">
        <f>=HYPERLINK("https://mp39851918.megaplan.ua/deals/96826/card/","16173")</f>
      </c>
      <c r="B2251" s="3" t="inlineStr">
        <is>
          <t>112-0469356-5916251</t>
        </is>
      </c>
      <c r="C2251" s="3" t="inlineStr">
        <is>
          <t>TuckerRocky</t>
        </is>
      </c>
    </row>
    <row collapsed="false" customFormat="false" customHeight="false" hidden="false" ht="12.1" outlineLevel="0" r="2252">
      <c r="A2252" s="3" t="s">
        <f>=HYPERLINK("https://mp39851918.megaplan.ua/deals/96850/card/","16176")</f>
      </c>
      <c r="B2252" s="3" t="inlineStr">
        <is>
          <t>113-6542818-2851464</t>
        </is>
      </c>
      <c r="C2252" s="3" t="inlineStr">
        <is>
          <t>RockyMountain</t>
        </is>
      </c>
    </row>
    <row collapsed="false" customFormat="false" customHeight="false" hidden="false" ht="12.1" outlineLevel="0" r="2253">
      <c r="A2253" s="3" t="s">
        <f>=HYPERLINK("https://mp39851918.megaplan.ua/deals/96862/card/","16177")</f>
      </c>
      <c r="B2253" s="3" t="inlineStr">
        <is>
          <t>111-5979053-5002653</t>
        </is>
      </c>
      <c r="C2253" s="3" t="inlineStr">
        <is>
          <t>Autodist</t>
        </is>
      </c>
    </row>
    <row collapsed="false" customFormat="false" customHeight="false" hidden="false" ht="12.1" outlineLevel="0" r="2254">
      <c r="A2254" s="3" t="s">
        <f>=HYPERLINK("https://mp39851918.megaplan.ua/deals/96895/card/","16180")</f>
      </c>
      <c r="B2254" s="3" t="inlineStr">
        <is>
          <t>113-7132160-9361001</t>
        </is>
      </c>
      <c r="C2254" s="3" t="inlineStr">
        <is>
          <t>Autodist</t>
        </is>
      </c>
    </row>
    <row collapsed="false" customFormat="false" customHeight="false" hidden="false" ht="12.1" outlineLevel="0" r="2255">
      <c r="A2255" s="3" t="s">
        <f>=HYPERLINK("https://mp39851918.megaplan.ua/deals/96896/card/","16181")</f>
      </c>
      <c r="B2255" s="3" t="inlineStr">
        <is>
          <t>112-8546143-5617843</t>
        </is>
      </c>
      <c r="C2255" s="3" t="inlineStr">
        <is>
          <t>RockyMountain</t>
        </is>
      </c>
    </row>
    <row collapsed="false" customFormat="false" customHeight="false" hidden="false" ht="12.1" outlineLevel="0" r="2256">
      <c r="A2256" s="3" t="s">
        <f>=HYPERLINK("https://mp39851918.megaplan.ua/deals/96913/card/","16182")</f>
      </c>
      <c r="B2256" s="3" t="inlineStr">
        <is>
          <t>113-5412394-8839434</t>
        </is>
      </c>
      <c r="C2256" s="3" t="inlineStr">
        <is>
          <t>TuckerRocky</t>
        </is>
      </c>
    </row>
    <row collapsed="false" customFormat="false" customHeight="false" hidden="false" ht="12.1" outlineLevel="0" r="2257">
      <c r="A2257" s="3" t="s">
        <f>=HYPERLINK("https://mp39851918.megaplan.ua/deals/96920/card/","16184")</f>
      </c>
      <c r="B2257" s="3" t="inlineStr">
        <is>
          <t>114-6998510-1414645</t>
        </is>
      </c>
      <c r="C2257" s="3" t="inlineStr">
        <is>
          <t>RockyMountain</t>
        </is>
      </c>
    </row>
    <row collapsed="false" customFormat="false" customHeight="false" hidden="false" ht="12.1" outlineLevel="0" r="2258">
      <c r="A2258" s="3" t="s">
        <f>=HYPERLINK("https://mp39851918.megaplan.ua/deals/96929/card/","16185")</f>
      </c>
      <c r="B2258" s="3" t="inlineStr">
        <is>
          <t>113-7204988-8053858</t>
        </is>
      </c>
      <c r="C2258" s="3" t="inlineStr">
        <is>
          <t>RockyMountain</t>
        </is>
      </c>
    </row>
    <row collapsed="false" customFormat="false" customHeight="false" hidden="false" ht="12.1" outlineLevel="0" r="2259">
      <c r="A2259" s="3" t="s">
        <f>=HYPERLINK("https://mp39851918.megaplan.ua/deals/96947/card/","16187")</f>
      </c>
      <c r="B2259" s="3" t="inlineStr">
        <is>
          <t>113-1753339-8590645</t>
        </is>
      </c>
      <c r="C2259" s="3" t="inlineStr">
        <is>
          <t>RockyMountain</t>
        </is>
      </c>
    </row>
    <row collapsed="false" customFormat="false" customHeight="false" hidden="false" ht="12.1" outlineLevel="0" r="2260">
      <c r="A2260" s="3" t="s">
        <f>=HYPERLINK("https://mp39851918.megaplan.ua/deals/96948/card/","16188")</f>
      </c>
      <c r="B2260" s="3" t="inlineStr">
        <is>
          <t>113-1481590-3380269</t>
        </is>
      </c>
      <c r="C2260" s="3" t="inlineStr">
        <is>
          <t>Autodist</t>
        </is>
      </c>
    </row>
    <row collapsed="false" customFormat="false" customHeight="false" hidden="false" ht="12.1" outlineLevel="0" r="2261">
      <c r="A2261" s="3" t="s">
        <f>=HYPERLINK("https://mp39851918.megaplan.ua/deals/96957/card/","16189")</f>
      </c>
      <c r="B2261" s="3" t="inlineStr">
        <is>
          <t>114-3365076-6781860</t>
        </is>
      </c>
      <c r="C2261" s="3" t="inlineStr">
        <is>
          <t>Autodist</t>
        </is>
      </c>
    </row>
    <row collapsed="false" customFormat="false" customHeight="false" hidden="false" ht="12.1" outlineLevel="0" r="2262">
      <c r="A2262" s="3" t="s">
        <f>=HYPERLINK("https://mp39851918.megaplan.ua/deals/96987/card/","16191")</f>
      </c>
      <c r="B2262" s="3" t="inlineStr">
        <is>
          <t>113-6853141-4133844</t>
        </is>
      </c>
      <c r="C2262" s="3" t="inlineStr">
        <is>
          <t>Autodist</t>
        </is>
      </c>
    </row>
    <row collapsed="false" customFormat="false" customHeight="false" hidden="false" ht="12.1" outlineLevel="0" r="2263">
      <c r="A2263" s="3" t="s">
        <f>=HYPERLINK("https://mp39851918.megaplan.ua/deals/96998/card/","16192")</f>
      </c>
      <c r="B2263" s="3" t="inlineStr">
        <is>
          <t>114-1685841-0441844</t>
        </is>
      </c>
      <c r="C2263" s="3" t="inlineStr">
        <is>
          <t>Autodist</t>
        </is>
      </c>
    </row>
    <row collapsed="false" customFormat="false" customHeight="false" hidden="false" ht="12.1" outlineLevel="0" r="2264">
      <c r="A2264" s="3" t="s">
        <f>=HYPERLINK("https://mp39851918.megaplan.ua/deals/97005/card/","16193")</f>
      </c>
      <c r="B2264" s="3" t="inlineStr">
        <is>
          <t>111-3354565-8421033</t>
        </is>
      </c>
      <c r="C2264" s="3" t="inlineStr">
        <is>
          <t>RockyMountain</t>
        </is>
      </c>
    </row>
    <row collapsed="false" customFormat="false" customHeight="false" hidden="false" ht="12.1" outlineLevel="0" r="2265">
      <c r="A2265" s="3" t="s">
        <f>=HYPERLINK("https://mp39851918.megaplan.ua/deals/97006/card/","16194")</f>
      </c>
      <c r="B2265" s="3" t="inlineStr">
        <is>
          <t>111-9122209-9723454</t>
        </is>
      </c>
      <c r="C2265" s="3" t="inlineStr">
        <is>
          <t>RockyMountain</t>
        </is>
      </c>
    </row>
    <row collapsed="false" customFormat="false" customHeight="false" hidden="false" ht="12.1" outlineLevel="0" r="2266">
      <c r="A2266" s="3" t="s">
        <f>=HYPERLINK("https://mp39851918.megaplan.ua/deals/97013/card/","16196")</f>
      </c>
      <c r="B2266" s="3" t="inlineStr">
        <is>
          <t>114-0270912-9452273</t>
        </is>
      </c>
      <c r="C2266" s="3" t="inlineStr">
        <is>
          <t>RockyMountain</t>
        </is>
      </c>
    </row>
    <row collapsed="false" customFormat="false" customHeight="false" hidden="false" ht="12.1" outlineLevel="0" r="2267">
      <c r="A2267" s="3" t="s">
        <f>=HYPERLINK("https://mp39851918.megaplan.ua/deals/97028/card/","16198")</f>
      </c>
      <c r="B2267" s="3" t="inlineStr">
        <is>
          <t>113-0494457-2631444</t>
        </is>
      </c>
      <c r="C2267" s="3" t="inlineStr">
        <is>
          <t>RockyMountain</t>
        </is>
      </c>
    </row>
    <row collapsed="false" customFormat="false" customHeight="false" hidden="false" ht="12.1" outlineLevel="0" r="2268">
      <c r="A2268" s="3" t="s">
        <f>=HYPERLINK("https://mp39851918.megaplan.ua/deals/97029/card/","16199")</f>
      </c>
      <c r="B2268" s="3" t="inlineStr">
        <is>
          <t>114-2680663-2701063</t>
        </is>
      </c>
      <c r="C2268" s="3" t="inlineStr">
        <is>
          <t>RockyMountain</t>
        </is>
      </c>
    </row>
    <row collapsed="false" customFormat="false" customHeight="false" hidden="false" ht="12.1" outlineLevel="0" r="2269">
      <c r="A2269" s="3" t="s">
        <f>=HYPERLINK("https://mp39851918.megaplan.ua/deals/97030/card/","16200")</f>
      </c>
      <c r="B2269" s="3" t="inlineStr">
        <is>
          <t>114-7356127-5195435</t>
        </is>
      </c>
      <c r="C2269" s="3" t="inlineStr">
        <is>
          <t>RockyMountain</t>
        </is>
      </c>
    </row>
    <row collapsed="false" customFormat="false" customHeight="false" hidden="false" ht="12.1" outlineLevel="0" r="2270">
      <c r="A2270" s="3" t="s">
        <f>=HYPERLINK("https://mp39851918.megaplan.ua/deals/97032/card/","16201")</f>
      </c>
      <c r="B2270" s="3" t="inlineStr">
        <is>
          <t>113-7066032-9846618</t>
        </is>
      </c>
      <c r="C2270" s="3" t="inlineStr">
        <is>
          <t>TuckerRocky</t>
        </is>
      </c>
    </row>
    <row collapsed="false" customFormat="false" customHeight="false" hidden="false" ht="12.1" outlineLevel="0" r="2271">
      <c r="A2271" s="3" t="s">
        <f>=HYPERLINK("https://mp39851918.megaplan.ua/deals/97033/card/","16202")</f>
      </c>
      <c r="B2271" s="3" t="inlineStr">
        <is>
          <t>111-1011126-5004261</t>
        </is>
      </c>
      <c r="C2271" s="3" t="inlineStr">
        <is>
          <t>RockyMountain</t>
        </is>
      </c>
    </row>
    <row collapsed="false" customFormat="false" customHeight="false" hidden="false" ht="12.1" outlineLevel="0" r="2272">
      <c r="A2272" s="3" t="s">
        <f>=HYPERLINK("https://mp39851918.megaplan.ua/deals/97034/card/","16203")</f>
      </c>
      <c r="B2272" s="3" t="inlineStr">
        <is>
          <t>112-4156108-2136237</t>
        </is>
      </c>
      <c r="C2272" s="3" t="inlineStr">
        <is>
          <t>RockyMountain</t>
        </is>
      </c>
    </row>
    <row collapsed="false" customFormat="false" customHeight="false" hidden="false" ht="12.1" outlineLevel="0" r="2273">
      <c r="A2273" s="3" t="s">
        <f>=HYPERLINK("https://mp39851918.megaplan.ua/deals/97035/card/","16204")</f>
      </c>
      <c r="B2273" s="3" t="inlineStr">
        <is>
          <t>114-3947506-1551432</t>
        </is>
      </c>
      <c r="C2273" s="3" t="inlineStr">
        <is>
          <t>RockyMountain</t>
        </is>
      </c>
    </row>
    <row collapsed="false" customFormat="false" customHeight="false" hidden="false" ht="12.1" outlineLevel="0" r="2274">
      <c r="A2274" s="3" t="s">
        <f>=HYPERLINK("https://mp39851918.megaplan.ua/deals/97036/card/","16205")</f>
      </c>
      <c r="B2274" s="3" t="inlineStr">
        <is>
          <t>114-8223836-8631455</t>
        </is>
      </c>
      <c r="C2274" s="3" t="inlineStr">
        <is>
          <t>RockyMountain</t>
        </is>
      </c>
    </row>
    <row collapsed="false" customFormat="false" customHeight="false" hidden="false" ht="12.1" outlineLevel="0" r="2275">
      <c r="A2275" s="3" t="s">
        <f>=HYPERLINK("https://mp39851918.megaplan.ua/deals/97063/card/","16211")</f>
      </c>
      <c r="B2275" s="3" t="inlineStr">
        <is>
          <t>113-5650713-9345029</t>
        </is>
      </c>
      <c r="C2275" s="3" t="inlineStr">
        <is>
          <t>Autodist</t>
        </is>
      </c>
    </row>
    <row collapsed="false" customFormat="false" customHeight="false" hidden="false" ht="12.1" outlineLevel="0" r="2276">
      <c r="A2276" s="3" t="s">
        <f>=HYPERLINK("https://mp39851918.megaplan.ua/deals/97069/card/","16212")</f>
      </c>
      <c r="B2276" s="3" t="inlineStr">
        <is>
          <t>112-6708139-5996214</t>
        </is>
      </c>
      <c r="C2276" s="3" t="inlineStr">
        <is>
          <t>Autodist</t>
        </is>
      </c>
    </row>
    <row collapsed="false" customFormat="false" customHeight="false" hidden="false" ht="12.1" outlineLevel="0" r="2277">
      <c r="A2277" s="3" t="s">
        <f>=HYPERLINK("https://mp39851918.megaplan.ua/deals/97080/card/","16213")</f>
      </c>
      <c r="B2277" s="3" t="inlineStr">
        <is>
          <t>111-5285722-1489066</t>
        </is>
      </c>
      <c r="C2277" s="3" t="inlineStr">
        <is>
          <t>RockyMountain</t>
        </is>
      </c>
    </row>
    <row collapsed="false" customFormat="false" customHeight="false" hidden="false" ht="12.1" outlineLevel="0" r="2278">
      <c r="A2278" s="3" t="s">
        <f>=HYPERLINK("https://mp39851918.megaplan.ua/deals/97083/card/","16214")</f>
      </c>
      <c r="B2278" s="3" t="inlineStr">
        <is>
          <t>112-3377310-9008215</t>
        </is>
      </c>
      <c r="C2278" s="3" t="inlineStr">
        <is>
          <t>Autodist</t>
        </is>
      </c>
    </row>
    <row collapsed="false" customFormat="false" customHeight="false" hidden="false" ht="12.1" outlineLevel="0" r="2279">
      <c r="A2279" s="3" t="s">
        <f>=HYPERLINK("https://mp39851918.megaplan.ua/deals/97085/card/","16215")</f>
      </c>
      <c r="B2279" s="3" t="inlineStr">
        <is>
          <t>114-0591698-7926600</t>
        </is>
      </c>
      <c r="C2279" s="3" t="inlineStr">
        <is>
          <t>PartsUnlimited</t>
        </is>
      </c>
    </row>
    <row collapsed="false" customFormat="false" customHeight="false" hidden="false" ht="12.1" outlineLevel="0" r="2280">
      <c r="A2280" s="3" t="s">
        <f>=HYPERLINK("https://mp39851918.megaplan.ua/deals/97086/card/","16216")</f>
      </c>
      <c r="B2280" s="3" t="inlineStr">
        <is>
          <t>113-4552022-1541059</t>
        </is>
      </c>
      <c r="C2280" s="3" t="inlineStr">
        <is>
          <t>RockyMountain</t>
        </is>
      </c>
    </row>
    <row collapsed="false" customFormat="false" customHeight="false" hidden="false" ht="12.1" outlineLevel="0" r="2281">
      <c r="A2281" s="3" t="s">
        <f>=HYPERLINK("https://mp39851918.megaplan.ua/deals/97109/card/","16218")</f>
      </c>
      <c r="B2281" s="3" t="inlineStr">
        <is>
          <t>111-9122028-0334608</t>
        </is>
      </c>
      <c r="C2281" s="3" t="inlineStr">
        <is>
          <t>RockyMountain</t>
        </is>
      </c>
    </row>
    <row collapsed="false" customFormat="false" customHeight="false" hidden="false" ht="12.1" outlineLevel="0" r="2282">
      <c r="A2282" s="3" t="s">
        <f>=HYPERLINK("https://mp39851918.megaplan.ua/deals/97113/card/","16219")</f>
      </c>
      <c r="B2282" s="3" t="inlineStr">
        <is>
          <t>112-4148740-7727452</t>
        </is>
      </c>
      <c r="C2282" s="3" t="inlineStr">
        <is>
          <t>PartsUnlimited</t>
        </is>
      </c>
    </row>
    <row collapsed="false" customFormat="false" customHeight="false" hidden="false" ht="12.1" outlineLevel="0" r="2283">
      <c r="A2283" s="3" t="s">
        <f>=HYPERLINK("https://mp39851918.megaplan.ua/deals/97128/card/","16222")</f>
      </c>
      <c r="B2283" s="3" t="inlineStr">
        <is>
          <t>114-5173153-6737054</t>
        </is>
      </c>
      <c r="C2283" s="3" t="inlineStr">
        <is>
          <t>PartsUnlimited</t>
        </is>
      </c>
    </row>
    <row collapsed="false" customFormat="false" customHeight="false" hidden="false" ht="12.1" outlineLevel="0" r="2284">
      <c r="A2284" s="3" t="s">
        <f>=HYPERLINK("https://mp39851918.megaplan.ua/deals/97140/card/","16223")</f>
      </c>
      <c r="B2284" s="3" t="inlineStr">
        <is>
          <t>112-7264282-7082600</t>
        </is>
      </c>
      <c r="C2284" s="3" t="inlineStr">
        <is>
          <t>RockyMountain</t>
        </is>
      </c>
    </row>
    <row collapsed="false" customFormat="false" customHeight="false" hidden="false" ht="12.1" outlineLevel="0" r="2285">
      <c r="A2285" s="3" t="s">
        <f>=HYPERLINK("https://mp39851918.megaplan.ua/deals/97149/card/","16225")</f>
      </c>
      <c r="B2285" s="3" t="inlineStr">
        <is>
          <t>114-4739714-0951440</t>
        </is>
      </c>
      <c r="C2285" s="3" t="inlineStr">
        <is>
          <t>Autodist</t>
        </is>
      </c>
    </row>
    <row collapsed="false" customFormat="false" customHeight="false" hidden="false" ht="12.1" outlineLevel="0" r="2286">
      <c r="A2286" s="3" t="s">
        <f>=HYPERLINK("https://mp39851918.megaplan.ua/deals/97155/card/","16226")</f>
      </c>
      <c r="B2286" s="3" t="inlineStr">
        <is>
          <t>113-2667613-8269026</t>
        </is>
      </c>
      <c r="C2286" s="3" t="inlineStr">
        <is>
          <t>PartsUnlimited</t>
        </is>
      </c>
    </row>
    <row collapsed="false" customFormat="false" customHeight="false" hidden="false" ht="12.1" outlineLevel="0" r="2287">
      <c r="A2287" s="3" t="s">
        <f>=HYPERLINK("https://mp39851918.megaplan.ua/deals/97156/card/","16227")</f>
      </c>
      <c r="B2287" s="3" t="inlineStr">
        <is>
          <t>113-4568136-2235427</t>
        </is>
      </c>
      <c r="C2287" s="3" t="inlineStr">
        <is>
          <t>PartsUnlimited</t>
        </is>
      </c>
    </row>
    <row collapsed="false" customFormat="false" customHeight="false" hidden="false" ht="12.1" outlineLevel="0" r="2288">
      <c r="A2288" s="3" t="s">
        <f>=HYPERLINK("https://mp39851918.megaplan.ua/deals/97167/card/","16228")</f>
      </c>
      <c r="B2288" s="3" t="inlineStr">
        <is>
          <t>112-2006903-0862637</t>
        </is>
      </c>
      <c r="C2288" s="3" t="inlineStr">
        <is>
          <t>TuckerRocky</t>
        </is>
      </c>
    </row>
    <row collapsed="false" customFormat="false" customHeight="false" hidden="false" ht="12.1" outlineLevel="0" r="2289">
      <c r="A2289" s="3" t="s">
        <f>=HYPERLINK("https://mp39851918.megaplan.ua/deals/97170/card/","16229")</f>
      </c>
      <c r="B2289" s="3" t="inlineStr">
        <is>
          <t>114-4776078-7265869</t>
        </is>
      </c>
      <c r="C2289" s="3" t="inlineStr">
        <is>
          <t>PartsUnlimited</t>
        </is>
      </c>
    </row>
    <row collapsed="false" customFormat="false" customHeight="false" hidden="false" ht="12.1" outlineLevel="0" r="2290">
      <c r="A2290" s="3" t="s">
        <f>=HYPERLINK("https://mp39851918.megaplan.ua/deals/97173/card/","16230")</f>
      </c>
      <c r="B2290" s="3" t="inlineStr">
        <is>
          <t>113-3400692-2549033</t>
        </is>
      </c>
      <c r="C2290" s="3" t="inlineStr">
        <is>
          <t>PartsUnlimited</t>
        </is>
      </c>
    </row>
    <row collapsed="false" customFormat="false" customHeight="false" hidden="false" ht="12.1" outlineLevel="0" r="2291">
      <c r="A2291" s="3" t="s">
        <f>=HYPERLINK("https://mp39851918.megaplan.ua/deals/97174/card/","16231")</f>
      </c>
      <c r="B2291" s="3" t="inlineStr">
        <is>
          <t>113-3891415-4961013</t>
        </is>
      </c>
      <c r="C2291" s="3" t="inlineStr">
        <is>
          <t>PartsUnlimited</t>
        </is>
      </c>
    </row>
    <row collapsed="false" customFormat="false" customHeight="false" hidden="false" ht="12.1" outlineLevel="0" r="2292">
      <c r="A2292" s="3" t="s">
        <f>=HYPERLINK("https://mp39851918.megaplan.ua/deals/97181/card/","16232")</f>
      </c>
      <c r="B2292" s="3" t="inlineStr">
        <is>
          <t>114-6415294-4331457</t>
        </is>
      </c>
      <c r="C2292" s="3" t="inlineStr">
        <is>
          <t>TuckerRocky</t>
        </is>
      </c>
    </row>
    <row collapsed="false" customFormat="false" customHeight="false" hidden="false" ht="12.1" outlineLevel="0" r="2293">
      <c r="A2293" s="3" t="s">
        <f>=HYPERLINK("https://mp39851918.megaplan.ua/deals/97185/card/","16233")</f>
      </c>
      <c r="B2293" s="3" t="inlineStr">
        <is>
          <t>113-8493101-4895466</t>
        </is>
      </c>
      <c r="C2293" s="3" t="inlineStr">
        <is>
          <t>PartsUnlimited</t>
        </is>
      </c>
    </row>
    <row collapsed="false" customFormat="false" customHeight="false" hidden="false" ht="12.1" outlineLevel="0" r="2294">
      <c r="A2294" s="3" t="s">
        <f>=HYPERLINK("https://mp39851918.megaplan.ua/deals/97186/card/","16234")</f>
      </c>
      <c r="B2294" s="3" t="inlineStr">
        <is>
          <t>114-9998703-3941804</t>
        </is>
      </c>
      <c r="C2294" s="3" t="inlineStr">
        <is>
          <t>Autodist</t>
        </is>
      </c>
    </row>
    <row collapsed="false" customFormat="false" customHeight="false" hidden="false" ht="12.1" outlineLevel="0" r="2295">
      <c r="A2295" s="3" t="s">
        <f>=HYPERLINK("https://mp39851918.megaplan.ua/deals/97205/card/","16236")</f>
      </c>
      <c r="B2295" s="3" t="inlineStr">
        <is>
          <t>114-2036342-4170618</t>
        </is>
      </c>
      <c r="C2295" s="3" t="inlineStr">
        <is>
          <t>TuckerRocky</t>
        </is>
      </c>
    </row>
    <row collapsed="false" customFormat="false" customHeight="false" hidden="false" ht="12.1" outlineLevel="0" r="2296">
      <c r="A2296" s="3" t="s">
        <f>=HYPERLINK("https://mp39851918.megaplan.ua/deals/97207/card/","16237")</f>
      </c>
      <c r="B2296" s="3" t="inlineStr">
        <is>
          <t>114-1273382-9229002</t>
        </is>
      </c>
      <c r="C2296" s="3" t="inlineStr">
        <is>
          <t>PartsUnlimited</t>
        </is>
      </c>
    </row>
    <row collapsed="false" customFormat="false" customHeight="false" hidden="false" ht="12.1" outlineLevel="0" r="2297">
      <c r="A2297" s="3" t="s">
        <f>=HYPERLINK("https://mp39851918.megaplan.ua/deals/97218/card/","16238")</f>
      </c>
      <c r="B2297" s="3" t="inlineStr">
        <is>
          <t>114-1894513-1068213</t>
        </is>
      </c>
      <c r="C2297" s="3" t="inlineStr">
        <is>
          <t>PartsUnlimited</t>
        </is>
      </c>
    </row>
    <row collapsed="false" customFormat="false" customHeight="false" hidden="false" ht="12.1" outlineLevel="0" r="2298">
      <c r="A2298" s="3" t="s">
        <f>=HYPERLINK("https://mp39851918.megaplan.ua/deals/97219/card/","16239")</f>
      </c>
      <c r="B2298" s="3" t="inlineStr">
        <is>
          <t>113-2183626-5449046</t>
        </is>
      </c>
      <c r="C2298" s="3" t="inlineStr">
        <is>
          <t>Autodist</t>
        </is>
      </c>
    </row>
    <row collapsed="false" customFormat="false" customHeight="false" hidden="false" ht="12.1" outlineLevel="0" r="2299">
      <c r="A2299" s="3" t="s">
        <f>=HYPERLINK("https://mp39851918.megaplan.ua/deals/97220/card/","16240")</f>
      </c>
      <c r="B2299" s="3" t="inlineStr">
        <is>
          <t>114-2308437-0838637</t>
        </is>
      </c>
      <c r="C2299" s="3" t="inlineStr">
        <is>
          <t>RockyMountain</t>
        </is>
      </c>
    </row>
    <row collapsed="false" customFormat="false" customHeight="false" hidden="false" ht="12.1" outlineLevel="0" r="2300">
      <c r="A2300" s="3" t="s">
        <f>=HYPERLINK("https://mp39851918.megaplan.ua/deals/97221/card/","16241")</f>
      </c>
      <c r="B2300" s="3" t="inlineStr">
        <is>
          <t>114-4026244-6258604</t>
        </is>
      </c>
      <c r="C2300" s="3" t="inlineStr">
        <is>
          <t>PartsUnlimited</t>
        </is>
      </c>
    </row>
    <row collapsed="false" customFormat="false" customHeight="false" hidden="false" ht="12.1" outlineLevel="0" r="2301">
      <c r="A2301" s="3" t="s">
        <f>=HYPERLINK("https://mp39851918.megaplan.ua/deals/97222/card/","16242")</f>
      </c>
      <c r="B2301" s="3" t="inlineStr">
        <is>
          <t>111-3782532-1963424</t>
        </is>
      </c>
      <c r="C2301" s="3" t="inlineStr">
        <is>
          <t>Autodist</t>
        </is>
      </c>
    </row>
    <row collapsed="false" customFormat="false" customHeight="false" hidden="false" ht="12.1" outlineLevel="0" r="2302">
      <c r="A2302" s="3" t="s">
        <f>=HYPERLINK("https://mp39851918.megaplan.ua/deals/97223/card/","16243")</f>
      </c>
      <c r="B2302" s="3" t="inlineStr">
        <is>
          <t>114-6304966-5609854</t>
        </is>
      </c>
      <c r="C2302" s="3" t="inlineStr">
        <is>
          <t>TuckerRocky</t>
        </is>
      </c>
    </row>
    <row collapsed="false" customFormat="false" customHeight="false" hidden="false" ht="12.1" outlineLevel="0" r="2303">
      <c r="A2303" s="3" t="s">
        <f>=HYPERLINK("https://mp39851918.megaplan.ua/deals/97224/card/","16244")</f>
      </c>
      <c r="B2303" s="3" t="inlineStr">
        <is>
          <t>112-3806988-6208269</t>
        </is>
      </c>
      <c r="C2303" s="3" t="inlineStr">
        <is>
          <t>Autodist</t>
        </is>
      </c>
    </row>
    <row collapsed="false" customFormat="false" customHeight="false" hidden="false" ht="12.1" outlineLevel="0" r="2304">
      <c r="A2304" s="3" t="s">
        <f>=HYPERLINK("https://mp39851918.megaplan.ua/deals/97231/card/","16245")</f>
      </c>
      <c r="B2304" s="3" t="inlineStr">
        <is>
          <t>113-6808244-0930656</t>
        </is>
      </c>
      <c r="C2304" s="3" t="inlineStr">
        <is>
          <t>TuckerRocky</t>
        </is>
      </c>
    </row>
    <row collapsed="false" customFormat="false" customHeight="false" hidden="false" ht="12.1" outlineLevel="0" r="2305">
      <c r="A2305" s="3" t="s">
        <f>=HYPERLINK("https://mp39851918.megaplan.ua/deals/97253/card/","16246")</f>
      </c>
      <c r="B2305" s="3" t="inlineStr">
        <is>
          <t>112-6962197-6469803</t>
        </is>
      </c>
      <c r="C2305" s="3" t="inlineStr">
        <is>
          <t>RockyMountain</t>
        </is>
      </c>
    </row>
    <row collapsed="false" customFormat="false" customHeight="false" hidden="false" ht="12.1" outlineLevel="0" r="2306">
      <c r="A2306" s="3" t="s">
        <f>=HYPERLINK("https://mp39851918.megaplan.ua/deals/97254/card/","16247")</f>
      </c>
      <c r="B2306" s="3" t="inlineStr">
        <is>
          <t>111-0328002-6617074</t>
        </is>
      </c>
      <c r="C2306" s="3" t="inlineStr">
        <is>
          <t>Autodist</t>
        </is>
      </c>
    </row>
    <row collapsed="false" customFormat="false" customHeight="false" hidden="false" ht="12.1" outlineLevel="0" r="2307">
      <c r="A2307" s="3" t="s">
        <f>=HYPERLINK("https://mp39851918.megaplan.ua/deals/97255/card/","16248")</f>
      </c>
      <c r="B2307" s="3" t="inlineStr">
        <is>
          <t>112-8740571-8077048</t>
        </is>
      </c>
      <c r="C2307" s="3" t="inlineStr">
        <is>
          <t>Autodist</t>
        </is>
      </c>
    </row>
    <row collapsed="false" customFormat="false" customHeight="false" hidden="false" ht="12.1" outlineLevel="0" r="2308">
      <c r="A2308" s="3" t="s">
        <f>=HYPERLINK("https://mp39851918.megaplan.ua/deals/97256/card/","16249")</f>
      </c>
      <c r="B2308" s="3" t="inlineStr">
        <is>
          <t>114-5209642-5343400</t>
        </is>
      </c>
      <c r="C2308" s="3" t="inlineStr">
        <is>
          <t>TuckerRocky</t>
        </is>
      </c>
    </row>
    <row collapsed="false" customFormat="false" customHeight="false" hidden="false" ht="12.1" outlineLevel="0" r="2309">
      <c r="A2309" s="3" t="s">
        <f>=HYPERLINK("https://mp39851918.megaplan.ua/deals/97260/card/","16250")</f>
      </c>
      <c r="B2309" s="3" t="inlineStr">
        <is>
          <t>112-1164784-8297841</t>
        </is>
      </c>
      <c r="C2309" s="3" t="inlineStr">
        <is>
          <t>RockyMountain</t>
        </is>
      </c>
    </row>
    <row collapsed="false" customFormat="false" customHeight="false" hidden="false" ht="12.1" outlineLevel="0" r="2310">
      <c r="A2310" s="3" t="s">
        <f>=HYPERLINK("https://mp39851918.megaplan.ua/deals/97265/card/","16251")</f>
      </c>
      <c r="B2310" s="3" t="inlineStr">
        <is>
          <t>113-7568034-4821013</t>
        </is>
      </c>
      <c r="C2310" s="3" t="inlineStr">
        <is>
          <t>TuckerRocky</t>
        </is>
      </c>
    </row>
    <row collapsed="false" customFormat="false" customHeight="false" hidden="false" ht="12.1" outlineLevel="0" r="2311">
      <c r="A2311" s="3" t="s">
        <f>=HYPERLINK("https://mp39851918.megaplan.ua/deals/97272/card/","16252")</f>
      </c>
      <c r="B2311" s="3" t="inlineStr">
        <is>
          <t>114-4080144-9925022</t>
        </is>
      </c>
      <c r="C2311" s="3" t="inlineStr">
        <is>
          <t>Autodist</t>
        </is>
      </c>
    </row>
    <row collapsed="false" customFormat="false" customHeight="false" hidden="false" ht="12.1" outlineLevel="0" r="2312">
      <c r="A2312" s="3" t="s">
        <f>=HYPERLINK("https://mp39851918.megaplan.ua/deals/97284/card/","16254")</f>
      </c>
      <c r="B2312" s="3" t="inlineStr">
        <is>
          <t>113-4080915-2072203</t>
        </is>
      </c>
      <c r="C2312" s="3" t="inlineStr">
        <is>
          <t>TuckerRocky</t>
        </is>
      </c>
    </row>
    <row collapsed="false" customFormat="false" customHeight="false" hidden="false" ht="12.1" outlineLevel="0" r="2313">
      <c r="A2313" s="3" t="s">
        <f>=HYPERLINK("https://mp39851918.megaplan.ua/deals/97285/card/","16255")</f>
      </c>
      <c r="B2313" s="3" t="inlineStr">
        <is>
          <t>114-1217371-2788222</t>
        </is>
      </c>
      <c r="C2313" s="3" t="inlineStr">
        <is>
          <t>Autodist</t>
        </is>
      </c>
    </row>
    <row collapsed="false" customFormat="false" customHeight="false" hidden="false" ht="12.1" outlineLevel="0" r="2314">
      <c r="A2314" s="3" t="s">
        <f>=HYPERLINK("https://mp39851918.megaplan.ua/deals/97286/card/","16256")</f>
      </c>
      <c r="B2314" s="3" t="inlineStr">
        <is>
          <t>114-0775407-4859437</t>
        </is>
      </c>
      <c r="C2314" s="3" t="inlineStr">
        <is>
          <t>Autodist</t>
        </is>
      </c>
    </row>
    <row collapsed="false" customFormat="false" customHeight="false" hidden="false" ht="12.1" outlineLevel="0" r="2315">
      <c r="A2315" s="3" t="s">
        <f>=HYPERLINK("https://mp39851918.megaplan.ua/deals/97288/card/","16257")</f>
      </c>
      <c r="B2315" s="3" t="inlineStr">
        <is>
          <t>112-6767433-4138621</t>
        </is>
      </c>
      <c r="C2315" s="3" t="inlineStr">
        <is>
          <t>Autodist</t>
        </is>
      </c>
    </row>
    <row collapsed="false" customFormat="false" customHeight="false" hidden="false" ht="12.1" outlineLevel="0" r="2316">
      <c r="A2316" s="3" t="s">
        <f>=HYPERLINK("https://mp39851918.megaplan.ua/deals/97289/card/","16258")</f>
      </c>
      <c r="B2316" s="3" t="inlineStr">
        <is>
          <t>114-3285374-5659460</t>
        </is>
      </c>
      <c r="C2316" s="3" t="inlineStr">
        <is>
          <t>Autodist</t>
        </is>
      </c>
    </row>
    <row collapsed="false" customFormat="false" customHeight="false" hidden="false" ht="12.1" outlineLevel="0" r="2317">
      <c r="A2317" s="3" t="s">
        <f>=HYPERLINK("https://mp39851918.megaplan.ua/deals/97296/card/","16259")</f>
      </c>
      <c r="B2317" s="3" t="inlineStr">
        <is>
          <t>112-1489062-4798605</t>
        </is>
      </c>
      <c r="C2317" s="3" t="inlineStr">
        <is>
          <t>Autodist</t>
        </is>
      </c>
    </row>
    <row collapsed="false" customFormat="false" customHeight="false" hidden="false" ht="12.1" outlineLevel="0" r="2318">
      <c r="A2318" s="3" t="s">
        <f>=HYPERLINK("https://mp39851918.megaplan.ua/deals/97302/card/","16260")</f>
      </c>
      <c r="B2318" s="3" t="inlineStr">
        <is>
          <t>111-2843731-6470634</t>
        </is>
      </c>
      <c r="C2318" s="3" t="inlineStr">
        <is>
          <t>Autodist</t>
        </is>
      </c>
    </row>
    <row collapsed="false" customFormat="false" customHeight="false" hidden="false" ht="12.1" outlineLevel="0" r="2319">
      <c r="A2319" s="3" t="s">
        <f>=HYPERLINK("https://mp39851918.megaplan.ua/deals/97308/card/","16261")</f>
      </c>
      <c r="B2319" s="3" t="inlineStr">
        <is>
          <t>113-0391252-7569844</t>
        </is>
      </c>
      <c r="C2319" s="3" t="inlineStr">
        <is>
          <t>RockyMountain</t>
        </is>
      </c>
    </row>
    <row collapsed="false" customFormat="false" customHeight="false" hidden="false" ht="12.1" outlineLevel="0" r="2320">
      <c r="A2320" s="3" t="s">
        <f>=HYPERLINK("https://mp39851918.megaplan.ua/deals/97315/card/","16262")</f>
      </c>
      <c r="B2320" s="3" t="inlineStr">
        <is>
          <t>111-4543109-1097025</t>
        </is>
      </c>
      <c r="C2320" s="3" t="inlineStr">
        <is>
          <t>TuckerRocky</t>
        </is>
      </c>
    </row>
    <row collapsed="false" customFormat="false" customHeight="false" hidden="false" ht="12.1" outlineLevel="0" r="2321">
      <c r="A2321" s="3" t="s">
        <f>=HYPERLINK("https://mp39851918.megaplan.ua/deals/97339/card/","16265")</f>
      </c>
      <c r="B2321" s="3" t="inlineStr">
        <is>
          <t>114-2543153-2739466</t>
        </is>
      </c>
      <c r="C2321" s="3" t="inlineStr">
        <is>
          <t>Autodist</t>
        </is>
      </c>
    </row>
    <row collapsed="false" customFormat="false" customHeight="false" hidden="false" ht="12.1" outlineLevel="0" r="2322">
      <c r="A2322" s="3" t="s">
        <f>=HYPERLINK("https://mp39851918.megaplan.ua/deals/97340/card/","16266")</f>
      </c>
      <c r="B2322" s="3" t="inlineStr">
        <is>
          <t>112-1875582-9120205</t>
        </is>
      </c>
      <c r="C2322" s="3" t="inlineStr">
        <is>
          <t>Autodist</t>
        </is>
      </c>
    </row>
    <row collapsed="false" customFormat="false" customHeight="false" hidden="false" ht="12.1" outlineLevel="0" r="2323">
      <c r="A2323" s="3" t="s">
        <f>=HYPERLINK("https://mp39851918.megaplan.ua/deals/97345/card/","16267")</f>
      </c>
      <c r="B2323" s="3" t="inlineStr">
        <is>
          <t>111-0702949-8055421</t>
        </is>
      </c>
      <c r="C2323" s="3" t="inlineStr">
        <is>
          <t>TuckerRocky</t>
        </is>
      </c>
    </row>
    <row collapsed="false" customFormat="false" customHeight="false" hidden="false" ht="12.1" outlineLevel="0" r="2324">
      <c r="A2324" s="3" t="s">
        <f>=HYPERLINK("https://mp39851918.megaplan.ua/deals/97356/card/","16269")</f>
      </c>
      <c r="B2324" s="3" t="inlineStr">
        <is>
          <t>114-3547495-0977066</t>
        </is>
      </c>
      <c r="C2324" s="3" t="inlineStr">
        <is>
          <t>Autodist</t>
        </is>
      </c>
    </row>
    <row collapsed="false" customFormat="false" customHeight="false" hidden="false" ht="12.1" outlineLevel="0" r="2325">
      <c r="A2325" s="3" t="s">
        <f>=HYPERLINK("https://mp39851918.megaplan.ua/deals/97357/card/","16270")</f>
      </c>
      <c r="B2325" s="3" t="inlineStr">
        <is>
          <t>114-5930357-9231410</t>
        </is>
      </c>
      <c r="C2325" s="3" t="inlineStr">
        <is>
          <t>Autodist</t>
        </is>
      </c>
    </row>
    <row collapsed="false" customFormat="false" customHeight="false" hidden="false" ht="12.1" outlineLevel="0" r="2326">
      <c r="A2326" s="3" t="s">
        <f>=HYPERLINK("https://mp39851918.megaplan.ua/deals/97363/card/","16272")</f>
      </c>
      <c r="B2326" s="3" t="inlineStr">
        <is>
          <t>111-2022623-8105057</t>
        </is>
      </c>
      <c r="C2326" s="3" t="inlineStr">
        <is>
          <t>Autodist</t>
        </is>
      </c>
    </row>
    <row collapsed="false" customFormat="false" customHeight="false" hidden="false" ht="12.1" outlineLevel="0" r="2327">
      <c r="A2327" s="3" t="s">
        <f>=HYPERLINK("https://mp39851918.megaplan.ua/deals/97364/card/","16273")</f>
      </c>
      <c r="B2327" s="3" t="inlineStr">
        <is>
          <t>114-9531522-6741812</t>
        </is>
      </c>
      <c r="C2327" s="3" t="inlineStr">
        <is>
          <t>PartsUnlimited</t>
        </is>
      </c>
    </row>
    <row collapsed="false" customFormat="false" customHeight="false" hidden="false" ht="12.1" outlineLevel="0" r="2328">
      <c r="A2328" s="3" t="s">
        <f>=HYPERLINK("https://mp39851918.megaplan.ua/deals/97390/card/","16277")</f>
      </c>
      <c r="B2328" s="3" t="inlineStr">
        <is>
          <t>113-4975994-1820233</t>
        </is>
      </c>
      <c r="C2328" s="3" t="inlineStr">
        <is>
          <t>Autodist</t>
        </is>
      </c>
    </row>
    <row collapsed="false" customFormat="false" customHeight="false" hidden="false" ht="12.1" outlineLevel="0" r="2329">
      <c r="A2329" s="3" t="s">
        <f>=HYPERLINK("https://mp39851918.megaplan.ua/deals/97395/card/","16278")</f>
      </c>
      <c r="B2329" s="3" t="inlineStr">
        <is>
          <t>111-9906653-5390604</t>
        </is>
      </c>
      <c r="C2329" s="3" t="inlineStr">
        <is>
          <t>RockyMountain</t>
        </is>
      </c>
    </row>
    <row collapsed="false" customFormat="false" customHeight="false" hidden="false" ht="12.1" outlineLevel="0" r="2330">
      <c r="A2330" s="3" t="s">
        <f>=HYPERLINK("https://mp39851918.megaplan.ua/deals/97403/card/","16279")</f>
      </c>
      <c r="B2330" s="3" t="inlineStr">
        <is>
          <t>112-2707136-5148231</t>
        </is>
      </c>
      <c r="C2330" s="3" t="inlineStr">
        <is>
          <t>RockyMountain</t>
        </is>
      </c>
    </row>
    <row collapsed="false" customFormat="false" customHeight="false" hidden="false" ht="12.1" outlineLevel="0" r="2331">
      <c r="A2331" s="3" t="s">
        <f>=HYPERLINK("https://mp39851918.megaplan.ua/deals/97404/card/","16280")</f>
      </c>
      <c r="B2331" s="3" t="inlineStr">
        <is>
          <t>114-0690807-3537003</t>
        </is>
      </c>
      <c r="C2331" s="3" t="inlineStr">
        <is>
          <t>TuckerRocky</t>
        </is>
      </c>
    </row>
    <row collapsed="false" customFormat="false" customHeight="false" hidden="false" ht="12.1" outlineLevel="0" r="2332">
      <c r="A2332" s="3" t="s">
        <f>=HYPERLINK("https://mp39851918.megaplan.ua/deals/97418/card/","16281")</f>
      </c>
      <c r="B2332" s="3" t="inlineStr">
        <is>
          <t>112-7113020-4164209</t>
        </is>
      </c>
      <c r="C2332" s="3" t="inlineStr">
        <is>
          <t>Autodist</t>
        </is>
      </c>
    </row>
    <row collapsed="false" customFormat="false" customHeight="false" hidden="false" ht="12.1" outlineLevel="0" r="2333">
      <c r="A2333" s="3" t="s">
        <f>=HYPERLINK("https://mp39851918.megaplan.ua/deals/97423/card/","16284")</f>
      </c>
      <c r="B2333" s="3" t="inlineStr">
        <is>
          <t>111-4051425-2438669</t>
        </is>
      </c>
      <c r="C2333" s="3" t="inlineStr">
        <is>
          <t>RockyMountain</t>
        </is>
      </c>
    </row>
    <row collapsed="false" customFormat="false" customHeight="false" hidden="false" ht="12.1" outlineLevel="0" r="2334">
      <c r="A2334" s="3" t="s">
        <f>=HYPERLINK("https://mp39851918.megaplan.ua/deals/97426/card/","16285")</f>
      </c>
      <c r="B2334" s="3" t="inlineStr">
        <is>
          <t>112-0252500-9674612</t>
        </is>
      </c>
      <c r="C2334" s="3" t="inlineStr">
        <is>
          <t>TuckerRocky</t>
        </is>
      </c>
    </row>
    <row collapsed="false" customFormat="false" customHeight="false" hidden="false" ht="12.1" outlineLevel="0" r="2335">
      <c r="A2335" s="3" t="s">
        <f>=HYPERLINK("https://mp39851918.megaplan.ua/deals/97427/card/","16286")</f>
      </c>
      <c r="B2335" s="3" t="inlineStr">
        <is>
          <t>112-2638979-2706606</t>
        </is>
      </c>
      <c r="C2335" s="3" t="inlineStr">
        <is>
          <t>TuckerRocky</t>
        </is>
      </c>
    </row>
    <row collapsed="false" customFormat="false" customHeight="false" hidden="false" ht="12.1" outlineLevel="0" r="2336">
      <c r="A2336" s="3" t="s">
        <f>=HYPERLINK("https://mp39851918.megaplan.ua/deals/97428/card/","16287")</f>
      </c>
      <c r="B2336" s="3" t="inlineStr">
        <is>
          <t>112-2750958-9588237</t>
        </is>
      </c>
      <c r="C2336" s="3" t="inlineStr">
        <is>
          <t>TuckerRocky</t>
        </is>
      </c>
    </row>
    <row collapsed="false" customFormat="false" customHeight="false" hidden="false" ht="12.1" outlineLevel="0" r="2337">
      <c r="A2337" s="3" t="s">
        <f>=HYPERLINK("https://mp39851918.megaplan.ua/deals/97450/card/","16289")</f>
      </c>
      <c r="B2337" s="3" t="inlineStr">
        <is>
          <t>114-3605017-4337815</t>
        </is>
      </c>
      <c r="C2337" s="3" t="inlineStr">
        <is>
          <t>TuckerRocky</t>
        </is>
      </c>
    </row>
    <row collapsed="false" customFormat="false" customHeight="false" hidden="false" ht="12.1" outlineLevel="0" r="2338">
      <c r="A2338" s="3" t="s">
        <f>=HYPERLINK("https://mp39851918.megaplan.ua/deals/97461/card/","16290")</f>
      </c>
      <c r="B2338" s="3" t="inlineStr">
        <is>
          <t>111-6184989-7828224</t>
        </is>
      </c>
      <c r="C2338" s="3" t="inlineStr">
        <is>
          <t>Autodist</t>
        </is>
      </c>
    </row>
    <row collapsed="false" customFormat="false" customHeight="false" hidden="false" ht="12.1" outlineLevel="0" r="2339">
      <c r="A2339" s="3" t="s">
        <f>=HYPERLINK("https://mp39851918.megaplan.ua/deals/97462/card/","16291")</f>
      </c>
      <c r="B2339" s="3" t="inlineStr">
        <is>
          <t>112-7835808-4795436</t>
        </is>
      </c>
      <c r="C2339" s="3" t="inlineStr">
        <is>
          <t>Autodist</t>
        </is>
      </c>
    </row>
    <row collapsed="false" customFormat="false" customHeight="false" hidden="false" ht="12.1" outlineLevel="0" r="2340">
      <c r="A2340" s="3" t="s">
        <f>=HYPERLINK("https://mp39851918.megaplan.ua/deals/97464/card/","16292")</f>
      </c>
      <c r="B2340" s="3" t="inlineStr">
        <is>
          <t>112-8788779-6985836</t>
        </is>
      </c>
      <c r="C2340" s="3" t="inlineStr">
        <is>
          <t>Autodist</t>
        </is>
      </c>
    </row>
    <row collapsed="false" customFormat="false" customHeight="false" hidden="false" ht="12.1" outlineLevel="0" r="2341">
      <c r="A2341" s="3" t="s">
        <f>=HYPERLINK("https://mp39851918.megaplan.ua/deals/97472/card/","16293")</f>
      </c>
      <c r="B2341" s="3" t="inlineStr">
        <is>
          <t>114-3321679-9763446</t>
        </is>
      </c>
      <c r="C2341" s="3" t="inlineStr">
        <is>
          <t>RockyMountain</t>
        </is>
      </c>
    </row>
    <row collapsed="false" customFormat="false" customHeight="false" hidden="false" ht="12.1" outlineLevel="0" r="2342">
      <c r="A2342" s="3" t="s">
        <f>=HYPERLINK("https://mp39851918.megaplan.ua/deals/97486/card/","16294")</f>
      </c>
      <c r="B2342" s="3" t="inlineStr">
        <is>
          <t>113-3091794-0652233</t>
        </is>
      </c>
      <c r="C2342" s="3" t="inlineStr">
        <is>
          <t>TuckerRocky</t>
        </is>
      </c>
    </row>
    <row collapsed="false" customFormat="false" customHeight="false" hidden="false" ht="12.1" outlineLevel="0" r="2343">
      <c r="A2343" s="3" t="s">
        <f>=HYPERLINK("https://mp39851918.megaplan.ua/deals/97499/card/","16295")</f>
      </c>
      <c r="B2343" s="3" t="inlineStr">
        <is>
          <t>112-5067038-2429865</t>
        </is>
      </c>
      <c r="C2343" s="3" t="inlineStr">
        <is>
          <t>Autodist</t>
        </is>
      </c>
    </row>
    <row collapsed="false" customFormat="false" customHeight="false" hidden="false" ht="12.1" outlineLevel="0" r="2344">
      <c r="A2344" s="3" t="s">
        <f>=HYPERLINK("https://mp39851918.megaplan.ua/deals/97520/card/","16297")</f>
      </c>
      <c r="B2344" s="3" t="inlineStr">
        <is>
          <t>113-1046184-2933053</t>
        </is>
      </c>
      <c r="C2344" s="3" t="inlineStr">
        <is>
          <t>Autodist</t>
        </is>
      </c>
    </row>
    <row collapsed="false" customFormat="false" customHeight="false" hidden="false" ht="12.1" outlineLevel="0" r="2345">
      <c r="A2345" s="3" t="s">
        <f>=HYPERLINK("https://mp39851918.megaplan.ua/deals/97524/card/","16298")</f>
      </c>
      <c r="B2345" s="3" t="inlineStr">
        <is>
          <t>112-5070245-5734654</t>
        </is>
      </c>
      <c r="C2345" s="3" t="inlineStr">
        <is>
          <t>Autodist</t>
        </is>
      </c>
    </row>
    <row collapsed="false" customFormat="false" customHeight="false" hidden="false" ht="12.1" outlineLevel="0" r="2346">
      <c r="A2346" s="3" t="s">
        <f>=HYPERLINK("https://mp39851918.megaplan.ua/deals/97527/card/","16299")</f>
      </c>
      <c r="B2346" s="3" t="inlineStr">
        <is>
          <t>114-5086064-5156237</t>
        </is>
      </c>
      <c r="C2346" s="3" t="inlineStr">
        <is>
          <t>RockyMountain</t>
        </is>
      </c>
    </row>
    <row collapsed="false" customFormat="false" customHeight="false" hidden="false" ht="12.1" outlineLevel="0" r="2347">
      <c r="A2347" s="3" t="s">
        <f>=HYPERLINK("https://mp39851918.megaplan.ua/deals/97540/card/","16300")</f>
      </c>
      <c r="B2347" s="3" t="inlineStr">
        <is>
          <t>114-6109961-8874629</t>
        </is>
      </c>
      <c r="C2347" s="3" t="inlineStr">
        <is>
          <t>Autodist</t>
        </is>
      </c>
    </row>
    <row collapsed="false" customFormat="false" customHeight="false" hidden="false" ht="12.1" outlineLevel="0" r="2348">
      <c r="A2348" s="3" t="s">
        <f>=HYPERLINK("https://mp39851918.megaplan.ua/deals/97549/card/","16301")</f>
      </c>
      <c r="B2348" s="3" t="inlineStr">
        <is>
          <t>111-7580066-0054607</t>
        </is>
      </c>
      <c r="C2348" s="3" t="inlineStr">
        <is>
          <t>Autodist</t>
        </is>
      </c>
    </row>
    <row collapsed="false" customFormat="false" customHeight="false" hidden="false" ht="12.1" outlineLevel="0" r="2349">
      <c r="A2349" s="3" t="s">
        <f>=HYPERLINK("https://mp39851918.megaplan.ua/deals/97553/card/","16302")</f>
      </c>
      <c r="B2349" s="3" t="inlineStr">
        <is>
          <t>114-3949286-4951408</t>
        </is>
      </c>
      <c r="C2349" s="3" t="inlineStr">
        <is>
          <t>TuckerRocky</t>
        </is>
      </c>
    </row>
    <row collapsed="false" customFormat="false" customHeight="false" hidden="false" ht="12.1" outlineLevel="0" r="2350">
      <c r="A2350" s="3" t="s">
        <f>=HYPERLINK("https://mp39851918.megaplan.ua/deals/97554/card/","16303")</f>
      </c>
      <c r="B2350" s="3" t="inlineStr">
        <is>
          <t>114-5915430-6628239</t>
        </is>
      </c>
      <c r="C2350" s="3" t="inlineStr">
        <is>
          <t>TuckerRocky</t>
        </is>
      </c>
    </row>
    <row collapsed="false" customFormat="false" customHeight="false" hidden="false" ht="12.1" outlineLevel="0" r="2351">
      <c r="A2351" s="3" t="s">
        <f>=HYPERLINK("https://mp39851918.megaplan.ua/deals/97557/card/","16304")</f>
      </c>
      <c r="B2351" s="3" t="inlineStr">
        <is>
          <t>114-2589953-1779417</t>
        </is>
      </c>
      <c r="C2351" s="3" t="inlineStr">
        <is>
          <t>Autodist</t>
        </is>
      </c>
    </row>
    <row collapsed="false" customFormat="false" customHeight="false" hidden="false" ht="12.1" outlineLevel="0" r="2352">
      <c r="A2352" s="3" t="s">
        <f>=HYPERLINK("https://mp39851918.megaplan.ua/deals/97579/card/","16306")</f>
      </c>
      <c r="B2352" s="3" t="inlineStr">
        <is>
          <t>114-1162302-3126601</t>
        </is>
      </c>
      <c r="C2352" s="3" t="inlineStr">
        <is>
          <t>Autodist</t>
        </is>
      </c>
    </row>
    <row collapsed="false" customFormat="false" customHeight="false" hidden="false" ht="12.1" outlineLevel="0" r="2353">
      <c r="A2353" s="3" t="s">
        <f>=HYPERLINK("https://mp39851918.megaplan.ua/deals/97582/card/","16307")</f>
      </c>
      <c r="B2353" s="3" t="inlineStr">
        <is>
          <t>111-8812571-3441824</t>
        </is>
      </c>
      <c r="C2353" s="3" t="inlineStr">
        <is>
          <t>RockyMountain</t>
        </is>
      </c>
    </row>
    <row collapsed="false" customFormat="false" customHeight="false" hidden="false" ht="12.1" outlineLevel="0" r="2354">
      <c r="A2354" s="3" t="s">
        <f>=HYPERLINK("https://mp39851918.megaplan.ua/deals/97584/card/","16308")</f>
      </c>
      <c r="B2354" s="3" t="inlineStr">
        <is>
          <t>114-8890609-5224207</t>
        </is>
      </c>
      <c r="C2354" s="3" t="inlineStr">
        <is>
          <t>Autodist</t>
        </is>
      </c>
    </row>
    <row collapsed="false" customFormat="false" customHeight="false" hidden="false" ht="12.1" outlineLevel="0" r="2355">
      <c r="A2355" s="3" t="s">
        <f>=HYPERLINK("https://mp39851918.megaplan.ua/deals/97586/card/","16309")</f>
      </c>
      <c r="B2355" s="3" t="inlineStr">
        <is>
          <t>112-3527378-9937869</t>
        </is>
      </c>
      <c r="C2355" s="3" t="inlineStr">
        <is>
          <t>PartsUnlimited</t>
        </is>
      </c>
    </row>
    <row collapsed="false" customFormat="false" customHeight="false" hidden="false" ht="12.1" outlineLevel="0" r="2356">
      <c r="A2356" s="3" t="s">
        <f>=HYPERLINK("https://mp39851918.megaplan.ua/deals/97588/card/","16310")</f>
      </c>
      <c r="B2356" s="3" t="inlineStr">
        <is>
          <t>112-8975556-0859441</t>
        </is>
      </c>
      <c r="C2356" s="3" t="inlineStr">
        <is>
          <t>Autodist</t>
        </is>
      </c>
    </row>
    <row collapsed="false" customFormat="false" customHeight="false" hidden="false" ht="12.1" outlineLevel="0" r="2357">
      <c r="A2357" s="3" t="s">
        <f>=HYPERLINK("https://mp39851918.megaplan.ua/deals/97589/card/","16311")</f>
      </c>
      <c r="B2357" s="3" t="inlineStr">
        <is>
          <t>113-8983895-0642656</t>
        </is>
      </c>
      <c r="C2357" s="3" t="inlineStr">
        <is>
          <t>Autodist</t>
        </is>
      </c>
    </row>
    <row collapsed="false" customFormat="false" customHeight="false" hidden="false" ht="12.1" outlineLevel="0" r="2358">
      <c r="A2358" s="3" t="s">
        <f>=HYPERLINK("https://mp39851918.megaplan.ua/deals/97591/card/","16312")</f>
      </c>
      <c r="B2358" s="3" t="inlineStr">
        <is>
          <t>111-9622452-1289841</t>
        </is>
      </c>
      <c r="C2358" s="3" t="inlineStr">
        <is>
          <t>TuckerRocky</t>
        </is>
      </c>
    </row>
    <row collapsed="false" customFormat="false" customHeight="false" hidden="false" ht="12.1" outlineLevel="0" r="2359">
      <c r="A2359" s="3" t="s">
        <f>=HYPERLINK("https://mp39851918.megaplan.ua/deals/97592/card/","16313")</f>
      </c>
      <c r="B2359" s="3" t="inlineStr">
        <is>
          <t>111-5554646-2957031</t>
        </is>
      </c>
      <c r="C2359" s="3" t="inlineStr">
        <is>
          <t>Autodist</t>
        </is>
      </c>
    </row>
    <row collapsed="false" customFormat="false" customHeight="false" hidden="false" ht="12.1" outlineLevel="0" r="2360">
      <c r="A2360" s="3" t="s">
        <f>=HYPERLINK("https://mp39851918.megaplan.ua/deals/97595/card/","16314")</f>
      </c>
      <c r="B2360" s="3" t="inlineStr">
        <is>
          <t>114-8550279-3881806</t>
        </is>
      </c>
      <c r="C2360" s="3" t="inlineStr">
        <is>
          <t>PartsUnlimited</t>
        </is>
      </c>
    </row>
    <row collapsed="false" customFormat="false" customHeight="false" hidden="false" ht="12.1" outlineLevel="0" r="2361">
      <c r="A2361" s="3" t="s">
        <f>=HYPERLINK("https://mp39851918.megaplan.ua/deals/97596/card/","16315")</f>
      </c>
      <c r="B2361" s="3" t="inlineStr">
        <is>
          <t>112-7598874-8337841</t>
        </is>
      </c>
      <c r="C2361" s="3" t="inlineStr">
        <is>
          <t>RockyMountain</t>
        </is>
      </c>
    </row>
    <row collapsed="false" customFormat="false" customHeight="false" hidden="false" ht="12.1" outlineLevel="0" r="2362">
      <c r="A2362" s="3" t="s">
        <f>=HYPERLINK("https://mp39851918.megaplan.ua/deals/97597/card/","16316")</f>
      </c>
      <c r="B2362" s="3" t="inlineStr">
        <is>
          <t>113-9525440-5025826</t>
        </is>
      </c>
      <c r="C2362" s="3" t="inlineStr">
        <is>
          <t>RockyMountain</t>
        </is>
      </c>
    </row>
    <row collapsed="false" customFormat="false" customHeight="false" hidden="false" ht="12.1" outlineLevel="0" r="2363">
      <c r="A2363" s="3" t="s">
        <f>=HYPERLINK("https://mp39851918.megaplan.ua/deals/97598/card/","16317")</f>
      </c>
      <c r="B2363" s="3" t="inlineStr">
        <is>
          <t>113-4632640-5365814</t>
        </is>
      </c>
      <c r="C2363" s="3" t="inlineStr">
        <is>
          <t>PartsUnlimited</t>
        </is>
      </c>
    </row>
    <row collapsed="false" customFormat="false" customHeight="false" hidden="false" ht="12.1" outlineLevel="0" r="2364">
      <c r="A2364" s="3" t="s">
        <f>=HYPERLINK("https://mp39851918.megaplan.ua/deals/97610/card/","16319")</f>
      </c>
      <c r="B2364" s="3" t="inlineStr">
        <is>
          <t>113-4878868-4269067</t>
        </is>
      </c>
      <c r="C2364" s="3" t="inlineStr">
        <is>
          <t>PartsUnlimited</t>
        </is>
      </c>
    </row>
    <row collapsed="false" customFormat="false" customHeight="false" hidden="false" ht="12.1" outlineLevel="0" r="2365">
      <c r="A2365" s="3" t="s">
        <f>=HYPERLINK("https://mp39851918.megaplan.ua/deals/97613/card/","16320")</f>
      </c>
      <c r="B2365" s="3" t="inlineStr">
        <is>
          <t>113-6025457-2746604</t>
        </is>
      </c>
      <c r="C2365" s="3" t="inlineStr">
        <is>
          <t>RockyMountain</t>
        </is>
      </c>
    </row>
    <row collapsed="false" customFormat="false" customHeight="false" hidden="false" ht="12.1" outlineLevel="0" r="2366">
      <c r="A2366" s="3" t="s">
        <f>=HYPERLINK("https://mp39851918.megaplan.ua/deals/97617/card/","16321")</f>
      </c>
      <c r="B2366" s="3" t="inlineStr">
        <is>
          <t>111-2206000-6289850</t>
        </is>
      </c>
      <c r="C2366" s="3" t="inlineStr">
        <is>
          <t>PartsUnlimited</t>
        </is>
      </c>
    </row>
    <row collapsed="false" customFormat="false" customHeight="false" hidden="false" ht="12.1" outlineLevel="0" r="2367">
      <c r="A2367" s="3" t="s">
        <f>=HYPERLINK("https://mp39851918.megaplan.ua/deals/97620/card/","16322")</f>
      </c>
      <c r="B2367" s="3" t="inlineStr">
        <is>
          <t>112-7161950-5739410</t>
        </is>
      </c>
      <c r="C2367" s="3" t="inlineStr">
        <is>
          <t>RockyMountain</t>
        </is>
      </c>
    </row>
    <row collapsed="false" customFormat="false" customHeight="false" hidden="false" ht="12.1" outlineLevel="0" r="2368">
      <c r="A2368" s="3" t="s">
        <f>=HYPERLINK("https://mp39851918.megaplan.ua/deals/97628/card/","16323")</f>
      </c>
      <c r="B2368" s="3" t="inlineStr">
        <is>
          <t>111-4887279-2620202</t>
        </is>
      </c>
      <c r="C2368" s="3" t="inlineStr">
        <is>
          <t>RockyMountain</t>
        </is>
      </c>
    </row>
    <row collapsed="false" customFormat="false" customHeight="false" hidden="false" ht="12.1" outlineLevel="0" r="2369">
      <c r="A2369" s="3" t="s">
        <f>=HYPERLINK("https://mp39851918.megaplan.ua/deals/97633/card/","16324")</f>
      </c>
      <c r="B2369" s="3" t="inlineStr">
        <is>
          <t>111-0240534-0453854</t>
        </is>
      </c>
      <c r="C2369" s="3" t="inlineStr">
        <is>
          <t>TuckerRocky</t>
        </is>
      </c>
    </row>
    <row collapsed="false" customFormat="false" customHeight="false" hidden="false" ht="12.1" outlineLevel="0" r="2370">
      <c r="A2370" s="3" t="s">
        <f>=HYPERLINK("https://mp39851918.megaplan.ua/deals/97634/card/","16325")</f>
      </c>
      <c r="B2370" s="3" t="inlineStr">
        <is>
          <t>111-4547585-2007451</t>
        </is>
      </c>
      <c r="C2370" s="3" t="inlineStr">
        <is>
          <t>Autodist</t>
        </is>
      </c>
    </row>
    <row collapsed="false" customFormat="false" customHeight="false" hidden="false" ht="12.1" outlineLevel="0" r="2371">
      <c r="A2371" s="3" t="s">
        <f>=HYPERLINK("https://mp39851918.megaplan.ua/deals/97639/card/","16326")</f>
      </c>
      <c r="B2371" s="3" t="inlineStr">
        <is>
          <t>113-8744870-6161852</t>
        </is>
      </c>
      <c r="C2371" s="3" t="inlineStr">
        <is>
          <t>Autodist</t>
        </is>
      </c>
    </row>
    <row collapsed="false" customFormat="false" customHeight="false" hidden="false" ht="12.1" outlineLevel="0" r="2372">
      <c r="A2372" s="3" t="s">
        <f>=HYPERLINK("https://mp39851918.megaplan.ua/deals/97649/card/","16329")</f>
      </c>
      <c r="B2372" s="3" t="inlineStr">
        <is>
          <t>111-9164050-1793015</t>
        </is>
      </c>
      <c r="C2372" s="3" t="inlineStr">
        <is>
          <t>Autodist</t>
        </is>
      </c>
    </row>
    <row collapsed="false" customFormat="false" customHeight="false" hidden="false" ht="12.1" outlineLevel="0" r="2373">
      <c r="A2373" s="3" t="s">
        <f>=HYPERLINK("https://mp39851918.megaplan.ua/deals/97651/card/","16330")</f>
      </c>
      <c r="B2373" s="3" t="inlineStr">
        <is>
          <t>114-0882360-2217813</t>
        </is>
      </c>
      <c r="C2373" s="3" t="inlineStr">
        <is>
          <t>RockyMountain</t>
        </is>
      </c>
    </row>
    <row collapsed="false" customFormat="false" customHeight="false" hidden="false" ht="12.1" outlineLevel="0" r="2374">
      <c r="A2374" s="3" t="s">
        <f>=HYPERLINK("https://mp39851918.megaplan.ua/deals/97658/card/","16332")</f>
      </c>
      <c r="B2374" s="3" t="inlineStr">
        <is>
          <t>114-3030096-0449845</t>
        </is>
      </c>
      <c r="C2374" s="3" t="inlineStr">
        <is>
          <t>Autodist</t>
        </is>
      </c>
    </row>
    <row collapsed="false" customFormat="false" customHeight="false" hidden="false" ht="12.1" outlineLevel="0" r="2375">
      <c r="A2375" s="3" t="s">
        <f>=HYPERLINK("https://mp39851918.megaplan.ua/deals/97659/card/","16333")</f>
      </c>
      <c r="B2375" s="3" t="inlineStr">
        <is>
          <t>111-8350009-7789801</t>
        </is>
      </c>
      <c r="C2375" s="3" t="inlineStr">
        <is>
          <t>Autodist</t>
        </is>
      </c>
    </row>
    <row collapsed="false" customFormat="false" customHeight="false" hidden="false" ht="12.1" outlineLevel="0" r="2376">
      <c r="A2376" s="3" t="s">
        <f>=HYPERLINK("https://mp39851918.megaplan.ua/deals/97668/card/","16334")</f>
      </c>
      <c r="B2376" s="3" t="inlineStr">
        <is>
          <t>111-6090494-1336238</t>
        </is>
      </c>
      <c r="C2376" s="3" t="inlineStr">
        <is>
          <t>Autodist</t>
        </is>
      </c>
    </row>
    <row collapsed="false" customFormat="false" customHeight="false" hidden="false" ht="12.1" outlineLevel="0" r="2377">
      <c r="A2377" s="3" t="s">
        <f>=HYPERLINK("https://mp39851918.megaplan.ua/deals/97675/card/","16337")</f>
      </c>
      <c r="B2377" s="3" t="inlineStr">
        <is>
          <t>113-4166907-4101059</t>
        </is>
      </c>
      <c r="C2377" s="3" t="inlineStr">
        <is>
          <t>Autodist</t>
        </is>
      </c>
    </row>
    <row collapsed="false" customFormat="false" customHeight="false" hidden="false" ht="12.1" outlineLevel="0" r="2378">
      <c r="A2378" s="3" t="s">
        <f>=HYPERLINK("https://mp39851918.megaplan.ua/deals/97687/card/","16338")</f>
      </c>
      <c r="B2378" s="3" t="inlineStr">
        <is>
          <t>114-5264153-8381068</t>
        </is>
      </c>
      <c r="C2378" s="3" t="inlineStr">
        <is>
          <t>TuckerRocky</t>
        </is>
      </c>
    </row>
    <row collapsed="false" customFormat="false" customHeight="false" hidden="false" ht="12.1" outlineLevel="0" r="2379">
      <c r="A2379" s="3" t="s">
        <f>=HYPERLINK("https://mp39851918.megaplan.ua/deals/97689/card/","16339")</f>
      </c>
      <c r="B2379" s="3" t="inlineStr">
        <is>
          <t>112-2277395-0676213</t>
        </is>
      </c>
      <c r="C2379" s="3" t="inlineStr">
        <is>
          <t>Autodist</t>
        </is>
      </c>
    </row>
    <row collapsed="false" customFormat="false" customHeight="false" hidden="false" ht="12.1" outlineLevel="0" r="2380">
      <c r="A2380" s="3" t="s">
        <f>=HYPERLINK("https://mp39851918.megaplan.ua/deals/97706/card/","16342")</f>
      </c>
      <c r="B2380" s="3" t="inlineStr">
        <is>
          <t>114-2564227-4690650</t>
        </is>
      </c>
      <c r="C2380" s="3" t="inlineStr">
        <is>
          <t>PartsUnlimited</t>
        </is>
      </c>
    </row>
    <row collapsed="false" customFormat="false" customHeight="false" hidden="false" ht="12.1" outlineLevel="0" r="2381">
      <c r="A2381" s="3" t="s">
        <f>=HYPERLINK("https://mp39851918.megaplan.ua/deals/97712/card/","16343")</f>
      </c>
      <c r="B2381" s="3" t="inlineStr">
        <is>
          <t>114-5574468-0830659</t>
        </is>
      </c>
      <c r="C2381" s="3" t="inlineStr">
        <is>
          <t>TuckerRocky</t>
        </is>
      </c>
    </row>
    <row collapsed="false" customFormat="false" customHeight="false" hidden="false" ht="12.1" outlineLevel="0" r="2382">
      <c r="A2382" s="3" t="s">
        <f>=HYPERLINK("https://mp39851918.megaplan.ua/deals/97713/card/","16344")</f>
      </c>
      <c r="B2382" s="3" t="inlineStr">
        <is>
          <t>113-5683484-7517040</t>
        </is>
      </c>
      <c r="C2382" s="3" t="inlineStr">
        <is>
          <t>Autodist</t>
        </is>
      </c>
    </row>
    <row collapsed="false" customFormat="false" customHeight="false" hidden="false" ht="12.1" outlineLevel="0" r="2383">
      <c r="A2383" s="3" t="s">
        <f>=HYPERLINK("https://mp39851918.megaplan.ua/deals/97714/card/","16345")</f>
      </c>
      <c r="B2383" s="3" t="inlineStr">
        <is>
          <t>113-6119315-1963456</t>
        </is>
      </c>
      <c r="C2383" s="3" t="inlineStr">
        <is>
          <t>Autodist</t>
        </is>
      </c>
    </row>
    <row collapsed="false" customFormat="false" customHeight="false" hidden="false" ht="12.1" outlineLevel="0" r="2384">
      <c r="A2384" s="3" t="s">
        <f>=HYPERLINK("https://mp39851918.megaplan.ua/deals/97721/card/","16346")</f>
      </c>
      <c r="B2384" s="3" t="inlineStr">
        <is>
          <t>111-5713412-3970617</t>
        </is>
      </c>
      <c r="C2384" s="3" t="inlineStr">
        <is>
          <t>Autodist</t>
        </is>
      </c>
    </row>
    <row collapsed="false" customFormat="false" customHeight="false" hidden="false" ht="12.1" outlineLevel="0" r="2385">
      <c r="A2385" s="3" t="s">
        <f>=HYPERLINK("https://mp39851918.megaplan.ua/deals/97722/card/","16347")</f>
      </c>
      <c r="B2385" s="3" t="inlineStr">
        <is>
          <t>111-6636834-9679465</t>
        </is>
      </c>
      <c r="C2385" s="3" t="inlineStr">
        <is>
          <t>RockyMountain</t>
        </is>
      </c>
    </row>
    <row collapsed="false" customFormat="false" customHeight="false" hidden="false" ht="12.1" outlineLevel="0" r="2386">
      <c r="A2386" s="3" t="s">
        <f>=HYPERLINK("https://mp39851918.megaplan.ua/deals/97723/card/","16348")</f>
      </c>
      <c r="B2386" s="3" t="inlineStr">
        <is>
          <t>112-2894235-2814607</t>
        </is>
      </c>
      <c r="C2386" s="3" t="inlineStr">
        <is>
          <t>Autodist</t>
        </is>
      </c>
    </row>
    <row collapsed="false" customFormat="false" customHeight="false" hidden="false" ht="12.1" outlineLevel="0" r="2387">
      <c r="A2387" s="3" t="s">
        <f>=HYPERLINK("https://mp39851918.megaplan.ua/deals/97730/card/","16349")</f>
      </c>
      <c r="B2387" s="3" t="inlineStr">
        <is>
          <t>112-3660162-3865003</t>
        </is>
      </c>
      <c r="C2387" s="3" t="inlineStr">
        <is>
          <t>TuckerRocky</t>
        </is>
      </c>
    </row>
    <row collapsed="false" customFormat="false" customHeight="false" hidden="false" ht="12.1" outlineLevel="0" r="2388">
      <c r="A2388" s="3" t="s">
        <f>=HYPERLINK("https://mp39851918.megaplan.ua/deals/97731/card/","16350")</f>
      </c>
      <c r="B2388" s="3" t="inlineStr">
        <is>
          <t>114-5127666-8373023</t>
        </is>
      </c>
      <c r="C2388" s="3" t="inlineStr">
        <is>
          <t>TuckerRocky</t>
        </is>
      </c>
    </row>
    <row collapsed="false" customFormat="false" customHeight="false" hidden="false" ht="12.1" outlineLevel="0" r="2389">
      <c r="A2389" s="3" t="s">
        <f>=HYPERLINK("https://mp39851918.megaplan.ua/deals/97734/card/","16351")</f>
      </c>
      <c r="B2389" s="3" t="inlineStr">
        <is>
          <t>112-1221045-5918668</t>
        </is>
      </c>
      <c r="C2389" s="3" t="inlineStr">
        <is>
          <t>Autodist</t>
        </is>
      </c>
    </row>
    <row collapsed="false" customFormat="false" customHeight="false" hidden="false" ht="12.1" outlineLevel="0" r="2390">
      <c r="A2390" s="3" t="s">
        <f>=HYPERLINK("https://mp39851918.megaplan.ua/deals/97736/card/","16352")</f>
      </c>
      <c r="B2390" s="3" t="inlineStr">
        <is>
          <t>113-8082604-5933020</t>
        </is>
      </c>
      <c r="C2390" s="3" t="inlineStr">
        <is>
          <t>TuckerRocky</t>
        </is>
      </c>
    </row>
    <row collapsed="false" customFormat="false" customHeight="false" hidden="false" ht="12.1" outlineLevel="0" r="2391">
      <c r="A2391" s="3" t="s">
        <f>=HYPERLINK("https://mp39851918.megaplan.ua/deals/97737/card/","16353")</f>
      </c>
      <c r="B2391" s="3" t="inlineStr">
        <is>
          <t>112-1874237-2541028</t>
        </is>
      </c>
      <c r="C2391" s="3" t="inlineStr">
        <is>
          <t>TuckerRocky</t>
        </is>
      </c>
    </row>
    <row collapsed="false" customFormat="false" customHeight="false" hidden="false" ht="12.1" outlineLevel="0" r="2392">
      <c r="A2392" s="3" t="s">
        <f>=HYPERLINK("https://mp39851918.megaplan.ua/deals/97743/card/","16354")</f>
      </c>
      <c r="B2392" s="3" t="inlineStr">
        <is>
          <t>112-9352501-2659409</t>
        </is>
      </c>
      <c r="C2392" s="3" t="inlineStr">
        <is>
          <t>RockyMountain</t>
        </is>
      </c>
    </row>
    <row collapsed="false" customFormat="false" customHeight="false" hidden="false" ht="12.1" outlineLevel="0" r="2393">
      <c r="A2393" s="3" t="s">
        <f>=HYPERLINK("https://mp39851918.megaplan.ua/deals/97754/card/","16357")</f>
      </c>
      <c r="B2393" s="3" t="inlineStr">
        <is>
          <t>111-3921097-9440264</t>
        </is>
      </c>
      <c r="C2393" s="3" t="inlineStr">
        <is>
          <t>RockyMountain</t>
        </is>
      </c>
    </row>
    <row collapsed="false" customFormat="false" customHeight="false" hidden="false" ht="12.1" outlineLevel="0" r="2394">
      <c r="A2394" s="3" t="s">
        <f>=HYPERLINK("https://mp39851918.megaplan.ua/deals/97755/card/","16358")</f>
      </c>
      <c r="B2394" s="3" t="inlineStr">
        <is>
          <t>113-5852173-4086617</t>
        </is>
      </c>
      <c r="C2394" s="3" t="inlineStr">
        <is>
          <t>RockyMountain</t>
        </is>
      </c>
    </row>
    <row collapsed="false" customFormat="false" customHeight="false" hidden="false" ht="12.1" outlineLevel="0" r="2395">
      <c r="A2395" s="3" t="s">
        <f>=HYPERLINK("https://mp39851918.megaplan.ua/deals/97756/card/","16359")</f>
      </c>
      <c r="B2395" s="3" t="inlineStr">
        <is>
          <t>114-6822765-0208236</t>
        </is>
      </c>
      <c r="C2395" s="3" t="inlineStr">
        <is>
          <t>TuckerRocky</t>
        </is>
      </c>
    </row>
    <row collapsed="false" customFormat="false" customHeight="false" hidden="false" ht="12.1" outlineLevel="0" r="2396">
      <c r="A2396" s="3" t="s">
        <f>=HYPERLINK("https://mp39851918.megaplan.ua/deals/97757/card/","16360")</f>
      </c>
      <c r="B2396" s="3" t="inlineStr">
        <is>
          <t>112-8222516-4478606</t>
        </is>
      </c>
      <c r="C2396" s="3" t="inlineStr">
        <is>
          <t>PartsUnlimited</t>
        </is>
      </c>
    </row>
    <row collapsed="false" customFormat="false" customHeight="false" hidden="false" ht="12.1" outlineLevel="0" r="2397">
      <c r="A2397" s="3" t="s">
        <f>=HYPERLINK("https://mp39851918.megaplan.ua/deals/97758/card/","16361")</f>
      </c>
      <c r="B2397" s="3" t="inlineStr">
        <is>
          <t>113-0641055-0857808</t>
        </is>
      </c>
      <c r="C2397" s="3" t="inlineStr">
        <is>
          <t>Autodist</t>
        </is>
      </c>
    </row>
    <row collapsed="false" customFormat="false" customHeight="false" hidden="false" ht="12.1" outlineLevel="0" r="2398">
      <c r="A2398" s="3" t="s">
        <f>=HYPERLINK("https://mp39851918.megaplan.ua/deals/97769/card/","16362")</f>
      </c>
      <c r="B2398" s="3" t="inlineStr">
        <is>
          <t>112-8527873-2232244</t>
        </is>
      </c>
      <c r="C2398" s="3" t="inlineStr">
        <is>
          <t>Autodist</t>
        </is>
      </c>
    </row>
    <row collapsed="false" customFormat="false" customHeight="false" hidden="false" ht="12.1" outlineLevel="0" r="2399">
      <c r="A2399" s="3" t="s">
        <f>=HYPERLINK("https://mp39851918.megaplan.ua/deals/97780/card/","16363")</f>
      </c>
      <c r="B2399" s="3" t="inlineStr">
        <is>
          <t>113-0564595-0715438</t>
        </is>
      </c>
      <c r="C2399" s="3" t="inlineStr">
        <is>
          <t>TuckerRocky</t>
        </is>
      </c>
    </row>
    <row collapsed="false" customFormat="false" customHeight="false" hidden="false" ht="12.1" outlineLevel="0" r="2400">
      <c r="A2400" s="3" t="s">
        <f>=HYPERLINK("https://mp39851918.megaplan.ua/deals/97785/card/","16365")</f>
      </c>
      <c r="B2400" s="3" t="inlineStr">
        <is>
          <t>112-9643306-3337832</t>
        </is>
      </c>
      <c r="C2400" s="3" t="inlineStr">
        <is>
          <t>Autodist</t>
        </is>
      </c>
    </row>
    <row collapsed="false" customFormat="false" customHeight="false" hidden="false" ht="12.1" outlineLevel="0" r="2401">
      <c r="A2401" s="3" t="s">
        <f>=HYPERLINK("https://mp39851918.megaplan.ua/deals/97787/card/","16366")</f>
      </c>
      <c r="B2401" s="3" t="inlineStr">
        <is>
          <t>112-5094016-4526668</t>
        </is>
      </c>
      <c r="C2401" s="3" t="inlineStr">
        <is>
          <t>Autodist</t>
        </is>
      </c>
    </row>
    <row collapsed="false" customFormat="false" customHeight="false" hidden="false" ht="12.1" outlineLevel="0" r="2402">
      <c r="A2402" s="3" t="s">
        <f>=HYPERLINK("https://mp39851918.megaplan.ua/deals/97789/card/","16367")</f>
      </c>
      <c r="B2402" s="3" t="inlineStr">
        <is>
          <t>113-5853121-2789008</t>
        </is>
      </c>
      <c r="C2402" s="3" t="inlineStr">
        <is>
          <t>Autodist</t>
        </is>
      </c>
    </row>
    <row collapsed="false" customFormat="false" customHeight="false" hidden="false" ht="12.1" outlineLevel="0" r="2403">
      <c r="A2403" s="3" t="s">
        <f>=HYPERLINK("https://mp39851918.megaplan.ua/deals/97807/card/","16369")</f>
      </c>
      <c r="B2403" s="3" t="inlineStr">
        <is>
          <t>112-4878112-7366600</t>
        </is>
      </c>
      <c r="C2403" s="3" t="inlineStr">
        <is>
          <t>Autodist</t>
        </is>
      </c>
    </row>
    <row collapsed="false" customFormat="false" customHeight="false" hidden="false" ht="12.1" outlineLevel="0" r="2404">
      <c r="A2404" s="3" t="s">
        <f>=HYPERLINK("https://mp39851918.megaplan.ua/deals/97808/card/","16370")</f>
      </c>
      <c r="B2404" s="3" t="inlineStr">
        <is>
          <t>112-1560113-6569044</t>
        </is>
      </c>
      <c r="C2404" s="3" t="inlineStr">
        <is>
          <t>TuckerRocky</t>
        </is>
      </c>
    </row>
    <row collapsed="false" customFormat="false" customHeight="false" hidden="false" ht="12.1" outlineLevel="0" r="2405">
      <c r="A2405" s="3" t="s">
        <f>=HYPERLINK("https://mp39851918.megaplan.ua/deals/97810/card/","16371")</f>
      </c>
      <c r="B2405" s="3" t="inlineStr">
        <is>
          <t>112-5455880-2461840</t>
        </is>
      </c>
      <c r="C2405" s="3" t="inlineStr">
        <is>
          <t>PartsUnlimited</t>
        </is>
      </c>
    </row>
    <row collapsed="false" customFormat="false" customHeight="false" hidden="false" ht="12.1" outlineLevel="0" r="2406">
      <c r="A2406" s="3" t="s">
        <f>=HYPERLINK("https://mp39851918.megaplan.ua/deals/97814/card/","16372")</f>
      </c>
      <c r="B2406" s="3" t="inlineStr">
        <is>
          <t>112-1369564-3242629</t>
        </is>
      </c>
      <c r="C2406" s="3" t="inlineStr">
        <is>
          <t>RockyMountain</t>
        </is>
      </c>
    </row>
    <row collapsed="false" customFormat="false" customHeight="false" hidden="false" ht="12.1" outlineLevel="0" r="2407">
      <c r="A2407" s="3" t="s">
        <f>=HYPERLINK("https://mp39851918.megaplan.ua/deals/97829/card/","16373")</f>
      </c>
      <c r="B2407" s="3" t="inlineStr">
        <is>
          <t>111-7162959-7082625</t>
        </is>
      </c>
      <c r="C2407" s="3" t="inlineStr">
        <is>
          <t>RockyMountain</t>
        </is>
      </c>
    </row>
    <row collapsed="false" customFormat="false" customHeight="false" hidden="false" ht="12.1" outlineLevel="0" r="2408">
      <c r="A2408" s="3" t="s">
        <f>=HYPERLINK("https://mp39851918.megaplan.ua/deals/97841/card/","16374")</f>
      </c>
      <c r="B2408" s="3" t="inlineStr">
        <is>
          <t>111-3386085-4581027</t>
        </is>
      </c>
      <c r="C2408" s="3" t="inlineStr">
        <is>
          <t>TuckerRocky</t>
        </is>
      </c>
    </row>
    <row collapsed="false" customFormat="false" customHeight="false" hidden="false" ht="12.1" outlineLevel="0" r="2409">
      <c r="A2409" s="3" t="s">
        <f>=HYPERLINK("https://mp39851918.megaplan.ua/deals/97868/card/","16376")</f>
      </c>
      <c r="B2409" s="3" t="inlineStr">
        <is>
          <t>113-8457099-9758667</t>
        </is>
      </c>
      <c r="C2409" s="3" t="inlineStr">
        <is>
          <t>Autodist</t>
        </is>
      </c>
    </row>
    <row collapsed="false" customFormat="false" customHeight="false" hidden="false" ht="12.1" outlineLevel="0" r="2410">
      <c r="A2410" s="3" t="s">
        <f>=HYPERLINK("https://mp39851918.megaplan.ua/deals/97879/card/","16378")</f>
      </c>
      <c r="B2410" s="3" t="inlineStr">
        <is>
          <t>112-0899401-6438628</t>
        </is>
      </c>
      <c r="C2410" s="3" t="inlineStr">
        <is>
          <t>Autodist</t>
        </is>
      </c>
    </row>
    <row collapsed="false" customFormat="false" customHeight="false" hidden="false" ht="12.1" outlineLevel="0" r="2411">
      <c r="A2411" s="3" t="s">
        <f>=HYPERLINK("https://mp39851918.megaplan.ua/deals/97890/card/","16380")</f>
      </c>
      <c r="B2411" s="3" t="inlineStr">
        <is>
          <t>111-1147893-8385026</t>
        </is>
      </c>
      <c r="C2411" s="3" t="inlineStr">
        <is>
          <t>TuckerRocky</t>
        </is>
      </c>
    </row>
    <row collapsed="false" customFormat="false" customHeight="false" hidden="false" ht="12.1" outlineLevel="0" r="2412">
      <c r="A2412" s="3" t="s">
        <f>=HYPERLINK("https://mp39851918.megaplan.ua/deals/97891/card/","16381")</f>
      </c>
      <c r="B2412" s="3" t="inlineStr">
        <is>
          <t>111-4963742-9718669</t>
        </is>
      </c>
      <c r="C2412" s="3" t="inlineStr">
        <is>
          <t>Autodist</t>
        </is>
      </c>
    </row>
    <row collapsed="false" customFormat="false" customHeight="false" hidden="false" ht="12.1" outlineLevel="0" r="2413">
      <c r="A2413" s="3" t="s">
        <f>=HYPERLINK("https://mp39851918.megaplan.ua/deals/97892/card/","16382")</f>
      </c>
      <c r="B2413" s="3" t="inlineStr">
        <is>
          <t>112-9833484-8112214</t>
        </is>
      </c>
      <c r="C2413" s="3" t="inlineStr">
        <is>
          <t>RockyMountain</t>
        </is>
      </c>
    </row>
    <row collapsed="false" customFormat="false" customHeight="false" hidden="false" ht="12.1" outlineLevel="0" r="2414">
      <c r="A2414" s="3" t="s">
        <f>=HYPERLINK("https://mp39851918.megaplan.ua/deals/97904/card/","16383")</f>
      </c>
      <c r="B2414" s="3" t="inlineStr">
        <is>
          <t>111-8028358-1477861</t>
        </is>
      </c>
      <c r="C2414" s="3" t="inlineStr">
        <is>
          <t>PartsUnlimited</t>
        </is>
      </c>
    </row>
    <row collapsed="false" customFormat="false" customHeight="false" hidden="false" ht="12.1" outlineLevel="0" r="2415">
      <c r="A2415" s="3" t="s">
        <f>=HYPERLINK("https://mp39851918.megaplan.ua/deals/97909/card/","16384")</f>
      </c>
      <c r="B2415" s="3" t="inlineStr">
        <is>
          <t>114-4138831-2514640</t>
        </is>
      </c>
      <c r="C2415" s="3" t="inlineStr">
        <is>
          <t>Autodist</t>
        </is>
      </c>
    </row>
    <row collapsed="false" customFormat="false" customHeight="false" hidden="false" ht="12.1" outlineLevel="0" r="2416">
      <c r="A2416" s="3" t="s">
        <f>=HYPERLINK("https://mp39851918.megaplan.ua/deals/97924/card/","16387")</f>
      </c>
      <c r="B2416" s="3" t="inlineStr">
        <is>
          <t>113-3942954-5573834</t>
        </is>
      </c>
      <c r="C2416" s="3" t="inlineStr">
        <is>
          <t>PartsUnlimited</t>
        </is>
      </c>
    </row>
    <row collapsed="false" customFormat="false" customHeight="false" hidden="false" ht="12.1" outlineLevel="0" r="2417">
      <c r="A2417" s="3" t="s">
        <f>=HYPERLINK("https://mp39851918.megaplan.ua/deals/97925/card/","16388")</f>
      </c>
      <c r="B2417" s="3" t="inlineStr">
        <is>
          <t>112-5457429-2351427</t>
        </is>
      </c>
      <c r="C2417" s="3" t="inlineStr">
        <is>
          <t>Autodist</t>
        </is>
      </c>
    </row>
    <row collapsed="false" customFormat="false" customHeight="false" hidden="false" ht="12.1" outlineLevel="0" r="2418">
      <c r="A2418" s="3" t="s">
        <f>=HYPERLINK("https://mp39851918.megaplan.ua/deals/97942/card/","16390")</f>
      </c>
      <c r="B2418" s="3" t="inlineStr">
        <is>
          <t>112-5720780-2937037</t>
        </is>
      </c>
      <c r="C2418" s="3" t="inlineStr">
        <is>
          <t>Autodist</t>
        </is>
      </c>
    </row>
    <row collapsed="false" customFormat="false" customHeight="false" hidden="false" ht="12.1" outlineLevel="0" r="2419">
      <c r="A2419" s="3" t="s">
        <f>=HYPERLINK("https://mp39851918.megaplan.ua/deals/97944/card/","16391")</f>
      </c>
      <c r="B2419" s="3" t="inlineStr">
        <is>
          <t>114-3734921-1139459</t>
        </is>
      </c>
      <c r="C2419" s="3" t="inlineStr">
        <is>
          <t>TuckerRocky</t>
        </is>
      </c>
    </row>
    <row collapsed="false" customFormat="false" customHeight="false" hidden="false" ht="12.1" outlineLevel="0" r="2420">
      <c r="A2420" s="3" t="s">
        <f>=HYPERLINK("https://mp39851918.megaplan.ua/deals/97962/card/","16393")</f>
      </c>
      <c r="B2420" s="3" t="inlineStr">
        <is>
          <t>113-7918679-7749861</t>
        </is>
      </c>
      <c r="C2420" s="3" t="inlineStr">
        <is>
          <t>TuckerRocky</t>
        </is>
      </c>
    </row>
    <row collapsed="false" customFormat="false" customHeight="false" hidden="false" ht="12.1" outlineLevel="0" r="2421">
      <c r="A2421" s="3" t="s">
        <f>=HYPERLINK("https://mp39851918.megaplan.ua/deals/97965/card/","16396")</f>
      </c>
      <c r="B2421" s="3" t="inlineStr">
        <is>
          <t>112-3994875-1737848</t>
        </is>
      </c>
      <c r="C2421" s="3" t="inlineStr">
        <is>
          <t>Autodist</t>
        </is>
      </c>
    </row>
    <row collapsed="false" customFormat="false" customHeight="false" hidden="false" ht="12.1" outlineLevel="0" r="2422">
      <c r="A2422" s="3" t="s">
        <f>=HYPERLINK("https://mp39851918.megaplan.ua/deals/97966/card/","16397")</f>
      </c>
      <c r="B2422" s="3" t="inlineStr">
        <is>
          <t>111-1559520-7765864</t>
        </is>
      </c>
      <c r="C2422" s="3" t="inlineStr">
        <is>
          <t>Autodist</t>
        </is>
      </c>
    </row>
    <row collapsed="false" customFormat="false" customHeight="false" hidden="false" ht="12.1" outlineLevel="0" r="2423">
      <c r="A2423" s="3" t="s">
        <f>=HYPERLINK("https://mp39851918.megaplan.ua/deals/97982/card/","16398")</f>
      </c>
      <c r="B2423" s="3" t="inlineStr">
        <is>
          <t>111-4561418-8523417</t>
        </is>
      </c>
      <c r="C2423" s="3" t="inlineStr">
        <is>
          <t>RockyMountain</t>
        </is>
      </c>
    </row>
    <row collapsed="false" customFormat="false" customHeight="false" hidden="false" ht="12.1" outlineLevel="0" r="2424">
      <c r="A2424" s="3" t="s">
        <f>=HYPERLINK("https://mp39851918.megaplan.ua/deals/97984/card/","16399")</f>
      </c>
      <c r="B2424" s="3" t="inlineStr">
        <is>
          <t>113-5888043-4121830</t>
        </is>
      </c>
      <c r="C2424" s="3" t="inlineStr">
        <is>
          <t>TuckerRocky</t>
        </is>
      </c>
    </row>
    <row collapsed="false" customFormat="false" customHeight="false" hidden="false" ht="12.1" outlineLevel="0" r="2425">
      <c r="A2425" s="3" t="s">
        <f>=HYPERLINK("https://mp39851918.megaplan.ua/deals/98021/card/","16404")</f>
      </c>
      <c r="B2425" s="3" t="inlineStr">
        <is>
          <t>111-9248891-9917057</t>
        </is>
      </c>
      <c r="C2425" s="3" t="inlineStr">
        <is>
          <t>Autodist</t>
        </is>
      </c>
    </row>
    <row collapsed="false" customFormat="false" customHeight="false" hidden="false" ht="12.1" outlineLevel="0" r="2426">
      <c r="A2426" s="3" t="s">
        <f>=HYPERLINK("https://mp39851918.megaplan.ua/deals/98024/card/","16405")</f>
      </c>
      <c r="B2426" s="3" t="inlineStr">
        <is>
          <t>112-4850885-2910608</t>
        </is>
      </c>
      <c r="C2426" s="3" t="inlineStr">
        <is>
          <t>RockyMountain</t>
        </is>
      </c>
    </row>
    <row collapsed="false" customFormat="false" customHeight="false" hidden="false" ht="12.1" outlineLevel="0" r="2427">
      <c r="A2427" s="3" t="s">
        <f>=HYPERLINK("https://mp39851918.megaplan.ua/deals/98028/card/","16406")</f>
      </c>
      <c r="B2427" s="3" t="inlineStr">
        <is>
          <t>113-6176353-9956212</t>
        </is>
      </c>
      <c r="C2427" s="3" t="inlineStr">
        <is>
          <t>RockyMountain</t>
        </is>
      </c>
    </row>
    <row collapsed="false" customFormat="false" customHeight="false" hidden="false" ht="12.1" outlineLevel="0" r="2428">
      <c r="A2428" s="3" t="s">
        <f>=HYPERLINK("https://mp39851918.megaplan.ua/deals/98032/card/","16407")</f>
      </c>
      <c r="B2428" s="3" t="inlineStr">
        <is>
          <t>114-2330905-9680229</t>
        </is>
      </c>
      <c r="C2428" s="3" t="inlineStr">
        <is>
          <t>Autodist</t>
        </is>
      </c>
    </row>
    <row collapsed="false" customFormat="false" customHeight="false" hidden="false" ht="12.1" outlineLevel="0" r="2429">
      <c r="A2429" s="3" t="s">
        <f>=HYPERLINK("https://mp39851918.megaplan.ua/deals/98053/card/","16409")</f>
      </c>
      <c r="B2429" s="3" t="inlineStr">
        <is>
          <t>112-5930790-5485832</t>
        </is>
      </c>
      <c r="C2429" s="3" t="inlineStr">
        <is>
          <t>Autodist</t>
        </is>
      </c>
    </row>
    <row collapsed="false" customFormat="false" customHeight="false" hidden="false" ht="12.1" outlineLevel="0" r="2430">
      <c r="A2430" s="3" t="s">
        <f>=HYPERLINK("https://mp39851918.megaplan.ua/deals/98061/card/","16410")</f>
      </c>
      <c r="B2430" s="3" t="inlineStr">
        <is>
          <t>111-7190435-8460217</t>
        </is>
      </c>
      <c r="C2430" s="3" t="inlineStr">
        <is>
          <t>Autodist</t>
        </is>
      </c>
    </row>
    <row collapsed="false" customFormat="false" customHeight="false" hidden="false" ht="12.1" outlineLevel="0" r="2431">
      <c r="A2431" s="3" t="s">
        <f>=HYPERLINK("https://mp39851918.megaplan.ua/deals/98063/card/","16411")</f>
      </c>
      <c r="B2431" s="3" t="inlineStr">
        <is>
          <t>113-5809057-2027412</t>
        </is>
      </c>
      <c r="C2431" s="3" t="inlineStr">
        <is>
          <t>RockyMountain</t>
        </is>
      </c>
    </row>
    <row collapsed="false" customFormat="false" customHeight="false" hidden="false" ht="12.1" outlineLevel="0" r="2432">
      <c r="A2432" s="3" t="s">
        <f>=HYPERLINK("https://mp39851918.megaplan.ua/deals/98068/card/","16412")</f>
      </c>
      <c r="B2432" s="3" t="inlineStr">
        <is>
          <t>112-1370541-3966632</t>
        </is>
      </c>
      <c r="C2432" s="3" t="inlineStr">
        <is>
          <t>RockyMountain</t>
        </is>
      </c>
    </row>
    <row collapsed="false" customFormat="false" customHeight="false" hidden="false" ht="12.1" outlineLevel="0" r="2433">
      <c r="A2433" s="3" t="s">
        <f>=HYPERLINK("https://mp39851918.megaplan.ua/deals/98071/card/","16414")</f>
      </c>
      <c r="B2433" s="3" t="inlineStr">
        <is>
          <t>113-3509151-2782640</t>
        </is>
      </c>
      <c r="C2433" s="3" t="inlineStr">
        <is>
          <t>Autodist</t>
        </is>
      </c>
    </row>
    <row collapsed="false" customFormat="false" customHeight="false" hidden="false" ht="12.1" outlineLevel="0" r="2434">
      <c r="A2434" s="3" t="s">
        <f>=HYPERLINK("https://mp39851918.megaplan.ua/deals/98073/card/","16415")</f>
      </c>
      <c r="B2434" s="3" t="inlineStr">
        <is>
          <t>111-5704392-9169860</t>
        </is>
      </c>
      <c r="C2434" s="3" t="inlineStr">
        <is>
          <t>Autodist</t>
        </is>
      </c>
    </row>
    <row collapsed="false" customFormat="false" customHeight="false" hidden="false" ht="12.1" outlineLevel="0" r="2435">
      <c r="A2435" s="3" t="s">
        <f>=HYPERLINK("https://mp39851918.megaplan.ua/deals/98088/card/","16417")</f>
      </c>
      <c r="B2435" s="3" t="inlineStr">
        <is>
          <t>112-8931847-5374616</t>
        </is>
      </c>
      <c r="C2435" s="3" t="inlineStr">
        <is>
          <t>Autodist</t>
        </is>
      </c>
    </row>
    <row collapsed="false" customFormat="false" customHeight="false" hidden="false" ht="12.1" outlineLevel="0" r="2436">
      <c r="A2436" s="3" t="s">
        <f>=HYPERLINK("https://mp39851918.megaplan.ua/deals/98115/card/","16420")</f>
      </c>
      <c r="B2436" s="3" t="inlineStr">
        <is>
          <t>113-0491248-2390663</t>
        </is>
      </c>
      <c r="C2436" s="3" t="inlineStr">
        <is>
          <t>Wps</t>
        </is>
      </c>
    </row>
    <row collapsed="false" customFormat="false" customHeight="false" hidden="false" ht="12.1" outlineLevel="0" r="2437">
      <c r="A2437" s="3" t="s">
        <f>=HYPERLINK("https://mp39851918.megaplan.ua/deals/98117/card/","16421")</f>
      </c>
      <c r="B2437" s="3" t="inlineStr">
        <is>
          <t>112-2082303-5252200</t>
        </is>
      </c>
      <c r="C2437" s="3" t="inlineStr">
        <is>
          <t>TuckerRocky</t>
        </is>
      </c>
    </row>
    <row collapsed="false" customFormat="false" customHeight="false" hidden="false" ht="12.1" outlineLevel="0" r="2438">
      <c r="A2438" s="3" t="s">
        <f>=HYPERLINK("https://mp39851918.megaplan.ua/deals/98118/card/","16422")</f>
      </c>
      <c r="B2438" s="3" t="inlineStr">
        <is>
          <t>114-4779114-5101810</t>
        </is>
      </c>
      <c r="C2438" s="3" t="inlineStr">
        <is>
          <t>PartsUnlimited</t>
        </is>
      </c>
    </row>
    <row collapsed="false" customFormat="false" customHeight="false" hidden="false" ht="12.1" outlineLevel="0" r="2439">
      <c r="A2439" s="3" t="s">
        <f>=HYPERLINK("https://mp39851918.megaplan.ua/deals/98122/card/","16423")</f>
      </c>
      <c r="B2439" s="3" t="inlineStr">
        <is>
          <t>112-5644605-2067417</t>
        </is>
      </c>
      <c r="C2439" s="3" t="inlineStr">
        <is>
          <t>TuckerRocky</t>
        </is>
      </c>
    </row>
    <row collapsed="false" customFormat="false" customHeight="false" hidden="false" ht="12.1" outlineLevel="0" r="2440">
      <c r="A2440" s="3" t="s">
        <f>=HYPERLINK("https://mp39851918.megaplan.ua/deals/98164/card/","16435")</f>
      </c>
      <c r="B2440" s="3" t="inlineStr">
        <is>
          <t>114-5515725-9413053</t>
        </is>
      </c>
      <c r="C2440" s="3" t="inlineStr">
        <is>
          <t>TuckerRocky</t>
        </is>
      </c>
    </row>
    <row collapsed="false" customFormat="false" customHeight="false" hidden="false" ht="12.1" outlineLevel="0" r="2441">
      <c r="A2441" s="3" t="s">
        <f>=HYPERLINK("https://mp39851918.megaplan.ua/deals/98166/card/","16436")</f>
      </c>
      <c r="B2441" s="3" t="inlineStr">
        <is>
          <t>112-2669668-9377829</t>
        </is>
      </c>
      <c r="C2441" s="3" t="inlineStr">
        <is>
          <t>TuckerRocky</t>
        </is>
      </c>
    </row>
    <row collapsed="false" customFormat="false" customHeight="false" hidden="false" ht="12.1" outlineLevel="0" r="2442">
      <c r="A2442" s="3" t="s">
        <f>=HYPERLINK("https://mp39851918.megaplan.ua/deals/98171/card/","16437")</f>
      </c>
      <c r="B2442" s="3" t="inlineStr">
        <is>
          <t>113-2848638-5945800</t>
        </is>
      </c>
      <c r="C2442" s="3" t="inlineStr">
        <is>
          <t>Autodist</t>
        </is>
      </c>
    </row>
    <row collapsed="false" customFormat="false" customHeight="false" hidden="false" ht="12.1" outlineLevel="0" r="2443">
      <c r="A2443" s="3" t="s">
        <f>=HYPERLINK("https://mp39851918.megaplan.ua/deals/98176/card/","16438")</f>
      </c>
      <c r="B2443" s="3" t="inlineStr">
        <is>
          <t>112-4984997-9649062</t>
        </is>
      </c>
      <c r="C2443" s="3" t="inlineStr">
        <is>
          <t>RockyMountain</t>
        </is>
      </c>
    </row>
    <row collapsed="false" customFormat="false" customHeight="false" hidden="false" ht="12.1" outlineLevel="0" r="2444">
      <c r="A2444" s="3" t="s">
        <f>=HYPERLINK("https://mp39851918.megaplan.ua/deals/98178/card/","16439")</f>
      </c>
      <c r="B2444" s="3" t="inlineStr">
        <is>
          <t>111-2671904-4704214</t>
        </is>
      </c>
      <c r="C2444" s="3" t="inlineStr">
        <is>
          <t>RockyMountain</t>
        </is>
      </c>
    </row>
    <row collapsed="false" customFormat="false" customHeight="false" hidden="false" ht="12.1" outlineLevel="0" r="2445">
      <c r="A2445" s="3" t="s">
        <f>=HYPERLINK("https://mp39851918.megaplan.ua/deals/98179/card/","16440")</f>
      </c>
      <c r="B2445" s="3" t="inlineStr">
        <is>
          <t>114-8671409-9186646</t>
        </is>
      </c>
      <c r="C2445" s="3" t="inlineStr">
        <is>
          <t>TuckerRocky</t>
        </is>
      </c>
    </row>
    <row collapsed="false" customFormat="false" customHeight="false" hidden="false" ht="12.1" outlineLevel="0" r="2446">
      <c r="A2446" s="3" t="s">
        <f>=HYPERLINK("https://mp39851918.megaplan.ua/deals/98180/card/","16441")</f>
      </c>
      <c r="B2446" s="3" t="inlineStr">
        <is>
          <t>111-4409730-3449043</t>
        </is>
      </c>
      <c r="C2446" s="3" t="inlineStr">
        <is>
          <t>Autodist</t>
        </is>
      </c>
    </row>
    <row collapsed="false" customFormat="false" customHeight="false" hidden="false" ht="12.1" outlineLevel="0" r="2447">
      <c r="A2447" s="3" t="s">
        <f>=HYPERLINK("https://mp39851918.megaplan.ua/deals/98181/card/","16442")</f>
      </c>
      <c r="B2447" s="3" t="inlineStr">
        <is>
          <t>114-0522298-1356254</t>
        </is>
      </c>
      <c r="C2447" s="3" t="inlineStr">
        <is>
          <t>PartsUnlimited</t>
        </is>
      </c>
    </row>
    <row collapsed="false" customFormat="false" customHeight="false" hidden="false" ht="12.1" outlineLevel="0" r="2448">
      <c r="A2448" s="3" t="s">
        <f>=HYPERLINK("https://mp39851918.megaplan.ua/deals/98183/card/","16443")</f>
      </c>
      <c r="B2448" s="3" t="inlineStr">
        <is>
          <t>112-3147928-8637056</t>
        </is>
      </c>
      <c r="C2448" s="3" t="inlineStr">
        <is>
          <t>PartsUnlimited</t>
        </is>
      </c>
    </row>
    <row collapsed="false" customFormat="false" customHeight="false" hidden="false" ht="12.1" outlineLevel="0" r="2449">
      <c r="A2449" s="3" t="s">
        <f>=HYPERLINK("https://mp39851918.megaplan.ua/deals/98186/card/","16444")</f>
      </c>
      <c r="B2449" s="3" t="inlineStr">
        <is>
          <t>114-8606846-4681051</t>
        </is>
      </c>
      <c r="C2449" s="3" t="inlineStr">
        <is>
          <t>Autodist</t>
        </is>
      </c>
    </row>
    <row collapsed="false" customFormat="false" customHeight="false" hidden="false" ht="12.1" outlineLevel="0" r="2450">
      <c r="A2450" s="3" t="s">
        <f>=HYPERLINK("https://mp39851918.megaplan.ua/deals/98207/card/","16445")</f>
      </c>
      <c r="B2450" s="3" t="inlineStr">
        <is>
          <t>111-8397128-3999420</t>
        </is>
      </c>
      <c r="C2450" s="3" t="inlineStr">
        <is>
          <t>Autodist</t>
        </is>
      </c>
    </row>
    <row collapsed="false" customFormat="false" customHeight="false" hidden="false" ht="12.1" outlineLevel="0" r="2451">
      <c r="A2451" s="3" t="s">
        <f>=HYPERLINK("https://mp39851918.megaplan.ua/deals/98208/card/","16446")</f>
      </c>
      <c r="B2451" s="3" t="inlineStr">
        <is>
          <t>113-4843654-9447432</t>
        </is>
      </c>
      <c r="C2451" s="3" t="inlineStr">
        <is>
          <t>PartsUnlimited</t>
        </is>
      </c>
    </row>
    <row collapsed="false" customFormat="false" customHeight="false" hidden="false" ht="12.1" outlineLevel="0" r="2452">
      <c r="A2452" s="3" t="s">
        <f>=HYPERLINK("https://mp39851918.megaplan.ua/deals/98209/card/","16447")</f>
      </c>
      <c r="B2452" s="3" t="inlineStr">
        <is>
          <t>114-2156583-0442619</t>
        </is>
      </c>
      <c r="C2452" s="3" t="inlineStr">
        <is>
          <t>Autodist</t>
        </is>
      </c>
    </row>
    <row collapsed="false" customFormat="false" customHeight="false" hidden="false" ht="12.1" outlineLevel="0" r="2453">
      <c r="A2453" s="3" t="s">
        <f>=HYPERLINK("https://mp39851918.megaplan.ua/deals/98210/card/","16448")</f>
      </c>
      <c r="B2453" s="3" t="inlineStr">
        <is>
          <t>112-6281825-4927431</t>
        </is>
      </c>
      <c r="C2453" s="3" t="inlineStr">
        <is>
          <t>TuckerRocky</t>
        </is>
      </c>
    </row>
    <row collapsed="false" customFormat="false" customHeight="false" hidden="false" ht="12.1" outlineLevel="0" r="2454">
      <c r="A2454" s="3" t="s">
        <f>=HYPERLINK("https://mp39851918.megaplan.ua/deals/98237/card/","16449")</f>
      </c>
      <c r="B2454" s="3" t="inlineStr">
        <is>
          <t>114-2534964-1993850</t>
        </is>
      </c>
      <c r="C2454" s="3" t="inlineStr">
        <is>
          <t>TuckerRocky</t>
        </is>
      </c>
    </row>
    <row collapsed="false" customFormat="false" customHeight="false" hidden="false" ht="12.1" outlineLevel="0" r="2455">
      <c r="A2455" s="3" t="s">
        <f>=HYPERLINK("https://mp39851918.megaplan.ua/deals/98242/card/","16450")</f>
      </c>
      <c r="B2455" s="3" t="inlineStr">
        <is>
          <t>114-8380968-1215466</t>
        </is>
      </c>
      <c r="C2455" s="3" t="inlineStr">
        <is>
          <t>PartsUnlimited</t>
        </is>
      </c>
    </row>
    <row collapsed="false" customFormat="false" customHeight="false" hidden="false" ht="12.1" outlineLevel="0" r="2456">
      <c r="A2456" s="3" t="s">
        <f>=HYPERLINK("https://mp39851918.megaplan.ua/deals/98253/card/","16451")</f>
      </c>
      <c r="B2456" s="3" t="inlineStr">
        <is>
          <t>112-4850885-2910608</t>
        </is>
      </c>
      <c r="C2456" s="3" t="inlineStr">
        <is>
          <t>TuckerRocky</t>
        </is>
      </c>
    </row>
    <row collapsed="false" customFormat="false" customHeight="false" hidden="false" ht="12.1" outlineLevel="0" r="2457">
      <c r="A2457" s="3" t="s">
        <f>=HYPERLINK("https://mp39851918.megaplan.ua/deals/98254/card/","16452")</f>
      </c>
      <c r="B2457" s="3" t="inlineStr">
        <is>
          <t>111-4561418-8523417</t>
        </is>
      </c>
      <c r="C2457" s="3" t="inlineStr">
        <is>
          <t>TuckerRocky</t>
        </is>
      </c>
    </row>
    <row collapsed="false" customFormat="false" customHeight="false" hidden="false" ht="12.1" outlineLevel="0" r="2458">
      <c r="A2458" s="3" t="s">
        <f>=HYPERLINK("https://mp39851918.megaplan.ua/deals/98256/card/","16453")</f>
      </c>
      <c r="B2458" s="3" t="inlineStr">
        <is>
          <t>114-1428315-0061801</t>
        </is>
      </c>
      <c r="C2458" s="3" t="inlineStr">
        <is>
          <t>PartsUnlimited</t>
        </is>
      </c>
    </row>
    <row collapsed="false" customFormat="false" customHeight="false" hidden="false" ht="12.1" outlineLevel="0" r="2459">
      <c r="A2459" s="3" t="s">
        <f>=HYPERLINK("https://mp39851918.megaplan.ua/deals/98257/card/","16454")</f>
      </c>
      <c r="B2459" s="3" t="inlineStr">
        <is>
          <t>114-1428315-0061801</t>
        </is>
      </c>
      <c r="C2459" s="3" t="inlineStr">
        <is>
          <t>TuckerRocky</t>
        </is>
      </c>
    </row>
    <row collapsed="false" customFormat="false" customHeight="false" hidden="false" ht="12.1" outlineLevel="0" r="2460">
      <c r="A2460" s="3" t="s">
        <f>=HYPERLINK("https://mp39851918.megaplan.ua/deals/98263/card/","16456")</f>
      </c>
      <c r="B2460" s="3" t="inlineStr">
        <is>
          <t>111-7906446-0498669</t>
        </is>
      </c>
      <c r="C2460" s="3" t="inlineStr">
        <is>
          <t>TuckerRocky</t>
        </is>
      </c>
    </row>
    <row collapsed="false" customFormat="false" customHeight="false" hidden="false" ht="12.1" outlineLevel="0" r="2461">
      <c r="A2461" s="3" t="s">
        <f>=HYPERLINK("https://mp39851918.megaplan.ua/deals/98269/card/","16457")</f>
      </c>
      <c r="B2461" s="3" t="inlineStr">
        <is>
          <t>112-5970192-2348225</t>
        </is>
      </c>
      <c r="C2461" s="3" t="inlineStr">
        <is>
          <t>PartsUnlimited</t>
        </is>
      </c>
    </row>
    <row collapsed="false" customFormat="false" customHeight="false" hidden="false" ht="12.1" outlineLevel="0" r="2462">
      <c r="A2462" s="3" t="s">
        <f>=HYPERLINK("https://mp39851918.megaplan.ua/deals/98292/card/","16458")</f>
      </c>
      <c r="B2462" s="3" t="inlineStr">
        <is>
          <t>111-1242357-2151456</t>
        </is>
      </c>
      <c r="C2462" s="3" t="inlineStr">
        <is>
          <t>TuckerRocky</t>
        </is>
      </c>
    </row>
    <row collapsed="false" customFormat="false" customHeight="false" hidden="false" ht="12.1" outlineLevel="0" r="2463">
      <c r="A2463" s="3" t="s">
        <f>=HYPERLINK("https://mp39851918.megaplan.ua/deals/98296/card/","16459")</f>
      </c>
      <c r="B2463" s="3" t="inlineStr">
        <is>
          <t>113-2304349-9310648</t>
        </is>
      </c>
      <c r="C2463" s="3" t="inlineStr">
        <is>
          <t>RockyMountain</t>
        </is>
      </c>
    </row>
    <row collapsed="false" customFormat="false" customHeight="false" hidden="false" ht="12.1" outlineLevel="0" r="2464">
      <c r="A2464" s="3" t="s">
        <f>=HYPERLINK("https://mp39851918.megaplan.ua/deals/98299/card/","16460")</f>
      </c>
      <c r="B2464" s="3" t="inlineStr">
        <is>
          <t>114-5713022-0505846</t>
        </is>
      </c>
      <c r="C2464" s="3" t="inlineStr">
        <is>
          <t>TuckerRocky</t>
        </is>
      </c>
    </row>
    <row collapsed="false" customFormat="false" customHeight="false" hidden="false" ht="12.1" outlineLevel="0" r="2465">
      <c r="A2465" s="3" t="s">
        <f>=HYPERLINK("https://mp39851918.megaplan.ua/deals/98302/card/","16461")</f>
      </c>
      <c r="B2465" s="3" t="inlineStr">
        <is>
          <t>111-7791146-4390610</t>
        </is>
      </c>
      <c r="C2465" s="3" t="inlineStr">
        <is>
          <t>Autodist</t>
        </is>
      </c>
    </row>
    <row collapsed="false" customFormat="false" customHeight="false" hidden="false" ht="12.1" outlineLevel="0" r="2466">
      <c r="A2466" s="3" t="s">
        <f>=HYPERLINK("https://mp39851918.megaplan.ua/deals/98303/card/","16462")</f>
      </c>
      <c r="B2466" s="3" t="inlineStr">
        <is>
          <t>111-3540439-0428221</t>
        </is>
      </c>
      <c r="C2466" s="3" t="inlineStr">
        <is>
          <t>PartsUnlimited</t>
        </is>
      </c>
    </row>
    <row collapsed="false" customFormat="false" customHeight="false" hidden="false" ht="12.1" outlineLevel="0" r="2467">
      <c r="A2467" s="3" t="s">
        <f>=HYPERLINK("https://mp39851918.megaplan.ua/deals/98305/card/","16463")</f>
      </c>
      <c r="B2467" s="3" t="inlineStr">
        <is>
          <t>113-5730506-7850639</t>
        </is>
      </c>
      <c r="C2467" s="3" t="inlineStr">
        <is>
          <t>Autodist</t>
        </is>
      </c>
    </row>
    <row collapsed="false" customFormat="false" customHeight="false" hidden="false" ht="12.1" outlineLevel="0" r="2468">
      <c r="A2468" s="3" t="s">
        <f>=HYPERLINK("https://mp39851918.megaplan.ua/deals/98309/card/","16464")</f>
      </c>
      <c r="B2468" s="3" t="inlineStr">
        <is>
          <t>113-2003446-6895467</t>
        </is>
      </c>
      <c r="C2468" s="3" t="inlineStr">
        <is>
          <t>TuckerRocky</t>
        </is>
      </c>
    </row>
    <row collapsed="false" customFormat="false" customHeight="false" hidden="false" ht="12.1" outlineLevel="0" r="2469">
      <c r="A2469" s="3" t="s">
        <f>=HYPERLINK("https://mp39851918.megaplan.ua/deals/98310/card/","16465")</f>
      </c>
      <c r="B2469" s="3" t="inlineStr">
        <is>
          <t>111-6352902-2550600</t>
        </is>
      </c>
      <c r="C2469" s="3" t="inlineStr">
        <is>
          <t>Autodist</t>
        </is>
      </c>
    </row>
    <row collapsed="false" customFormat="false" customHeight="false" hidden="false" ht="12.1" outlineLevel="0" r="2470">
      <c r="A2470" s="3" t="s">
        <f>=HYPERLINK("https://mp39851918.megaplan.ua/deals/98311/card/","16466")</f>
      </c>
      <c r="B2470" s="3" t="inlineStr">
        <is>
          <t>114-3435486-0705023</t>
        </is>
      </c>
      <c r="C2470" s="3" t="inlineStr">
        <is>
          <t>Autodist</t>
        </is>
      </c>
    </row>
    <row collapsed="false" customFormat="false" customHeight="false" hidden="false" ht="12.1" outlineLevel="0" r="2471">
      <c r="A2471" s="3" t="s">
        <f>=HYPERLINK("https://mp39851918.megaplan.ua/deals/98314/card/","16467")</f>
      </c>
      <c r="B2471" s="3" t="inlineStr">
        <is>
          <t>114-1440283-0050632</t>
        </is>
      </c>
      <c r="C2471" s="3" t="inlineStr">
        <is>
          <t>RockyMountain</t>
        </is>
      </c>
    </row>
    <row collapsed="false" customFormat="false" customHeight="false" hidden="false" ht="12.1" outlineLevel="0" r="2472">
      <c r="A2472" s="3" t="s">
        <f>=HYPERLINK("https://mp39851918.megaplan.ua/deals/98322/card/","16468")</f>
      </c>
      <c r="B2472" s="3" t="inlineStr">
        <is>
          <t>111-3948064-7537856</t>
        </is>
      </c>
      <c r="C2472" s="3" t="inlineStr">
        <is>
          <t>RockyMountain</t>
        </is>
      </c>
    </row>
    <row collapsed="false" customFormat="false" customHeight="false" hidden="false" ht="12.1" outlineLevel="0" r="2473">
      <c r="A2473" s="3" t="s">
        <f>=HYPERLINK("https://mp39851918.megaplan.ua/deals/98328/card/","16469")</f>
      </c>
      <c r="B2473" s="3" t="inlineStr">
        <is>
          <t>113-0213123-3717015</t>
        </is>
      </c>
      <c r="C2473" s="3" t="inlineStr">
        <is>
          <t>RockyMountain</t>
        </is>
      </c>
    </row>
    <row collapsed="false" customFormat="false" customHeight="false" hidden="false" ht="12.1" outlineLevel="0" r="2474">
      <c r="A2474" s="3" t="s">
        <f>=HYPERLINK("https://mp39851918.megaplan.ua/deals/98330/card/","16470")</f>
      </c>
      <c r="B2474" s="3" t="inlineStr">
        <is>
          <t>113-8244379-5753008</t>
        </is>
      </c>
      <c r="C2474" s="3" t="inlineStr">
        <is>
          <t>RockyMountain</t>
        </is>
      </c>
    </row>
    <row collapsed="false" customFormat="false" customHeight="false" hidden="false" ht="12.1" outlineLevel="0" r="2475">
      <c r="A2475" s="3" t="s">
        <f>=HYPERLINK("https://mp39851918.megaplan.ua/deals/98331/card/","16471")</f>
      </c>
      <c r="B2475" s="3" t="inlineStr">
        <is>
          <t>114-4594789-4345022</t>
        </is>
      </c>
      <c r="C2475" s="3" t="inlineStr">
        <is>
          <t>RockyMountain</t>
        </is>
      </c>
    </row>
    <row collapsed="false" customFormat="false" customHeight="false" hidden="false" ht="12.1" outlineLevel="0" r="2476">
      <c r="A2476" s="3" t="s">
        <f>=HYPERLINK("https://mp39851918.megaplan.ua/deals/98335/card/","16472")</f>
      </c>
      <c r="B2476" s="3" t="inlineStr">
        <is>
          <t>111-8807695-7351448</t>
        </is>
      </c>
      <c r="C2476" s="3" t="inlineStr">
        <is>
          <t>RockyMountain</t>
        </is>
      </c>
    </row>
    <row collapsed="false" customFormat="false" customHeight="false" hidden="false" ht="12.1" outlineLevel="0" r="2477">
      <c r="A2477" s="3" t="s">
        <f>=HYPERLINK("https://mp39851918.megaplan.ua/deals/98336/card/","16473")</f>
      </c>
      <c r="B2477" s="3" t="inlineStr">
        <is>
          <t>113-4959683-3293823</t>
        </is>
      </c>
      <c r="C2477" s="3" t="inlineStr">
        <is>
          <t>TuckerRocky</t>
        </is>
      </c>
    </row>
    <row collapsed="false" customFormat="false" customHeight="false" hidden="false" ht="12.1" outlineLevel="0" r="2478">
      <c r="A2478" s="3" t="s">
        <f>=HYPERLINK("https://mp39851918.megaplan.ua/deals/98352/card/","16475")</f>
      </c>
      <c r="B2478" s="3" t="inlineStr">
        <is>
          <t>113-5939310-6926614</t>
        </is>
      </c>
      <c r="C2478" s="3" t="inlineStr">
        <is>
          <t>RockyMountain</t>
        </is>
      </c>
    </row>
    <row collapsed="false" customFormat="false" customHeight="false" hidden="false" ht="12.1" outlineLevel="0" r="2479">
      <c r="A2479" s="3" t="s">
        <f>=HYPERLINK("https://mp39851918.megaplan.ua/deals/98369/card/","16477")</f>
      </c>
      <c r="B2479" s="3" t="inlineStr">
        <is>
          <t>113-2165500-6317809</t>
        </is>
      </c>
      <c r="C2479" s="3" t="inlineStr">
        <is>
          <t>PartsUnlimited</t>
        </is>
      </c>
    </row>
    <row collapsed="false" customFormat="false" customHeight="false" hidden="false" ht="12.1" outlineLevel="0" r="2480">
      <c r="A2480" s="3" t="s">
        <f>=HYPERLINK("https://mp39851918.megaplan.ua/deals/98393/card/","16478")</f>
      </c>
      <c r="B2480" s="3" t="inlineStr">
        <is>
          <t>111-6283190-7449041</t>
        </is>
      </c>
      <c r="C2480" s="3" t="inlineStr">
        <is>
          <t>PartsUnlimited</t>
        </is>
      </c>
    </row>
    <row collapsed="false" customFormat="false" customHeight="false" hidden="false" ht="12.1" outlineLevel="0" r="2481">
      <c r="A2481" s="3" t="s">
        <f>=HYPERLINK("https://mp39851918.megaplan.ua/deals/98400/card/","16479")</f>
      </c>
      <c r="B2481" s="3" t="inlineStr">
        <is>
          <t>114-7341992-3381813</t>
        </is>
      </c>
      <c r="C2481" s="3" t="inlineStr">
        <is>
          <t>TuckerRocky</t>
        </is>
      </c>
    </row>
    <row collapsed="false" customFormat="false" customHeight="false" hidden="false" ht="12.1" outlineLevel="0" r="2482">
      <c r="A2482" s="3" t="s">
        <f>=HYPERLINK("https://mp39851918.megaplan.ua/deals/98402/card/","16480")</f>
      </c>
      <c r="B2482" s="3" t="inlineStr">
        <is>
          <t>112-3395059-1365830</t>
        </is>
      </c>
      <c r="C2482" s="3" t="inlineStr">
        <is>
          <t>TuckerRocky</t>
        </is>
      </c>
    </row>
    <row collapsed="false" customFormat="false" customHeight="false" hidden="false" ht="12.1" outlineLevel="0" r="2483">
      <c r="A2483" s="3" t="s">
        <f>=HYPERLINK("https://mp39851918.megaplan.ua/deals/98413/card/","16481")</f>
      </c>
      <c r="B2483" s="3" t="inlineStr">
        <is>
          <t>114-0031996-6730606</t>
        </is>
      </c>
      <c r="C2483" s="3" t="inlineStr">
        <is>
          <t>Autodist</t>
        </is>
      </c>
    </row>
    <row collapsed="false" customFormat="false" customHeight="false" hidden="false" ht="12.1" outlineLevel="0" r="2484">
      <c r="A2484" s="3" t="s">
        <f>=HYPERLINK("https://mp39851918.megaplan.ua/deals/98425/card/","16483")</f>
      </c>
      <c r="B2484" s="3" t="inlineStr">
        <is>
          <t>111-2845924-3513828</t>
        </is>
      </c>
      <c r="C2484" s="3" t="inlineStr">
        <is>
          <t>Autodist</t>
        </is>
      </c>
    </row>
    <row collapsed="false" customFormat="false" customHeight="false" hidden="false" ht="12.1" outlineLevel="0" r="2485">
      <c r="A2485" s="3" t="s">
        <f>=HYPERLINK("https://mp39851918.megaplan.ua/deals/98430/card/","16484")</f>
      </c>
      <c r="B2485" s="3" t="inlineStr">
        <is>
          <t>112-4538970-2608200</t>
        </is>
      </c>
      <c r="C2485" s="3" t="inlineStr">
        <is>
          <t>TuckerRocky</t>
        </is>
      </c>
    </row>
    <row collapsed="false" customFormat="false" customHeight="false" hidden="false" ht="12.1" outlineLevel="0" r="2486">
      <c r="A2486" s="3" t="s">
        <f>=HYPERLINK("https://mp39851918.megaplan.ua/deals/98444/card/","16486")</f>
      </c>
      <c r="B2486" s="3" t="inlineStr">
        <is>
          <t>113-4854139-5783405</t>
        </is>
      </c>
      <c r="C2486" s="3" t="inlineStr">
        <is>
          <t>TuckerRocky</t>
        </is>
      </c>
    </row>
    <row collapsed="false" customFormat="false" customHeight="false" hidden="false" ht="12.1" outlineLevel="0" r="2487">
      <c r="A2487" s="3" t="s">
        <f>=HYPERLINK("https://mp39851918.megaplan.ua/deals/98445/card/","16487")</f>
      </c>
      <c r="B2487" s="3" t="inlineStr">
        <is>
          <t>114-3378215-1867456</t>
        </is>
      </c>
      <c r="C2487" s="3" t="inlineStr">
        <is>
          <t>Autodist</t>
        </is>
      </c>
    </row>
    <row collapsed="false" customFormat="false" customHeight="false" hidden="false" ht="12.1" outlineLevel="0" r="2488">
      <c r="A2488" s="3" t="s">
        <f>=HYPERLINK("https://mp39851918.megaplan.ua/deals/98455/card/","16488")</f>
      </c>
      <c r="B2488" s="3" t="inlineStr">
        <is>
          <t>112-7400425-9025853</t>
        </is>
      </c>
      <c r="C2488" s="3" t="inlineStr">
        <is>
          <t>TuckerRocky</t>
        </is>
      </c>
    </row>
    <row collapsed="false" customFormat="false" customHeight="false" hidden="false" ht="12.1" outlineLevel="0" r="2489">
      <c r="A2489" s="3" t="s">
        <f>=HYPERLINK("https://mp39851918.megaplan.ua/deals/98456/card/","16489")</f>
      </c>
      <c r="B2489" s="3" t="inlineStr">
        <is>
          <t>112-9395385-2934602</t>
        </is>
      </c>
      <c r="C2489" s="3" t="inlineStr">
        <is>
          <t>TuckerRocky</t>
        </is>
      </c>
    </row>
    <row collapsed="false" customFormat="false" customHeight="false" hidden="false" ht="12.1" outlineLevel="0" r="2490">
      <c r="A2490" s="3" t="s">
        <f>=HYPERLINK("https://mp39851918.megaplan.ua/deals/98458/card/","16490")</f>
      </c>
      <c r="B2490" s="3" t="inlineStr">
        <is>
          <t>113-4521288-1897825</t>
        </is>
      </c>
      <c r="C2490" s="3" t="inlineStr">
        <is>
          <t>TuckerRocky</t>
        </is>
      </c>
    </row>
    <row collapsed="false" customFormat="false" customHeight="false" hidden="false" ht="12.1" outlineLevel="0" r="2491">
      <c r="A2491" s="3" t="s">
        <f>=HYPERLINK("https://mp39851918.megaplan.ua/deals/98461/card/","16491")</f>
      </c>
      <c r="B2491" s="3" t="inlineStr">
        <is>
          <t>112-6483383-1442663</t>
        </is>
      </c>
      <c r="C2491" s="3" t="inlineStr">
        <is>
          <t>Autodist</t>
        </is>
      </c>
    </row>
    <row collapsed="false" customFormat="false" customHeight="false" hidden="false" ht="12.1" outlineLevel="0" r="2492">
      <c r="A2492" s="3" t="s">
        <f>=HYPERLINK("https://mp39851918.megaplan.ua/deals/98462/card/","16492")</f>
      </c>
      <c r="B2492" s="3" t="inlineStr">
        <is>
          <t>113-4749075-2047452</t>
        </is>
      </c>
      <c r="C2492" s="3" t="inlineStr">
        <is>
          <t>TuckerRocky</t>
        </is>
      </c>
    </row>
    <row collapsed="false" customFormat="false" customHeight="false" hidden="false" ht="12.1" outlineLevel="0" r="2493">
      <c r="A2493" s="3" t="s">
        <f>=HYPERLINK("https://mp39851918.megaplan.ua/deals/98481/card/","16494")</f>
      </c>
      <c r="B2493" s="3" t="inlineStr">
        <is>
          <t>114-9282600-7281867</t>
        </is>
      </c>
      <c r="C2493" s="3" t="inlineStr">
        <is>
          <t>TuckerRocky</t>
        </is>
      </c>
    </row>
    <row collapsed="false" customFormat="false" customHeight="false" hidden="false" ht="12.1" outlineLevel="0" r="2494">
      <c r="A2494" s="3" t="s">
        <f>=HYPERLINK("https://mp39851918.megaplan.ua/deals/98488/card/","16495")</f>
      </c>
      <c r="B2494" s="3" t="inlineStr">
        <is>
          <t>114-5733510-3314612</t>
        </is>
      </c>
      <c r="C2494" s="3" t="inlineStr">
        <is>
          <t>TuckerRocky</t>
        </is>
      </c>
    </row>
    <row collapsed="false" customFormat="false" customHeight="false" hidden="false" ht="12.1" outlineLevel="0" r="2495">
      <c r="A2495" s="3" t="s">
        <f>=HYPERLINK("https://mp39851918.megaplan.ua/deals/98505/card/","16496")</f>
      </c>
      <c r="B2495" s="3" t="inlineStr">
        <is>
          <t>114-0487537-2929808</t>
        </is>
      </c>
      <c r="C2495" s="3" t="inlineStr">
        <is>
          <t>Autodist</t>
        </is>
      </c>
    </row>
    <row collapsed="false" customFormat="false" customHeight="false" hidden="false" ht="12.1" outlineLevel="0" r="2496">
      <c r="A2496" s="3" t="s">
        <f>=HYPERLINK("https://mp39851918.megaplan.ua/deals/98510/card/","16497")</f>
      </c>
      <c r="B2496" s="3" t="inlineStr">
        <is>
          <t>114-1414753-9424224</t>
        </is>
      </c>
      <c r="C2496" s="3" t="inlineStr">
        <is>
          <t>Autodist</t>
        </is>
      </c>
    </row>
    <row collapsed="false" customFormat="false" customHeight="false" hidden="false" ht="12.1" outlineLevel="0" r="2497">
      <c r="A2497" s="3" t="s">
        <f>=HYPERLINK("https://mp39851918.megaplan.ua/deals/98518/card/","16498")</f>
      </c>
      <c r="B2497" s="3" t="inlineStr">
        <is>
          <t>113-7753289-6825046</t>
        </is>
      </c>
      <c r="C2497" s="3" t="inlineStr">
        <is>
          <t>Autodist</t>
        </is>
      </c>
    </row>
    <row collapsed="false" customFormat="false" customHeight="false" hidden="false" ht="12.1" outlineLevel="0" r="2498">
      <c r="A2498" s="3" t="s">
        <f>=HYPERLINK("https://mp39851918.megaplan.ua/deals/98521/card/","16499")</f>
      </c>
      <c r="B2498" s="3" t="inlineStr">
        <is>
          <t>111-4147095-8994622</t>
        </is>
      </c>
      <c r="C2498" s="3" t="inlineStr">
        <is>
          <t>Autodist</t>
        </is>
      </c>
    </row>
    <row collapsed="false" customFormat="false" customHeight="false" hidden="false" ht="12.1" outlineLevel="0" r="2499">
      <c r="A2499" s="3" t="s">
        <f>=HYPERLINK("https://mp39851918.megaplan.ua/deals/98525/card/","16500")</f>
      </c>
      <c r="B2499" s="3" t="inlineStr">
        <is>
          <t>114-5906152-2283424</t>
        </is>
      </c>
      <c r="C2499" s="3" t="inlineStr">
        <is>
          <t>PartsUnlimited</t>
        </is>
      </c>
    </row>
    <row collapsed="false" customFormat="false" customHeight="false" hidden="false" ht="12.1" outlineLevel="0" r="2500">
      <c r="A2500" s="3" t="s">
        <f>=HYPERLINK("https://mp39851918.megaplan.ua/deals/98530/card/","16501")</f>
      </c>
      <c r="B2500" s="3" t="inlineStr">
        <is>
          <t>112-8358378-2576260</t>
        </is>
      </c>
      <c r="C2500" s="3" t="inlineStr">
        <is>
          <t>Autodist</t>
        </is>
      </c>
    </row>
    <row collapsed="false" customFormat="false" customHeight="false" hidden="false" ht="12.1" outlineLevel="0" r="2501">
      <c r="A2501" s="3" t="s">
        <f>=HYPERLINK("https://mp39851918.megaplan.ua/deals/98534/card/","16502")</f>
      </c>
      <c r="B2501" s="3" t="inlineStr">
        <is>
          <t>112-2910950-7669058</t>
        </is>
      </c>
      <c r="C2501" s="3" t="inlineStr">
        <is>
          <t>PartsUnlimited</t>
        </is>
      </c>
    </row>
    <row collapsed="false" customFormat="false" customHeight="false" hidden="false" ht="12.1" outlineLevel="0" r="2502">
      <c r="A2502" s="3" t="s">
        <f>=HYPERLINK("https://mp39851918.megaplan.ua/deals/98536/card/","16503")</f>
      </c>
      <c r="B2502" s="3" t="inlineStr">
        <is>
          <t>111-7754655-6665026</t>
        </is>
      </c>
      <c r="C2502" s="3" t="inlineStr">
        <is>
          <t>TuckerRocky</t>
        </is>
      </c>
    </row>
    <row collapsed="false" customFormat="false" customHeight="false" hidden="false" ht="12.1" outlineLevel="0" r="2503">
      <c r="A2503" s="3" t="s">
        <f>=HYPERLINK("https://mp39851918.megaplan.ua/deals/98541/card/","16504")</f>
      </c>
      <c r="B2503" s="3" t="inlineStr">
        <is>
          <t>114-7479168-0065843</t>
        </is>
      </c>
      <c r="C2503" s="3" t="inlineStr">
        <is>
          <t>RockyMountain</t>
        </is>
      </c>
    </row>
    <row collapsed="false" customFormat="false" customHeight="false" hidden="false" ht="12.1" outlineLevel="0" r="2504">
      <c r="A2504" s="3" t="s">
        <f>=HYPERLINK("https://mp39851918.megaplan.ua/deals/98542/card/","16505")</f>
      </c>
      <c r="B2504" s="3" t="inlineStr">
        <is>
          <t>111-3163413-7221801</t>
        </is>
      </c>
      <c r="C2504" s="3" t="inlineStr">
        <is>
          <t>RockyMountain</t>
        </is>
      </c>
    </row>
    <row collapsed="false" customFormat="false" customHeight="false" hidden="false" ht="12.1" outlineLevel="0" r="2505">
      <c r="A2505" s="3" t="s">
        <f>=HYPERLINK("https://mp39851918.megaplan.ua/deals/98543/card/","16506")</f>
      </c>
      <c r="B2505" s="3" t="inlineStr">
        <is>
          <t>114-6743692-0317003</t>
        </is>
      </c>
      <c r="C2505" s="3" t="inlineStr">
        <is>
          <t>RockyMountain</t>
        </is>
      </c>
    </row>
    <row collapsed="false" customFormat="false" customHeight="false" hidden="false" ht="12.1" outlineLevel="0" r="2506">
      <c r="A2506" s="3" t="s">
        <f>=HYPERLINK("https://mp39851918.megaplan.ua/deals/98546/card/","16507")</f>
      </c>
      <c r="B2506" s="3" t="inlineStr">
        <is>
          <t>112-8629786-1833805</t>
        </is>
      </c>
      <c r="C2506" s="3" t="inlineStr">
        <is>
          <t>Autodist</t>
        </is>
      </c>
    </row>
    <row collapsed="false" customFormat="false" customHeight="false" hidden="false" ht="12.1" outlineLevel="0" r="2507">
      <c r="A2507" s="3" t="s">
        <f>=HYPERLINK("https://mp39851918.megaplan.ua/deals/98552/card/","16508")</f>
      </c>
      <c r="B2507" s="3" t="inlineStr">
        <is>
          <t>112-4511471-8336208</t>
        </is>
      </c>
      <c r="C2507" s="3" t="inlineStr">
        <is>
          <t>TuckerRocky</t>
        </is>
      </c>
    </row>
    <row collapsed="false" customFormat="false" customHeight="false" hidden="false" ht="12.1" outlineLevel="0" r="2508">
      <c r="A2508" s="3" t="s">
        <f>=HYPERLINK("https://mp39851918.megaplan.ua/deals/98553/card/","16509")</f>
      </c>
      <c r="B2508" s="3" t="inlineStr">
        <is>
          <t>112-8406644-3937024</t>
        </is>
      </c>
      <c r="C2508" s="3" t="inlineStr">
        <is>
          <t>TuckerRocky</t>
        </is>
      </c>
    </row>
    <row collapsed="false" customFormat="false" customHeight="false" hidden="false" ht="12.1" outlineLevel="0" r="2509">
      <c r="A2509" s="3" t="s">
        <f>=HYPERLINK("https://mp39851918.megaplan.ua/deals/98554/card/","16510")</f>
      </c>
      <c r="B2509" s="3" t="inlineStr">
        <is>
          <t>114-9331959-4359410</t>
        </is>
      </c>
      <c r="C2509" s="3" t="inlineStr">
        <is>
          <t>TuckerRocky</t>
        </is>
      </c>
    </row>
    <row collapsed="false" customFormat="false" customHeight="false" hidden="false" ht="12.1" outlineLevel="0" r="2510">
      <c r="A2510" s="3" t="s">
        <f>=HYPERLINK("https://mp39851918.megaplan.ua/deals/98563/card/","16511")</f>
      </c>
      <c r="B2510" s="3" t="inlineStr">
        <is>
          <t>113-4206749-3993829</t>
        </is>
      </c>
      <c r="C2510" s="3" t="inlineStr">
        <is>
          <t>PartsUnlimited</t>
        </is>
      </c>
    </row>
    <row collapsed="false" customFormat="false" customHeight="false" hidden="false" ht="12.1" outlineLevel="0" r="2511">
      <c r="A2511" s="3" t="s">
        <f>=HYPERLINK("https://mp39851918.megaplan.ua/deals/98565/card/","16512")</f>
      </c>
      <c r="B2511" s="3" t="inlineStr">
        <is>
          <t>114-4481423-4973864</t>
        </is>
      </c>
      <c r="C2511" s="3" t="inlineStr">
        <is>
          <t>Autodist</t>
        </is>
      </c>
    </row>
    <row collapsed="false" customFormat="false" customHeight="false" hidden="false" ht="12.1" outlineLevel="0" r="2512">
      <c r="A2512" s="3" t="s">
        <f>=HYPERLINK("https://mp39851918.megaplan.ua/deals/98569/card/","16513")</f>
      </c>
      <c r="B2512" s="3" t="inlineStr">
        <is>
          <t>113-0693268-6587469</t>
        </is>
      </c>
      <c r="C2512" s="3" t="inlineStr">
        <is>
          <t>TuckerRocky</t>
        </is>
      </c>
    </row>
    <row collapsed="false" customFormat="false" customHeight="false" hidden="false" ht="12.1" outlineLevel="0" r="2513">
      <c r="A2513" s="3" t="s">
        <f>=HYPERLINK("https://mp39851918.megaplan.ua/deals/98570/card/","16514")</f>
      </c>
      <c r="B2513" s="3" t="inlineStr">
        <is>
          <t>112-2733925-9094665</t>
        </is>
      </c>
      <c r="C2513" s="3" t="inlineStr">
        <is>
          <t>Autodist</t>
        </is>
      </c>
    </row>
    <row collapsed="false" customFormat="false" customHeight="false" hidden="false" ht="12.1" outlineLevel="0" r="2514">
      <c r="A2514" s="3" t="s">
        <f>=HYPERLINK("https://mp39851918.megaplan.ua/deals/98572/card/","16515")</f>
      </c>
      <c r="B2514" s="3" t="inlineStr">
        <is>
          <t>113-0364427-3657048</t>
        </is>
      </c>
      <c r="C2514" s="3" t="inlineStr">
        <is>
          <t>PartsUnlimited</t>
        </is>
      </c>
    </row>
    <row collapsed="false" customFormat="false" customHeight="false" hidden="false" ht="12.1" outlineLevel="0" r="2515">
      <c r="A2515" s="3" t="s">
        <f>=HYPERLINK("https://mp39851918.megaplan.ua/deals/98577/card/","16516")</f>
      </c>
      <c r="B2515" s="3" t="inlineStr">
        <is>
          <t>111-2401360-3189026</t>
        </is>
      </c>
      <c r="C2515" s="3" t="inlineStr">
        <is>
          <t>TuckerRocky</t>
        </is>
      </c>
    </row>
    <row collapsed="false" customFormat="false" customHeight="false" hidden="false" ht="12.1" outlineLevel="0" r="2516">
      <c r="A2516" s="3" t="s">
        <f>=HYPERLINK("https://mp39851918.megaplan.ua/deals/98586/card/","16517")</f>
      </c>
      <c r="B2516" s="3" t="inlineStr">
        <is>
          <t>114-1776093-2913825</t>
        </is>
      </c>
      <c r="C2516" s="3" t="inlineStr">
        <is>
          <t>TuckerRocky</t>
        </is>
      </c>
    </row>
    <row collapsed="false" customFormat="false" customHeight="false" hidden="false" ht="12.1" outlineLevel="0" r="2517">
      <c r="A2517" s="3" t="s">
        <f>=HYPERLINK("https://mp39851918.megaplan.ua/deals/98587/card/","16518")</f>
      </c>
      <c r="B2517" s="3" t="inlineStr">
        <is>
          <t>113-0114051-7082660</t>
        </is>
      </c>
      <c r="C2517" s="3" t="inlineStr">
        <is>
          <t>TuckerRocky</t>
        </is>
      </c>
    </row>
    <row collapsed="false" customFormat="false" customHeight="false" hidden="false" ht="12.1" outlineLevel="0" r="2518">
      <c r="A2518" s="3" t="s">
        <f>=HYPERLINK("https://mp39851918.megaplan.ua/deals/98588/card/","16519")</f>
      </c>
      <c r="B2518" s="3" t="inlineStr">
        <is>
          <t>113-1521641-2069048</t>
        </is>
      </c>
      <c r="C2518" s="3" t="inlineStr">
        <is>
          <t>TuckerRocky</t>
        </is>
      </c>
    </row>
    <row collapsed="false" customFormat="false" customHeight="false" hidden="false" ht="12.1" outlineLevel="0" r="2519">
      <c r="A2519" s="3" t="s">
        <f>=HYPERLINK("https://mp39851918.megaplan.ua/deals/98589/card/","16520")</f>
      </c>
      <c r="B2519" s="3" t="inlineStr">
        <is>
          <t>114-7875851-3522665</t>
        </is>
      </c>
      <c r="C2519" s="3" t="inlineStr">
        <is>
          <t>Autodist</t>
        </is>
      </c>
    </row>
    <row collapsed="false" customFormat="false" customHeight="false" hidden="false" ht="12.1" outlineLevel="0" r="2520">
      <c r="A2520" s="3" t="s">
        <f>=HYPERLINK("https://mp39851918.megaplan.ua/deals/98604/card/","16522")</f>
      </c>
      <c r="B2520" s="3" t="inlineStr">
        <is>
          <t>113-5084758-6827407</t>
        </is>
      </c>
      <c r="C2520" s="3" t="inlineStr">
        <is>
          <t>TuckerRocky</t>
        </is>
      </c>
    </row>
    <row collapsed="false" customFormat="false" customHeight="false" hidden="false" ht="12.1" outlineLevel="0" r="2521">
      <c r="A2521" s="3" t="s">
        <f>=HYPERLINK("https://mp39851918.megaplan.ua/deals/98606/card/","16523")</f>
      </c>
      <c r="B2521" s="3" t="inlineStr">
        <is>
          <t>112-4830684-3994638</t>
        </is>
      </c>
      <c r="C2521" s="3" t="inlineStr">
        <is>
          <t>PartsUnlimited</t>
        </is>
      </c>
    </row>
    <row collapsed="false" customFormat="false" customHeight="false" hidden="false" ht="12.1" outlineLevel="0" r="2522">
      <c r="A2522" s="3" t="s">
        <f>=HYPERLINK("https://mp39851918.megaplan.ua/deals/98607/card/","16524")</f>
      </c>
      <c r="B2522" s="3" t="inlineStr">
        <is>
          <t>114-6041054-1917817</t>
        </is>
      </c>
      <c r="C2522" s="3" t="inlineStr">
        <is>
          <t>PartsUnlimited</t>
        </is>
      </c>
    </row>
    <row collapsed="false" customFormat="false" customHeight="false" hidden="false" ht="12.1" outlineLevel="0" r="2523">
      <c r="A2523" s="3" t="s">
        <f>=HYPERLINK("https://mp39851918.megaplan.ua/deals/98631/card/","16526")</f>
      </c>
      <c r="B2523" s="3" t="inlineStr">
        <is>
          <t>114-6503732-4586603</t>
        </is>
      </c>
      <c r="C2523" s="3" t="inlineStr">
        <is>
          <t>TuckerRocky</t>
        </is>
      </c>
    </row>
    <row collapsed="false" customFormat="false" customHeight="false" hidden="false" ht="12.1" outlineLevel="0" r="2524">
      <c r="A2524" s="3" t="s">
        <f>=HYPERLINK("https://mp39851918.megaplan.ua/deals/98642/card/","16527")</f>
      </c>
      <c r="B2524" s="3" t="inlineStr">
        <is>
          <t>112-1396244-5338632</t>
        </is>
      </c>
      <c r="C2524" s="3" t="inlineStr">
        <is>
          <t>TuckerRocky</t>
        </is>
      </c>
    </row>
    <row collapsed="false" customFormat="false" customHeight="false" hidden="false" ht="12.1" outlineLevel="0" r="2525">
      <c r="A2525" s="3" t="s">
        <f>=HYPERLINK("https://mp39851918.megaplan.ua/deals/98646/card/","16528")</f>
      </c>
      <c r="B2525" s="3" t="inlineStr">
        <is>
          <t>113-0656944-5107418</t>
        </is>
      </c>
      <c r="C2525" s="3" t="inlineStr">
        <is>
          <t>TuckerRocky</t>
        </is>
      </c>
    </row>
    <row collapsed="false" customFormat="false" customHeight="false" hidden="false" ht="12.1" outlineLevel="0" r="2526">
      <c r="A2526" s="3" t="s">
        <f>=HYPERLINK("https://mp39851918.megaplan.ua/deals/98657/card/","16529")</f>
      </c>
      <c r="B2526" s="3" t="inlineStr">
        <is>
          <t>111-2241377-8968228</t>
        </is>
      </c>
      <c r="C2526" s="3" t="inlineStr">
        <is>
          <t>PartsUnlimited</t>
        </is>
      </c>
    </row>
    <row collapsed="false" customFormat="false" customHeight="false" hidden="false" ht="12.1" outlineLevel="0" r="2527">
      <c r="A2527" s="3" t="s">
        <f>=HYPERLINK("https://mp39851918.megaplan.ua/deals/98661/card/","16530")</f>
      </c>
      <c r="B2527" s="3" t="inlineStr">
        <is>
          <t>112-2036300-8487456</t>
        </is>
      </c>
      <c r="C2527" s="3" t="inlineStr">
        <is>
          <t>Autodist</t>
        </is>
      </c>
    </row>
    <row collapsed="false" customFormat="false" customHeight="false" hidden="false" ht="12.1" outlineLevel="0" r="2528">
      <c r="A2528" s="3" t="s">
        <f>=HYPERLINK("https://mp39851918.megaplan.ua/deals/98670/card/","16532")</f>
      </c>
      <c r="B2528" s="3" t="inlineStr">
        <is>
          <t>111-4776757-4985046</t>
        </is>
      </c>
      <c r="C2528" s="3" t="inlineStr">
        <is>
          <t>TuckerRocky</t>
        </is>
      </c>
    </row>
    <row collapsed="false" customFormat="false" customHeight="false" hidden="false" ht="12.1" outlineLevel="0" r="2529">
      <c r="A2529" s="3" t="s">
        <f>=HYPERLINK("https://mp39851918.megaplan.ua/deals/98671/card/","16533")</f>
      </c>
      <c r="B2529" s="3" t="inlineStr">
        <is>
          <t>112-7203011-6821066</t>
        </is>
      </c>
      <c r="C2529" s="3" t="inlineStr">
        <is>
          <t>Autodist</t>
        </is>
      </c>
    </row>
    <row collapsed="false" customFormat="false" customHeight="false" hidden="false" ht="12.1" outlineLevel="0" r="2530">
      <c r="A2530" s="3" t="s">
        <f>=HYPERLINK("https://mp39851918.megaplan.ua/deals/98673/card/","16534")</f>
      </c>
      <c r="B2530" s="3" t="inlineStr">
        <is>
          <t>114-5071284-2173806</t>
        </is>
      </c>
      <c r="C2530" s="3" t="inlineStr">
        <is>
          <t>TuckerRocky</t>
        </is>
      </c>
    </row>
    <row collapsed="false" customFormat="false" customHeight="false" hidden="false" ht="12.1" outlineLevel="0" r="2531">
      <c r="A2531" s="3" t="s">
        <f>=HYPERLINK("https://mp39851918.megaplan.ua/deals/98681/card/","16535")</f>
      </c>
      <c r="B2531" s="3" t="inlineStr">
        <is>
          <t>111-1529156-9344238</t>
        </is>
      </c>
      <c r="C2531" s="3" t="inlineStr">
        <is>
          <t>Autodist</t>
        </is>
      </c>
    </row>
    <row collapsed="false" customFormat="false" customHeight="false" hidden="false" ht="12.1" outlineLevel="0" r="2532">
      <c r="A2532" s="3" t="s">
        <f>=HYPERLINK("https://mp39851918.megaplan.ua/deals/98682/card/","16536")</f>
      </c>
      <c r="B2532" s="3" t="inlineStr">
        <is>
          <t>112-1692501-9640223</t>
        </is>
      </c>
      <c r="C2532" s="3" t="inlineStr">
        <is>
          <t>TuckerRocky</t>
        </is>
      </c>
    </row>
    <row collapsed="false" customFormat="false" customHeight="false" hidden="false" ht="12.1" outlineLevel="0" r="2533">
      <c r="A2533" s="3" t="s">
        <f>=HYPERLINK("https://mp39851918.megaplan.ua/deals/98695/card/","16538")</f>
      </c>
      <c r="B2533" s="3" t="inlineStr">
        <is>
          <t>114-4311849-0103406</t>
        </is>
      </c>
      <c r="C2533" s="3" t="inlineStr">
        <is>
          <t>TuckerRocky</t>
        </is>
      </c>
    </row>
    <row collapsed="false" customFormat="false" customHeight="false" hidden="false" ht="12.1" outlineLevel="0" r="2534">
      <c r="A2534" s="3" t="s">
        <f>=HYPERLINK("https://mp39851918.megaplan.ua/deals/98699/card/","16539")</f>
      </c>
      <c r="B2534" s="3" t="inlineStr">
        <is>
          <t>113-7151532-8604256</t>
        </is>
      </c>
      <c r="C2534" s="3" t="inlineStr">
        <is>
          <t>Autodist</t>
        </is>
      </c>
    </row>
    <row collapsed="false" customFormat="false" customHeight="false" hidden="false" ht="12.1" outlineLevel="0" r="2535">
      <c r="A2535" s="3" t="s">
        <f>=HYPERLINK("https://mp39851918.megaplan.ua/deals/98700/card/","16540")</f>
      </c>
      <c r="B2535" s="3" t="inlineStr">
        <is>
          <t>114-6017019-8088250</t>
        </is>
      </c>
      <c r="C2535" s="3" t="inlineStr">
        <is>
          <t>Autodist</t>
        </is>
      </c>
    </row>
    <row collapsed="false" customFormat="false" customHeight="false" hidden="false" ht="12.1" outlineLevel="0" r="2536">
      <c r="A2536" s="3" t="s">
        <f>=HYPERLINK("https://mp39851918.megaplan.ua/deals/98709/card/","16542")</f>
      </c>
      <c r="B2536" s="3" t="inlineStr">
        <is>
          <t>114-8074488-0636244</t>
        </is>
      </c>
      <c r="C2536" s="3" t="inlineStr">
        <is>
          <t>Autodist</t>
        </is>
      </c>
    </row>
    <row collapsed="false" customFormat="false" customHeight="false" hidden="false" ht="12.1" outlineLevel="0" r="2537">
      <c r="A2537" s="3" t="s">
        <f>=HYPERLINK("https://mp39851918.megaplan.ua/deals/98724/card/","16543")</f>
      </c>
      <c r="B2537" s="3" t="inlineStr">
        <is>
          <t>111-5042455-1593066</t>
        </is>
      </c>
      <c r="C2537" s="3" t="inlineStr">
        <is>
          <t>TuckerRocky</t>
        </is>
      </c>
    </row>
    <row collapsed="false" customFormat="false" customHeight="false" hidden="false" ht="12.1" outlineLevel="0" r="2538">
      <c r="A2538" s="3" t="s">
        <f>=HYPERLINK("https://mp39851918.megaplan.ua/deals/98726/card/","16544")</f>
      </c>
      <c r="B2538" s="3" t="inlineStr">
        <is>
          <t>112-9357947-0558669</t>
        </is>
      </c>
      <c r="C2538" s="3" t="inlineStr">
        <is>
          <t>TuckerRocky</t>
        </is>
      </c>
    </row>
    <row collapsed="false" customFormat="false" customHeight="false" hidden="false" ht="12.1" outlineLevel="0" r="2539">
      <c r="A2539" s="3" t="s">
        <f>=HYPERLINK("https://mp39851918.megaplan.ua/deals/98732/card/","16546")</f>
      </c>
      <c r="B2539" s="3" t="inlineStr">
        <is>
          <t>113-7931146-6041058</t>
        </is>
      </c>
      <c r="C2539" s="3" t="inlineStr">
        <is>
          <t>TuckerRocky</t>
        </is>
      </c>
    </row>
    <row collapsed="false" customFormat="false" customHeight="false" hidden="false" ht="12.1" outlineLevel="0" r="2540">
      <c r="A2540" s="3" t="s">
        <f>=HYPERLINK("https://mp39851918.megaplan.ua/deals/98743/card/","16547")</f>
      </c>
      <c r="B2540" s="3" t="inlineStr">
        <is>
          <t>112-2547928-7463431</t>
        </is>
      </c>
      <c r="C2540" s="3" t="inlineStr">
        <is>
          <t>TuckerRocky</t>
        </is>
      </c>
    </row>
    <row collapsed="false" customFormat="false" customHeight="false" hidden="false" ht="12.1" outlineLevel="0" r="2541">
      <c r="A2541" s="3" t="s">
        <f>=HYPERLINK("https://mp39851918.megaplan.ua/deals/98750/card/","16549")</f>
      </c>
      <c r="B2541" s="3" t="inlineStr">
        <is>
          <t>112-8568066-8134648</t>
        </is>
      </c>
      <c r="C2541" s="3" t="inlineStr">
        <is>
          <t>TuckerRocky</t>
        </is>
      </c>
    </row>
    <row collapsed="false" customFormat="false" customHeight="false" hidden="false" ht="12.1" outlineLevel="0" r="2542">
      <c r="A2542" s="3" t="s">
        <f>=HYPERLINK("https://mp39851918.megaplan.ua/deals/98759/card/","16550")</f>
      </c>
      <c r="B2542" s="3" t="inlineStr">
        <is>
          <t>113-5103079-2341829</t>
        </is>
      </c>
      <c r="C2542" s="3" t="inlineStr">
        <is>
          <t>Autodist</t>
        </is>
      </c>
    </row>
    <row collapsed="false" customFormat="false" customHeight="false" hidden="false" ht="12.1" outlineLevel="0" r="2543">
      <c r="A2543" s="3" t="s">
        <f>=HYPERLINK("https://mp39851918.megaplan.ua/deals/98763/card/","16551")</f>
      </c>
      <c r="B2543" s="3" t="inlineStr">
        <is>
          <t>112-8204655-5537826</t>
        </is>
      </c>
      <c r="C2543" s="3" t="inlineStr">
        <is>
          <t>PartsUnlimited</t>
        </is>
      </c>
    </row>
    <row collapsed="false" customFormat="false" customHeight="false" hidden="false" ht="12.1" outlineLevel="0" r="2544">
      <c r="A2544" s="3" t="s">
        <f>=HYPERLINK("https://mp39851918.megaplan.ua/deals/98771/card/","16553")</f>
      </c>
      <c r="B2544" s="3" t="inlineStr">
        <is>
          <t>114-0144127-8581062</t>
        </is>
      </c>
      <c r="C2544" s="3" t="inlineStr">
        <is>
          <t>PartsUnlimited</t>
        </is>
      </c>
    </row>
    <row collapsed="false" customFormat="false" customHeight="false" hidden="false" ht="12.1" outlineLevel="0" r="2545">
      <c r="A2545" s="3" t="s">
        <f>=HYPERLINK("https://mp39851918.megaplan.ua/deals/98772/card/","16554")</f>
      </c>
      <c r="B2545" s="3" t="inlineStr">
        <is>
          <t>111-8012920-1283432</t>
        </is>
      </c>
      <c r="C2545" s="3" t="inlineStr">
        <is>
          <t>Autodist</t>
        </is>
      </c>
    </row>
    <row collapsed="false" customFormat="false" customHeight="false" hidden="false" ht="12.1" outlineLevel="0" r="2546">
      <c r="A2546" s="3" t="s">
        <f>=HYPERLINK("https://mp39851918.megaplan.ua/deals/98780/card/","16555")</f>
      </c>
      <c r="B2546" s="3" t="inlineStr">
        <is>
          <t>111-8208369-8014657</t>
        </is>
      </c>
      <c r="C2546" s="3" t="inlineStr">
        <is>
          <t>PartsUnlimited</t>
        </is>
      </c>
    </row>
    <row collapsed="false" customFormat="false" customHeight="false" hidden="false" ht="12.1" outlineLevel="0" r="2547">
      <c r="A2547" s="3" t="s">
        <f>=HYPERLINK("https://mp39851918.megaplan.ua/deals/98783/card/","16556")</f>
      </c>
      <c r="B2547" s="3" t="inlineStr">
        <is>
          <t>112-5129054-4117065</t>
        </is>
      </c>
      <c r="C2547" s="3" t="inlineStr">
        <is>
          <t>TuckerRocky</t>
        </is>
      </c>
    </row>
    <row collapsed="false" customFormat="false" customHeight="false" hidden="false" ht="12.1" outlineLevel="0" r="2548">
      <c r="A2548" s="3" t="s">
        <f>=HYPERLINK("https://mp39851918.megaplan.ua/deals/98797/card/","16558")</f>
      </c>
      <c r="B2548" s="3" t="inlineStr">
        <is>
          <t>111-0601278-2079409</t>
        </is>
      </c>
      <c r="C2548" s="3" t="inlineStr">
        <is>
          <t>TuckerRocky</t>
        </is>
      </c>
    </row>
    <row collapsed="false" customFormat="false" customHeight="false" hidden="false" ht="12.1" outlineLevel="0" r="2549">
      <c r="A2549" s="3" t="s">
        <f>=HYPERLINK("https://mp39851918.megaplan.ua/deals/98798/card/","16559")</f>
      </c>
      <c r="B2549" s="3" t="inlineStr">
        <is>
          <t>113-1482131-8992206</t>
        </is>
      </c>
      <c r="C2549" s="3" t="inlineStr">
        <is>
          <t>TuckerRocky</t>
        </is>
      </c>
    </row>
    <row collapsed="false" customFormat="false" customHeight="false" hidden="false" ht="12.1" outlineLevel="0" r="2550">
      <c r="A2550" s="3" t="s">
        <f>=HYPERLINK("https://mp39851918.megaplan.ua/deals/98811/card/","16560")</f>
      </c>
      <c r="B2550" s="3" t="inlineStr">
        <is>
          <t>112-6539913-2572247</t>
        </is>
      </c>
      <c r="C2550" s="3" t="inlineStr">
        <is>
          <t>TuckerRocky</t>
        </is>
      </c>
    </row>
    <row collapsed="false" customFormat="false" customHeight="false" hidden="false" ht="12.1" outlineLevel="0" r="2551">
      <c r="A2551" s="3" t="s">
        <f>=HYPERLINK("https://mp39851918.megaplan.ua/deals/98813/card/","16561")</f>
      </c>
      <c r="B2551" s="3" t="inlineStr">
        <is>
          <t>112-8623004-8962664</t>
        </is>
      </c>
      <c r="C2551" s="3" t="inlineStr">
        <is>
          <t>Autodist</t>
        </is>
      </c>
    </row>
    <row collapsed="false" customFormat="false" customHeight="false" hidden="false" ht="12.1" outlineLevel="0" r="2552">
      <c r="A2552" s="3" t="s">
        <f>=HYPERLINK("https://mp39851918.megaplan.ua/deals/98816/card/","16562")</f>
      </c>
      <c r="B2552" s="3" t="inlineStr">
        <is>
          <t>113-3606227-8367410</t>
        </is>
      </c>
      <c r="C2552" s="3" t="inlineStr">
        <is>
          <t>Autodist</t>
        </is>
      </c>
    </row>
    <row collapsed="false" customFormat="false" customHeight="false" hidden="false" ht="12.1" outlineLevel="0" r="2553">
      <c r="A2553" s="3" t="s">
        <f>=HYPERLINK("https://mp39851918.megaplan.ua/deals/98817/card/","16563")</f>
      </c>
      <c r="B2553" s="3" t="inlineStr">
        <is>
          <t>114-7028186-4779412</t>
        </is>
      </c>
      <c r="C2553" s="3" t="inlineStr">
        <is>
          <t>Autodist</t>
        </is>
      </c>
    </row>
    <row collapsed="false" customFormat="false" customHeight="false" hidden="false" ht="12.1" outlineLevel="0" r="2554">
      <c r="A2554" s="3" t="s">
        <f>=HYPERLINK("https://mp39851918.megaplan.ua/deals/98818/card/","16564")</f>
      </c>
      <c r="B2554" s="3" t="inlineStr">
        <is>
          <t>112-2770756-6165014</t>
        </is>
      </c>
      <c r="C2554" s="3" t="inlineStr">
        <is>
          <t>Autodist</t>
        </is>
      </c>
    </row>
    <row collapsed="false" customFormat="false" customHeight="false" hidden="false" ht="12.1" outlineLevel="0" r="2555">
      <c r="A2555" s="3" t="s">
        <f>=HYPERLINK("https://mp39851918.megaplan.ua/deals/98821/card/","16566")</f>
      </c>
      <c r="B2555" s="3" t="inlineStr">
        <is>
          <t>114-2737362-7711408</t>
        </is>
      </c>
      <c r="C2555" s="3" t="inlineStr">
        <is>
          <t>TuckerRocky</t>
        </is>
      </c>
    </row>
    <row collapsed="false" customFormat="false" customHeight="false" hidden="false" ht="12.1" outlineLevel="0" r="2556">
      <c r="A2556" s="3" t="s">
        <f>=HYPERLINK("https://mp39851918.megaplan.ua/deals/98835/card/","16569")</f>
      </c>
      <c r="B2556" s="3" t="inlineStr">
        <is>
          <t>114-9031648-8405028</t>
        </is>
      </c>
      <c r="C2556" s="3" t="inlineStr">
        <is>
          <t>TuckerRocky</t>
        </is>
      </c>
    </row>
    <row collapsed="false" customFormat="false" customHeight="false" hidden="false" ht="12.1" outlineLevel="0" r="2557">
      <c r="A2557" s="3" t="s">
        <f>=HYPERLINK("https://mp39851918.megaplan.ua/deals/98844/card/","16570")</f>
      </c>
      <c r="B2557" s="3" t="inlineStr">
        <is>
          <t>113-6838187-4272207</t>
        </is>
      </c>
      <c r="C2557" s="3" t="inlineStr">
        <is>
          <t>Autodist</t>
        </is>
      </c>
    </row>
    <row collapsed="false" customFormat="false" customHeight="false" hidden="false" ht="12.1" outlineLevel="0" r="2558">
      <c r="A2558" s="3" t="s">
        <f>=HYPERLINK("https://mp39851918.megaplan.ua/deals/98854/card/","16571")</f>
      </c>
      <c r="B2558" s="3" t="inlineStr">
        <is>
          <t>111-8627023-1252255</t>
        </is>
      </c>
      <c r="C2558" s="3" t="inlineStr">
        <is>
          <t>TuckerRocky</t>
        </is>
      </c>
    </row>
    <row collapsed="false" customFormat="false" customHeight="false" hidden="false" ht="12.1" outlineLevel="0" r="2559">
      <c r="A2559" s="3" t="s">
        <f>=HYPERLINK("https://mp39851918.megaplan.ua/deals/98855/card/","16572")</f>
      </c>
      <c r="B2559" s="3" t="inlineStr">
        <is>
          <t>112-3415984-2779429</t>
        </is>
      </c>
      <c r="C2559" s="3" t="inlineStr">
        <is>
          <t>Autodist</t>
        </is>
      </c>
    </row>
    <row collapsed="false" customFormat="false" customHeight="false" hidden="false" ht="12.1" outlineLevel="0" r="2560">
      <c r="A2560" s="3" t="s">
        <f>=HYPERLINK("https://mp39851918.megaplan.ua/deals/98856/card/","16573")</f>
      </c>
      <c r="B2560" s="3" t="inlineStr">
        <is>
          <t>114-6424644-0553808</t>
        </is>
      </c>
      <c r="C2560" s="3" t="inlineStr">
        <is>
          <t>TuckerRocky</t>
        </is>
      </c>
    </row>
    <row collapsed="false" customFormat="false" customHeight="false" hidden="false" ht="12.1" outlineLevel="0" r="2561">
      <c r="A2561" s="3" t="s">
        <f>=HYPERLINK("https://mp39851918.megaplan.ua/deals/98865/card/","16575")</f>
      </c>
      <c r="B2561" s="3" t="inlineStr">
        <is>
          <t>112-6175425-5374645</t>
        </is>
      </c>
      <c r="C2561" s="3" t="inlineStr">
        <is>
          <t>TuckerRocky</t>
        </is>
      </c>
    </row>
    <row collapsed="false" customFormat="false" customHeight="false" hidden="false" ht="12.1" outlineLevel="0" r="2562">
      <c r="A2562" s="3" t="s">
        <f>=HYPERLINK("https://mp39851918.megaplan.ua/deals/98876/card/","16577")</f>
      </c>
      <c r="B2562" s="3" t="inlineStr">
        <is>
          <t>111-3120618-3909030</t>
        </is>
      </c>
      <c r="C2562" s="3" t="inlineStr">
        <is>
          <t>TuckerRocky</t>
        </is>
      </c>
    </row>
    <row collapsed="false" customFormat="false" customHeight="false" hidden="false" ht="12.1" outlineLevel="0" r="2563">
      <c r="A2563" s="3" t="s">
        <f>=HYPERLINK("https://mp39851918.megaplan.ua/deals/98881/card/","16578")</f>
      </c>
      <c r="B2563" s="3" t="inlineStr">
        <is>
          <t>114-9446844-7913056</t>
        </is>
      </c>
      <c r="C2563" s="3" t="inlineStr">
        <is>
          <t>Autodist</t>
        </is>
      </c>
    </row>
    <row collapsed="false" customFormat="false" customHeight="false" hidden="false" ht="12.1" outlineLevel="0" r="2564">
      <c r="A2564" s="3" t="s">
        <f>=HYPERLINK("https://mp39851918.megaplan.ua/deals/98885/card/","16579")</f>
      </c>
      <c r="B2564" s="3" t="inlineStr">
        <is>
          <t>112-3438897-5955419</t>
        </is>
      </c>
      <c r="C2564" s="3" t="inlineStr">
        <is>
          <t>TuckerRocky</t>
        </is>
      </c>
    </row>
    <row collapsed="false" customFormat="false" customHeight="false" hidden="false" ht="12.1" outlineLevel="0" r="2565">
      <c r="A2565" s="3" t="s">
        <f>=HYPERLINK("https://mp39851918.megaplan.ua/deals/98892/card/","16581")</f>
      </c>
      <c r="B2565" s="3" t="inlineStr">
        <is>
          <t>111-1305165-9920237</t>
        </is>
      </c>
      <c r="C2565" s="3" t="inlineStr">
        <is>
          <t>Autodist</t>
        </is>
      </c>
    </row>
    <row collapsed="false" customFormat="false" customHeight="false" hidden="false" ht="12.1" outlineLevel="0" r="2566">
      <c r="A2566" s="3" t="s">
        <f>=HYPERLINK("https://mp39851918.megaplan.ua/deals/98893/card/","16582")</f>
      </c>
      <c r="B2566" s="3" t="inlineStr">
        <is>
          <t>112-4399389-7647468</t>
        </is>
      </c>
      <c r="C2566" s="3" t="inlineStr">
        <is>
          <t>TuckerRocky</t>
        </is>
      </c>
    </row>
    <row collapsed="false" customFormat="false" customHeight="false" hidden="false" ht="12.1" outlineLevel="0" r="2567">
      <c r="A2567" s="3" t="s">
        <f>=HYPERLINK("https://mp39851918.megaplan.ua/deals/98896/card/","16583")</f>
      </c>
      <c r="B2567" s="3" t="inlineStr">
        <is>
          <t>114-3763915-1165057</t>
        </is>
      </c>
      <c r="C2567" s="3" t="inlineStr">
        <is>
          <t>Autodist</t>
        </is>
      </c>
    </row>
    <row collapsed="false" customFormat="false" customHeight="false" hidden="false" ht="12.1" outlineLevel="0" r="2568">
      <c r="A2568" s="3" t="s">
        <f>=HYPERLINK("https://mp39851918.megaplan.ua/deals/98902/card/","16584")</f>
      </c>
      <c r="B2568" s="3" t="inlineStr">
        <is>
          <t>113-0729368-4132203</t>
        </is>
      </c>
      <c r="C2568" s="3" t="inlineStr">
        <is>
          <t>TuckerRocky</t>
        </is>
      </c>
    </row>
    <row collapsed="false" customFormat="false" customHeight="false" hidden="false" ht="12.1" outlineLevel="0" r="2569">
      <c r="A2569" s="3" t="s">
        <f>=HYPERLINK("https://mp39851918.megaplan.ua/deals/98910/card/","16585")</f>
      </c>
      <c r="B2569" s="3" t="inlineStr">
        <is>
          <t>111-9238633-0742662</t>
        </is>
      </c>
      <c r="C2569" s="3" t="inlineStr">
        <is>
          <t>Autodist</t>
        </is>
      </c>
    </row>
    <row collapsed="false" customFormat="false" customHeight="false" hidden="false" ht="12.1" outlineLevel="0" r="2570">
      <c r="A2570" s="3" t="s">
        <f>=HYPERLINK("https://mp39851918.megaplan.ua/deals/98923/card/","16587")</f>
      </c>
      <c r="B2570" s="3" t="inlineStr">
        <is>
          <t>111-5357733-9046647</t>
        </is>
      </c>
      <c r="C2570" s="3" t="inlineStr">
        <is>
          <t>TuckerRocky</t>
        </is>
      </c>
    </row>
    <row collapsed="false" customFormat="false" customHeight="false" hidden="false" ht="12.1" outlineLevel="0" r="2571">
      <c r="A2571" s="3" t="s">
        <f>=HYPERLINK("https://mp39851918.megaplan.ua/deals/98925/card/","16588")</f>
      </c>
      <c r="B2571" s="3" t="inlineStr">
        <is>
          <t>114-8095248-2193869</t>
        </is>
      </c>
      <c r="C2571" s="3" t="inlineStr">
        <is>
          <t>TuckerRocky</t>
        </is>
      </c>
    </row>
    <row collapsed="false" customFormat="false" customHeight="false" hidden="false" ht="12.1" outlineLevel="0" r="2572">
      <c r="A2572" s="3" t="s">
        <f>=HYPERLINK("https://mp39851918.megaplan.ua/deals/98927/card/","16589")</f>
      </c>
      <c r="B2572" s="3" t="inlineStr">
        <is>
          <t>113-2893719-9997020</t>
        </is>
      </c>
      <c r="C2572" s="3" t="inlineStr">
        <is>
          <t>Autodist</t>
        </is>
      </c>
    </row>
    <row collapsed="false" customFormat="false" customHeight="false" hidden="false" ht="12.1" outlineLevel="0" r="2573">
      <c r="A2573" s="3" t="s">
        <f>=HYPERLINK("https://mp39851918.megaplan.ua/deals/98941/card/","16590")</f>
      </c>
      <c r="B2573" s="3" t="inlineStr">
        <is>
          <t>113-5228916-8639431</t>
        </is>
      </c>
      <c r="C2573" s="3" t="inlineStr">
        <is>
          <t>TuckerRocky</t>
        </is>
      </c>
    </row>
    <row collapsed="false" customFormat="false" customHeight="false" hidden="false" ht="12.1" outlineLevel="0" r="2574">
      <c r="A2574" s="3" t="s">
        <f>=HYPERLINK("https://mp39851918.megaplan.ua/deals/98952/card/","16591")</f>
      </c>
      <c r="B2574" s="3" t="inlineStr">
        <is>
          <t>114-0508675-2833805</t>
        </is>
      </c>
      <c r="C2574" s="3" t="inlineStr">
        <is>
          <t>Autodist</t>
        </is>
      </c>
    </row>
    <row collapsed="false" customFormat="false" customHeight="false" hidden="false" ht="12.1" outlineLevel="0" r="2575">
      <c r="A2575" s="3" t="s">
        <f>=HYPERLINK("https://mp39851918.megaplan.ua/deals/98955/card/","16592")</f>
      </c>
      <c r="B2575" s="3" t="inlineStr">
        <is>
          <t>114-0096145-6433005</t>
        </is>
      </c>
      <c r="C2575" s="3" t="inlineStr">
        <is>
          <t>Autodist</t>
        </is>
      </c>
    </row>
    <row collapsed="false" customFormat="false" customHeight="false" hidden="false" ht="12.1" outlineLevel="0" r="2576">
      <c r="A2576" s="3" t="s">
        <f>=HYPERLINK("https://mp39851918.megaplan.ua/deals/98961/card/","16593")</f>
      </c>
      <c r="B2576" s="3" t="inlineStr">
        <is>
          <t>114-3512266-0937068</t>
        </is>
      </c>
      <c r="C2576" s="3" t="inlineStr">
        <is>
          <t>Autodist</t>
        </is>
      </c>
    </row>
    <row collapsed="false" customFormat="false" customHeight="false" hidden="false" ht="12.1" outlineLevel="0" r="2577">
      <c r="A2577" s="3" t="s">
        <f>=HYPERLINK("https://mp39851918.megaplan.ua/deals/98974/card/","16595")</f>
      </c>
      <c r="B2577" s="3" t="inlineStr">
        <is>
          <t>113-0160326-9363458</t>
        </is>
      </c>
      <c r="C2577" s="3" t="inlineStr">
        <is>
          <t>TuckerRocky</t>
        </is>
      </c>
    </row>
    <row collapsed="false" customFormat="false" customHeight="false" hidden="false" ht="12.1" outlineLevel="0" r="2578">
      <c r="A2578" s="3" t="s">
        <f>=HYPERLINK("https://mp39851918.megaplan.ua/deals/98975/card/","16596")</f>
      </c>
      <c r="B2578" s="3" t="inlineStr">
        <is>
          <t>114-6653791-6704254</t>
        </is>
      </c>
      <c r="C2578" s="3" t="inlineStr">
        <is>
          <t>Autodist</t>
        </is>
      </c>
    </row>
    <row collapsed="false" customFormat="false" customHeight="false" hidden="false" ht="12.1" outlineLevel="0" r="2579">
      <c r="A2579" s="3" t="s">
        <f>=HYPERLINK("https://mp39851918.megaplan.ua/deals/98982/card/","16597")</f>
      </c>
      <c r="B2579" s="3" t="inlineStr">
        <is>
          <t>112-0004566-8247408</t>
        </is>
      </c>
      <c r="C2579" s="3" t="inlineStr">
        <is>
          <t>TuckerRocky</t>
        </is>
      </c>
    </row>
    <row collapsed="false" customFormat="false" customHeight="false" hidden="false" ht="12.1" outlineLevel="0" r="2580">
      <c r="A2580" s="3" t="s">
        <f>=HYPERLINK("https://mp39851918.megaplan.ua/deals/99014/card/","16598")</f>
      </c>
      <c r="B2580" s="3" t="inlineStr">
        <is>
          <t>114-1378635-5349014</t>
        </is>
      </c>
      <c r="C2580" s="3" t="inlineStr">
        <is>
          <t>TuckerRocky</t>
        </is>
      </c>
    </row>
    <row collapsed="false" customFormat="false" customHeight="false" hidden="false" ht="12.1" outlineLevel="0" r="2581">
      <c r="A2581" s="3" t="s">
        <f>=HYPERLINK("https://mp39851918.megaplan.ua/deals/99021/card/","16599")</f>
      </c>
      <c r="B2581" s="3" t="inlineStr">
        <is>
          <t>113-4610952-8397010</t>
        </is>
      </c>
      <c r="C2581" s="3" t="inlineStr">
        <is>
          <t>TuckerRocky</t>
        </is>
      </c>
    </row>
    <row collapsed="false" customFormat="false" customHeight="false" hidden="false" ht="12.1" outlineLevel="0" r="2582">
      <c r="A2582" s="3" t="s">
        <f>=HYPERLINK("https://mp39851918.megaplan.ua/deals/99022/card/","16600")</f>
      </c>
      <c r="B2582" s="3" t="inlineStr">
        <is>
          <t>111-2586719-2533027</t>
        </is>
      </c>
      <c r="C2582" s="3" t="inlineStr">
        <is>
          <t>Autodist</t>
        </is>
      </c>
    </row>
    <row collapsed="false" customFormat="false" customHeight="false" hidden="false" ht="12.1" outlineLevel="0" r="2583">
      <c r="A2583" s="3" t="s">
        <f>=HYPERLINK("https://mp39851918.megaplan.ua/deals/99027/card/","16601")</f>
      </c>
      <c r="B2583" s="3" t="inlineStr">
        <is>
          <t>112-5110172-3426603</t>
        </is>
      </c>
      <c r="C2583" s="3" t="inlineStr">
        <is>
          <t>PartsUnlimited</t>
        </is>
      </c>
    </row>
    <row collapsed="false" customFormat="false" customHeight="false" hidden="false" ht="12.1" outlineLevel="0" r="2584">
      <c r="A2584" s="3" t="s">
        <f>=HYPERLINK("https://mp39851918.megaplan.ua/deals/99028/card/","16602")</f>
      </c>
      <c r="B2584" s="3" t="inlineStr">
        <is>
          <t>111-3078644-2881839</t>
        </is>
      </c>
      <c r="C2584" s="3" t="inlineStr">
        <is>
          <t>Autodist</t>
        </is>
      </c>
    </row>
    <row collapsed="false" customFormat="false" customHeight="false" hidden="false" ht="12.1" outlineLevel="0" r="2585">
      <c r="A2585" s="3" t="s">
        <f>=HYPERLINK("https://mp39851918.megaplan.ua/deals/99048/card/","16603")</f>
      </c>
      <c r="B2585" s="3" t="inlineStr">
        <is>
          <t>112-2796433-6147459</t>
        </is>
      </c>
      <c r="C2585" s="3" t="inlineStr">
        <is>
          <t>Autodist</t>
        </is>
      </c>
    </row>
    <row collapsed="false" customFormat="false" customHeight="false" hidden="false" ht="12.1" outlineLevel="0" r="2586">
      <c r="A2586" s="3" t="s">
        <f>=HYPERLINK("https://mp39851918.megaplan.ua/deals/99060/card/","16604")</f>
      </c>
      <c r="B2586" s="3" t="inlineStr">
        <is>
          <t>111-2359757-4505805</t>
        </is>
      </c>
      <c r="C2586" s="3" t="inlineStr">
        <is>
          <t>PartsUnlimited</t>
        </is>
      </c>
    </row>
    <row collapsed="false" customFormat="false" customHeight="false" hidden="false" ht="12.1" outlineLevel="0" r="2587">
      <c r="A2587" s="3" t="s">
        <f>=HYPERLINK("https://mp39851918.megaplan.ua/deals/99080/card/","16606")</f>
      </c>
      <c r="B2587" s="3" t="inlineStr">
        <is>
          <t>112-6428622-0212204</t>
        </is>
      </c>
      <c r="C2587" s="3" t="inlineStr">
        <is>
          <t>TuckerRocky</t>
        </is>
      </c>
    </row>
    <row collapsed="false" customFormat="false" customHeight="false" hidden="false" ht="12.1" outlineLevel="0" r="2588">
      <c r="A2588" s="3" t="s">
        <f>=HYPERLINK("https://mp39851918.megaplan.ua/deals/99081/card/","16607")</f>
      </c>
      <c r="B2588" s="3" t="inlineStr">
        <is>
          <t>111-5167651-8720202</t>
        </is>
      </c>
      <c r="C2588" s="3" t="inlineStr">
        <is>
          <t>Autodist</t>
        </is>
      </c>
    </row>
    <row collapsed="false" customFormat="false" customHeight="false" hidden="false" ht="12.1" outlineLevel="0" r="2589">
      <c r="A2589" s="3" t="s">
        <f>=HYPERLINK("https://mp39851918.megaplan.ua/deals/99082/card/","16608")</f>
      </c>
      <c r="B2589" s="3" t="inlineStr">
        <is>
          <t>113-3131877-6055407</t>
        </is>
      </c>
      <c r="C2589" s="3" t="inlineStr">
        <is>
          <t>Autodist</t>
        </is>
      </c>
    </row>
    <row collapsed="false" customFormat="false" customHeight="false" hidden="false" ht="12.1" outlineLevel="0" r="2590">
      <c r="A2590" s="3" t="s">
        <f>=HYPERLINK("https://mp39851918.megaplan.ua/deals/99084/card/","16609")</f>
      </c>
      <c r="B2590" s="3" t="inlineStr">
        <is>
          <t>111-2694419-5545845</t>
        </is>
      </c>
      <c r="C2590" s="3" t="inlineStr">
        <is>
          <t>TuckerRocky</t>
        </is>
      </c>
    </row>
    <row collapsed="false" customFormat="false" customHeight="false" hidden="false" ht="12.1" outlineLevel="0" r="2591">
      <c r="A2591" s="3" t="s">
        <f>=HYPERLINK("https://mp39851918.megaplan.ua/deals/99085/card/","16610")</f>
      </c>
      <c r="B2591" s="3" t="inlineStr">
        <is>
          <t>113-8312485-8786656</t>
        </is>
      </c>
      <c r="C2591" s="3" t="inlineStr">
        <is>
          <t>Autodist</t>
        </is>
      </c>
    </row>
    <row collapsed="false" customFormat="false" customHeight="false" hidden="false" ht="12.1" outlineLevel="0" r="2592">
      <c r="A2592" s="3" t="s">
        <f>=HYPERLINK("https://mp39851918.megaplan.ua/deals/99090/card/","16611")</f>
      </c>
      <c r="B2592" s="3" t="inlineStr">
        <is>
          <t>113-0418246-6365016</t>
        </is>
      </c>
      <c r="C2592" s="3" t="inlineStr">
        <is>
          <t>Autodist</t>
        </is>
      </c>
    </row>
    <row collapsed="false" customFormat="false" customHeight="false" hidden="false" ht="12.1" outlineLevel="0" r="2593">
      <c r="A2593" s="3" t="s">
        <f>=HYPERLINK("https://mp39851918.megaplan.ua/deals/99099/card/","16612")</f>
      </c>
      <c r="B2593" s="3" t="inlineStr">
        <is>
          <t>114-8297734-1111424</t>
        </is>
      </c>
      <c r="C2593" s="3" t="inlineStr">
        <is>
          <t>PartsUnlimited</t>
        </is>
      </c>
    </row>
    <row collapsed="false" customFormat="false" customHeight="false" hidden="false" ht="12.1" outlineLevel="0" r="2594">
      <c r="A2594" s="3" t="s">
        <f>=HYPERLINK("https://mp39851918.megaplan.ua/deals/99112/card/","16614")</f>
      </c>
      <c r="B2594" s="3" t="inlineStr">
        <is>
          <t>111-2958277-9865847</t>
        </is>
      </c>
      <c r="C2594" s="3" t="inlineStr">
        <is>
          <t>TuckerRocky</t>
        </is>
      </c>
    </row>
    <row collapsed="false" customFormat="false" customHeight="false" hidden="false" ht="12.1" outlineLevel="0" r="2595">
      <c r="A2595" s="3" t="s">
        <f>=HYPERLINK("https://mp39851918.megaplan.ua/deals/99114/card/","16615")</f>
      </c>
      <c r="B2595" s="3" t="inlineStr">
        <is>
          <t>111-1607953-1643421</t>
        </is>
      </c>
      <c r="C2595" s="3" t="inlineStr">
        <is>
          <t>TuckerRocky</t>
        </is>
      </c>
    </row>
    <row collapsed="false" customFormat="false" customHeight="false" hidden="false" ht="12.1" outlineLevel="0" r="2596">
      <c r="A2596" s="3" t="s">
        <f>=HYPERLINK("https://mp39851918.megaplan.ua/deals/99117/card/","16616")</f>
      </c>
      <c r="B2596" s="3" t="inlineStr">
        <is>
          <t>111-4756785-0611450</t>
        </is>
      </c>
      <c r="C2596" s="3" t="inlineStr">
        <is>
          <t>Autodist</t>
        </is>
      </c>
    </row>
    <row collapsed="false" customFormat="false" customHeight="false" hidden="false" ht="12.1" outlineLevel="0" r="2597">
      <c r="A2597" s="3" t="s">
        <f>=HYPERLINK("https://mp39851918.megaplan.ua/deals/99118/card/","16617")</f>
      </c>
      <c r="B2597" s="3" t="inlineStr">
        <is>
          <t>111-9252633-9254631</t>
        </is>
      </c>
      <c r="C2597" s="3" t="inlineStr">
        <is>
          <t>TuckerRocky</t>
        </is>
      </c>
    </row>
    <row collapsed="false" customFormat="false" customHeight="false" hidden="false" ht="12.1" outlineLevel="0" r="2598">
      <c r="A2598" s="3" t="s">
        <f>=HYPERLINK("https://mp39851918.megaplan.ua/deals/99127/card/","16618")</f>
      </c>
      <c r="B2598" s="3" t="inlineStr">
        <is>
          <t>111-7568974-9553838</t>
        </is>
      </c>
      <c r="C2598" s="3" t="inlineStr">
        <is>
          <t>TuckerRocky</t>
        </is>
      </c>
    </row>
    <row collapsed="false" customFormat="false" customHeight="false" hidden="false" ht="12.1" outlineLevel="0" r="2599">
      <c r="A2599" s="3" t="s">
        <f>=HYPERLINK("https://mp39851918.megaplan.ua/deals/99131/card/","16619")</f>
      </c>
      <c r="B2599" s="3" t="inlineStr">
        <is>
          <t>112-3258504-9037838</t>
        </is>
      </c>
      <c r="C2599" s="3" t="inlineStr">
        <is>
          <t>Autodist</t>
        </is>
      </c>
    </row>
    <row collapsed="false" customFormat="false" customHeight="false" hidden="false" ht="12.1" outlineLevel="0" r="2600">
      <c r="A2600" s="3" t="s">
        <f>=HYPERLINK("https://mp39851918.megaplan.ua/deals/99132/card/","16620")</f>
      </c>
      <c r="B2600" s="3" t="inlineStr">
        <is>
          <t>114-0556635-3111432</t>
        </is>
      </c>
      <c r="C2600" s="3" t="inlineStr">
        <is>
          <t>TuckerRocky</t>
        </is>
      </c>
    </row>
    <row collapsed="false" customFormat="false" customHeight="false" hidden="false" ht="12.1" outlineLevel="0" r="2601">
      <c r="A2601" s="3" t="s">
        <f>=HYPERLINK("https://mp39851918.megaplan.ua/deals/99133/card/","16621")</f>
      </c>
      <c r="B2601" s="3" t="inlineStr">
        <is>
          <t>111-5016100-5497032</t>
        </is>
      </c>
      <c r="C2601" s="3" t="inlineStr">
        <is>
          <t>TuckerRocky</t>
        </is>
      </c>
    </row>
    <row collapsed="false" customFormat="false" customHeight="false" hidden="false" ht="12.1" outlineLevel="0" r="2602">
      <c r="A2602" s="3" t="s">
        <f>=HYPERLINK("https://mp39851918.megaplan.ua/deals/99134/card/","16622")</f>
      </c>
      <c r="B2602" s="3" t="inlineStr">
        <is>
          <t>112-6640385-3009840</t>
        </is>
      </c>
      <c r="C2602" s="3" t="inlineStr">
        <is>
          <t>Autodist</t>
        </is>
      </c>
    </row>
    <row collapsed="false" customFormat="false" customHeight="false" hidden="false" ht="12.1" outlineLevel="0" r="2603">
      <c r="A2603" s="3" t="s">
        <f>=HYPERLINK("https://mp39851918.megaplan.ua/deals/99135/card/","16623")</f>
      </c>
      <c r="B2603" s="3" t="inlineStr">
        <is>
          <t>113-6304835-9893815</t>
        </is>
      </c>
      <c r="C2603" s="3" t="inlineStr">
        <is>
          <t>TuckerRocky</t>
        </is>
      </c>
    </row>
    <row collapsed="false" customFormat="false" customHeight="false" hidden="false" ht="12.1" outlineLevel="0" r="2604">
      <c r="A2604" s="3" t="s">
        <f>=HYPERLINK("https://mp39851918.megaplan.ua/deals/99139/card/","16624")</f>
      </c>
      <c r="B2604" s="3" t="inlineStr">
        <is>
          <t>112-4992660-1522651</t>
        </is>
      </c>
      <c r="C2604" s="3" t="inlineStr">
        <is>
          <t>TuckerRocky</t>
        </is>
      </c>
    </row>
    <row collapsed="false" customFormat="false" customHeight="false" hidden="false" ht="12.1" outlineLevel="0" r="2605">
      <c r="A2605" s="3" t="s">
        <f>=HYPERLINK("https://mp39851918.megaplan.ua/deals/99140/card/","16625")</f>
      </c>
      <c r="B2605" s="3" t="inlineStr">
        <is>
          <t>111-9044675-1869054</t>
        </is>
      </c>
      <c r="C2605" s="3" t="inlineStr">
        <is>
          <t>TuckerRocky</t>
        </is>
      </c>
    </row>
    <row collapsed="false" customFormat="false" customHeight="false" hidden="false" ht="12.1" outlineLevel="0" r="2606">
      <c r="A2606" s="3" t="s">
        <f>=HYPERLINK("https://mp39851918.megaplan.ua/deals/99141/card/","16626")</f>
      </c>
      <c r="B2606" s="3" t="inlineStr">
        <is>
          <t>114-0610944-1316243</t>
        </is>
      </c>
      <c r="C2606" s="3" t="inlineStr">
        <is>
          <t>TuckerRocky</t>
        </is>
      </c>
    </row>
    <row collapsed="false" customFormat="false" customHeight="false" hidden="false" ht="12.1" outlineLevel="0" r="2607">
      <c r="A2607" s="3" t="s">
        <f>=HYPERLINK("https://mp39851918.megaplan.ua/deals/99142/card/","16627")</f>
      </c>
      <c r="B2607" s="3" t="inlineStr">
        <is>
          <t>114-7850199-4920223</t>
        </is>
      </c>
      <c r="C2607" s="3" t="inlineStr">
        <is>
          <t>TuckerRocky</t>
        </is>
      </c>
    </row>
    <row collapsed="false" customFormat="false" customHeight="false" hidden="false" ht="12.1" outlineLevel="0" r="2608">
      <c r="A2608" s="3" t="s">
        <f>=HYPERLINK("https://mp39851918.megaplan.ua/deals/99143/card/","16628")</f>
      </c>
      <c r="B2608" s="3" t="inlineStr">
        <is>
          <t>112-4278367-8750666</t>
        </is>
      </c>
      <c r="C2608" s="3" t="inlineStr">
        <is>
          <t>RockyMountain</t>
        </is>
      </c>
    </row>
    <row collapsed="false" customFormat="false" customHeight="false" hidden="false" ht="12.1" outlineLevel="0" r="2609">
      <c r="A2609" s="3" t="s">
        <f>=HYPERLINK("https://mp39851918.megaplan.ua/deals/99147/card/","16629")</f>
      </c>
      <c r="B2609" s="3" t="inlineStr">
        <is>
          <t>112-5006835-8102612</t>
        </is>
      </c>
      <c r="C2609" s="3" t="inlineStr">
        <is>
          <t>TuckerRocky</t>
        </is>
      </c>
    </row>
    <row collapsed="false" customFormat="false" customHeight="false" hidden="false" ht="12.1" outlineLevel="0" r="2610">
      <c r="A2610" s="3" t="s">
        <f>=HYPERLINK("https://mp39851918.megaplan.ua/deals/99151/card/","16630")</f>
      </c>
      <c r="B2610" s="3" t="inlineStr">
        <is>
          <t>114-6826490-7885827</t>
        </is>
      </c>
      <c r="C2610" s="3" t="inlineStr">
        <is>
          <t>TuckerRocky</t>
        </is>
      </c>
    </row>
    <row collapsed="false" customFormat="false" customHeight="false" hidden="false" ht="12.1" outlineLevel="0" r="2611">
      <c r="A2611" s="3" t="s">
        <f>=HYPERLINK("https://mp39851918.megaplan.ua/deals/99160/card/","16631")</f>
      </c>
      <c r="B2611" s="3" t="inlineStr">
        <is>
          <t>113-3655800-1723400</t>
        </is>
      </c>
      <c r="C2611" s="3" t="inlineStr">
        <is>
          <t>Autodist</t>
        </is>
      </c>
    </row>
    <row collapsed="false" customFormat="false" customHeight="false" hidden="false" ht="12.1" outlineLevel="0" r="2612">
      <c r="A2612" s="3" t="s">
        <f>=HYPERLINK("https://mp39851918.megaplan.ua/deals/99166/card/","16632")</f>
      </c>
      <c r="B2612" s="3" t="inlineStr">
        <is>
          <t>112-6024226-4745830</t>
        </is>
      </c>
      <c r="C2612" s="3" t="inlineStr">
        <is>
          <t>Autodist</t>
        </is>
      </c>
    </row>
    <row collapsed="false" customFormat="false" customHeight="false" hidden="false" ht="12.1" outlineLevel="0" r="2613">
      <c r="A2613" s="3" t="s">
        <f>=HYPERLINK("https://mp39851918.megaplan.ua/deals/99172/card/","16633")</f>
      </c>
      <c r="B2613" s="3" t="inlineStr">
        <is>
          <t>112-3132196-9792250</t>
        </is>
      </c>
      <c r="C2613" s="3" t="inlineStr">
        <is>
          <t>Autodist</t>
        </is>
      </c>
    </row>
    <row collapsed="false" customFormat="false" customHeight="false" hidden="false" ht="12.1" outlineLevel="0" r="2614">
      <c r="A2614" s="3" t="s">
        <f>=HYPERLINK("https://mp39851918.megaplan.ua/deals/99173/card/","16634")</f>
      </c>
      <c r="B2614" s="3" t="inlineStr">
        <is>
          <t>111-2374998-1543413</t>
        </is>
      </c>
      <c r="C2614" s="3" t="inlineStr">
        <is>
          <t>PartsUnlimited</t>
        </is>
      </c>
    </row>
    <row collapsed="false" customFormat="false" customHeight="false" hidden="false" ht="12.1" outlineLevel="0" r="2615">
      <c r="A2615" s="3" t="s">
        <f>=HYPERLINK("https://mp39851918.megaplan.ua/deals/99200/card/","16637")</f>
      </c>
      <c r="B2615" s="3" t="inlineStr">
        <is>
          <t>111-1186556-0457848</t>
        </is>
      </c>
      <c r="C2615" s="3" t="inlineStr">
        <is>
          <t>TuckerRocky</t>
        </is>
      </c>
    </row>
    <row collapsed="false" customFormat="false" customHeight="false" hidden="false" ht="12.1" outlineLevel="0" r="2616">
      <c r="A2616" s="3" t="s">
        <f>=HYPERLINK("https://mp39851918.megaplan.ua/deals/99201/card/","16638")</f>
      </c>
      <c r="B2616" s="3" t="inlineStr">
        <is>
          <t>113-0627650-8929867</t>
        </is>
      </c>
      <c r="C2616" s="3" t="inlineStr">
        <is>
          <t>TuckerRocky</t>
        </is>
      </c>
    </row>
    <row collapsed="false" customFormat="false" customHeight="false" hidden="false" ht="12.1" outlineLevel="0" r="2617">
      <c r="A2617" s="3" t="s">
        <f>=HYPERLINK("https://mp39851918.megaplan.ua/deals/99206/card/","16640")</f>
      </c>
      <c r="B2617" s="3" t="inlineStr">
        <is>
          <t>111-6111698-0033036</t>
        </is>
      </c>
      <c r="C2617" s="3" t="inlineStr">
        <is>
          <t>TuckerRocky</t>
        </is>
      </c>
    </row>
    <row collapsed="false" customFormat="false" customHeight="false" hidden="false" ht="12.1" outlineLevel="0" r="2618">
      <c r="A2618" s="3" t="s">
        <f>=HYPERLINK("https://mp39851918.megaplan.ua/deals/99212/card/","16641")</f>
      </c>
      <c r="B2618" s="3" t="inlineStr">
        <is>
          <t>114-8609600-2776258</t>
        </is>
      </c>
      <c r="C2618" s="3" t="inlineStr">
        <is>
          <t>TuckerRocky</t>
        </is>
      </c>
    </row>
    <row collapsed="false" customFormat="false" customHeight="false" hidden="false" ht="12.1" outlineLevel="0" r="2619">
      <c r="A2619" s="3" t="s">
        <f>=HYPERLINK("https://mp39851918.megaplan.ua/deals/99216/card/","16642")</f>
      </c>
      <c r="B2619" s="3" t="inlineStr">
        <is>
          <t>113-4503969-2837826</t>
        </is>
      </c>
      <c r="C2619" s="3" t="inlineStr">
        <is>
          <t>TuckerRocky</t>
        </is>
      </c>
    </row>
    <row collapsed="false" customFormat="false" customHeight="false" hidden="false" ht="12.1" outlineLevel="0" r="2620">
      <c r="A2620" s="3" t="s">
        <f>=HYPERLINK("https://mp39851918.megaplan.ua/deals/99224/card/","16644")</f>
      </c>
      <c r="B2620" s="3" t="inlineStr">
        <is>
          <t>114-5341119-3162655</t>
        </is>
      </c>
      <c r="C2620" s="3" t="inlineStr">
        <is>
          <t>TuckerRocky</t>
        </is>
      </c>
    </row>
    <row collapsed="false" customFormat="false" customHeight="false" hidden="false" ht="12.1" outlineLevel="0" r="2621">
      <c r="A2621" s="3" t="s">
        <f>=HYPERLINK("https://mp39851918.megaplan.ua/deals/99227/card/","16645")</f>
      </c>
      <c r="B2621" s="3" t="inlineStr">
        <is>
          <t>111-6745920-4657817</t>
        </is>
      </c>
      <c r="C2621" s="3" t="inlineStr">
        <is>
          <t>TuckerRocky</t>
        </is>
      </c>
    </row>
    <row collapsed="false" customFormat="false" customHeight="false" hidden="false" ht="12.1" outlineLevel="0" r="2622">
      <c r="A2622" s="3" t="s">
        <f>=HYPERLINK("https://mp39851918.megaplan.ua/deals/99236/card/","16646")</f>
      </c>
      <c r="B2622" s="3" t="inlineStr">
        <is>
          <t>112-3286651-6137058</t>
        </is>
      </c>
      <c r="C2622" s="3" t="inlineStr">
        <is>
          <t>TuckerRocky</t>
        </is>
      </c>
    </row>
    <row collapsed="false" customFormat="false" customHeight="false" hidden="false" ht="12.1" outlineLevel="0" r="2623">
      <c r="A2623" s="3" t="s">
        <f>=HYPERLINK("https://mp39851918.megaplan.ua/deals/99237/card/","16647")</f>
      </c>
      <c r="B2623" s="3" t="inlineStr">
        <is>
          <t>113-3455070-5610652</t>
        </is>
      </c>
      <c r="C2623" s="3" t="inlineStr">
        <is>
          <t>TuckerRocky</t>
        </is>
      </c>
    </row>
    <row collapsed="false" customFormat="false" customHeight="false" hidden="false" ht="12.1" outlineLevel="0" r="2624">
      <c r="A2624" s="3" t="s">
        <f>=HYPERLINK("https://mp39851918.megaplan.ua/deals/99256/card/","16648")</f>
      </c>
      <c r="B2624" s="3" t="inlineStr">
        <is>
          <t>113-7436199-6749030</t>
        </is>
      </c>
      <c r="C2624" s="3" t="inlineStr">
        <is>
          <t>Autodist</t>
        </is>
      </c>
    </row>
    <row collapsed="false" customFormat="false" customHeight="false" hidden="false" ht="12.1" outlineLevel="0" r="2625">
      <c r="A2625" s="3" t="s">
        <f>=HYPERLINK("https://mp39851918.megaplan.ua/deals/99265/card/","16649")</f>
      </c>
      <c r="B2625" s="3" t="inlineStr">
        <is>
          <t>112-0697034-9441020</t>
        </is>
      </c>
      <c r="C2625" s="3" t="inlineStr">
        <is>
          <t>Autodist</t>
        </is>
      </c>
    </row>
    <row collapsed="false" customFormat="false" customHeight="false" hidden="false" ht="12.1" outlineLevel="0" r="2626">
      <c r="A2626" s="3" t="s">
        <f>=HYPERLINK("https://mp39851918.megaplan.ua/deals/99269/card/","16650")</f>
      </c>
      <c r="B2626" s="3" t="inlineStr">
        <is>
          <t>113-4908981-0057866</t>
        </is>
      </c>
      <c r="C2626" s="3" t="inlineStr">
        <is>
          <t>TuckerRocky</t>
        </is>
      </c>
    </row>
    <row collapsed="false" customFormat="false" customHeight="false" hidden="false" ht="12.1" outlineLevel="0" r="2627">
      <c r="A2627" s="3" t="s">
        <f>=HYPERLINK("https://mp39851918.megaplan.ua/deals/99281/card/","16653")</f>
      </c>
      <c r="B2627" s="3" t="inlineStr">
        <is>
          <t>112-6762812-2865833</t>
        </is>
      </c>
      <c r="C2627" s="3" t="inlineStr">
        <is>
          <t>Autodist</t>
        </is>
      </c>
    </row>
    <row collapsed="false" customFormat="false" customHeight="false" hidden="false" ht="12.1" outlineLevel="0" r="2628">
      <c r="A2628" s="3" t="s">
        <f>=HYPERLINK("https://mp39851918.megaplan.ua/deals/99283/card/","16654")</f>
      </c>
      <c r="B2628" s="3" t="inlineStr">
        <is>
          <t>113-0789632-6008233</t>
        </is>
      </c>
      <c r="C2628" s="3" t="inlineStr">
        <is>
          <t>RockyMountain</t>
        </is>
      </c>
    </row>
    <row collapsed="false" customFormat="false" customHeight="false" hidden="false" ht="12.1" outlineLevel="0" r="2629">
      <c r="A2629" s="3" t="s">
        <f>=HYPERLINK("https://mp39851918.megaplan.ua/deals/99300/card/","16657")</f>
      </c>
      <c r="B2629" s="3" t="inlineStr">
        <is>
          <t>113-6195398-6140256</t>
        </is>
      </c>
      <c r="C2629" s="3" t="inlineStr">
        <is>
          <t>Autodist</t>
        </is>
      </c>
    </row>
    <row collapsed="false" customFormat="false" customHeight="false" hidden="false" ht="12.1" outlineLevel="0" r="2630">
      <c r="A2630" s="3" t="s">
        <f>=HYPERLINK("https://mp39851918.megaplan.ua/deals/99303/card/","16658")</f>
      </c>
      <c r="B2630" s="3" t="inlineStr">
        <is>
          <t>113-4649716-0497011</t>
        </is>
      </c>
      <c r="C2630" s="3" t="inlineStr">
        <is>
          <t>TuckerRocky</t>
        </is>
      </c>
    </row>
    <row collapsed="false" customFormat="false" customHeight="false" hidden="false" ht="12.1" outlineLevel="0" r="2631">
      <c r="A2631" s="3" t="s">
        <f>=HYPERLINK("https://mp39851918.megaplan.ua/deals/99318/card/","16661")</f>
      </c>
      <c r="B2631" s="3" t="inlineStr">
        <is>
          <t>111-0586951-4532255</t>
        </is>
      </c>
      <c r="C2631" s="3" t="inlineStr">
        <is>
          <t>TuckerRocky</t>
        </is>
      </c>
    </row>
    <row collapsed="false" customFormat="false" customHeight="false" hidden="false" ht="12.1" outlineLevel="0" r="2632">
      <c r="A2632" s="3" t="s">
        <f>=HYPERLINK("https://mp39851918.megaplan.ua/deals/99319/card/","16662")</f>
      </c>
      <c r="B2632" s="3" t="inlineStr">
        <is>
          <t>111-3845030-3043459</t>
        </is>
      </c>
      <c r="C2632" s="3" t="inlineStr">
        <is>
          <t>RockyMountain</t>
        </is>
      </c>
    </row>
    <row collapsed="false" customFormat="false" customHeight="false" hidden="false" ht="12.1" outlineLevel="0" r="2633">
      <c r="A2633" s="3" t="s">
        <f>=HYPERLINK("https://mp39851918.megaplan.ua/deals/99329/card/","16663")</f>
      </c>
      <c r="B2633" s="3" t="inlineStr">
        <is>
          <t>112-2253753-3728229</t>
        </is>
      </c>
      <c r="C2633" s="3" t="inlineStr">
        <is>
          <t>TuckerRocky</t>
        </is>
      </c>
    </row>
    <row collapsed="false" customFormat="false" customHeight="false" hidden="false" ht="12.1" outlineLevel="0" r="2634">
      <c r="A2634" s="3" t="s">
        <f>=HYPERLINK("https://mp39851918.megaplan.ua/deals/99337/card/","16665")</f>
      </c>
      <c r="B2634" s="3" t="inlineStr">
        <is>
          <t>113-9379609-7332256</t>
        </is>
      </c>
      <c r="C2634" s="3" t="inlineStr">
        <is>
          <t>TuckerRocky</t>
        </is>
      </c>
    </row>
    <row collapsed="false" customFormat="false" customHeight="false" hidden="false" ht="12.1" outlineLevel="0" r="2635">
      <c r="A2635" s="3" t="s">
        <f>=HYPERLINK("https://mp39851918.megaplan.ua/deals/99349/card/","16666")</f>
      </c>
      <c r="B2635" s="3" t="inlineStr">
        <is>
          <t>112-2583964-1650625</t>
        </is>
      </c>
      <c r="C2635" s="3" t="inlineStr">
        <is>
          <t>TuckerRocky</t>
        </is>
      </c>
    </row>
    <row collapsed="false" customFormat="false" customHeight="false" hidden="false" ht="12.1" outlineLevel="0" r="2636">
      <c r="A2636" s="3" t="s">
        <f>=HYPERLINK("https://mp39851918.megaplan.ua/deals/99363/card/","16669")</f>
      </c>
      <c r="B2636" s="3" t="inlineStr">
        <is>
          <t>113-4431703-2261035</t>
        </is>
      </c>
      <c r="C2636" s="3" t="inlineStr">
        <is>
          <t>Autodist</t>
        </is>
      </c>
    </row>
    <row collapsed="false" customFormat="false" customHeight="false" hidden="false" ht="12.1" outlineLevel="0" r="2637">
      <c r="A2637" s="3" t="s">
        <f>=HYPERLINK("https://mp39851918.megaplan.ua/deals/99377/card/","16671")</f>
      </c>
      <c r="B2637" s="3" t="inlineStr">
        <is>
          <t>112-2368311-4796245</t>
        </is>
      </c>
      <c r="C2637" s="3" t="inlineStr">
        <is>
          <t>TuckerRocky</t>
        </is>
      </c>
    </row>
    <row collapsed="false" customFormat="false" customHeight="false" hidden="false" ht="12.1" outlineLevel="0" r="2638">
      <c r="A2638" s="3" t="s">
        <f>=HYPERLINK("https://mp39851918.megaplan.ua/deals/99384/card/","16672")</f>
      </c>
      <c r="B2638" s="3" t="inlineStr">
        <is>
          <t>111-1805371-8773858</t>
        </is>
      </c>
      <c r="C2638" s="3" t="inlineStr">
        <is>
          <t>TuckerRocky</t>
        </is>
      </c>
    </row>
    <row collapsed="false" customFormat="false" customHeight="false" hidden="false" ht="12.1" outlineLevel="0" r="2639">
      <c r="A2639" s="3" t="s">
        <f>=HYPERLINK("https://mp39851918.megaplan.ua/deals/99386/card/","16673")</f>
      </c>
      <c r="B2639" s="3" t="inlineStr">
        <is>
          <t>111-5785062-5552257</t>
        </is>
      </c>
      <c r="C2639" s="3" t="inlineStr">
        <is>
          <t>TuckerRocky</t>
        </is>
      </c>
    </row>
    <row collapsed="false" customFormat="false" customHeight="false" hidden="false" ht="12.1" outlineLevel="0" r="2640">
      <c r="A2640" s="3" t="s">
        <f>=HYPERLINK("https://mp39851918.megaplan.ua/deals/99394/card/","16675")</f>
      </c>
      <c r="B2640" s="3" t="inlineStr">
        <is>
          <t>111-4232242-5490610</t>
        </is>
      </c>
      <c r="C2640" s="3" t="inlineStr">
        <is>
          <t>PartsUnlimited</t>
        </is>
      </c>
    </row>
    <row collapsed="false" customFormat="false" customHeight="false" hidden="false" ht="12.1" outlineLevel="0" r="2641">
      <c r="A2641" s="3" t="s">
        <f>=HYPERLINK("https://mp39851918.megaplan.ua/deals/99408/card/","16676")</f>
      </c>
      <c r="B2641" s="3" t="inlineStr">
        <is>
          <t>111-3949527-7689849</t>
        </is>
      </c>
      <c r="C2641" s="3" t="inlineStr">
        <is>
          <t>TuckerRocky</t>
        </is>
      </c>
    </row>
    <row collapsed="false" customFormat="false" customHeight="false" hidden="false" ht="12.1" outlineLevel="0" r="2642">
      <c r="A2642" s="3" t="s">
        <f>=HYPERLINK("https://mp39851918.megaplan.ua/deals/99412/card/","16677")</f>
      </c>
      <c r="B2642" s="3" t="inlineStr">
        <is>
          <t>114-3159612-9731439</t>
        </is>
      </c>
      <c r="C2642" s="3" t="inlineStr">
        <is>
          <t>TuckerRocky</t>
        </is>
      </c>
    </row>
    <row collapsed="false" customFormat="false" customHeight="false" hidden="false" ht="12.1" outlineLevel="0" r="2643">
      <c r="A2643" s="3" t="s">
        <f>=HYPERLINK("https://mp39851918.megaplan.ua/deals/99416/card/","16678")</f>
      </c>
      <c r="B2643" s="3" t="inlineStr">
        <is>
          <t>111-4065248-9942655</t>
        </is>
      </c>
      <c r="C2643" s="3" t="inlineStr">
        <is>
          <t>TuckerRocky</t>
        </is>
      </c>
    </row>
    <row collapsed="false" customFormat="false" customHeight="false" hidden="false" ht="12.1" outlineLevel="0" r="2644">
      <c r="A2644" s="3" t="s">
        <f>=HYPERLINK("https://mp39851918.megaplan.ua/deals/99417/card/","16679")</f>
      </c>
      <c r="B2644" s="3" t="inlineStr">
        <is>
          <t>111-8671322-9361814</t>
        </is>
      </c>
      <c r="C2644" s="3" t="inlineStr">
        <is>
          <t>RockyMountain</t>
        </is>
      </c>
    </row>
    <row collapsed="false" customFormat="false" customHeight="false" hidden="false" ht="12.1" outlineLevel="0" r="2645">
      <c r="A2645" s="3" t="s">
        <f>=HYPERLINK("https://mp39851918.megaplan.ua/deals/99424/card/","16681")</f>
      </c>
      <c r="B2645" s="3" t="inlineStr">
        <is>
          <t>111-2026655-1177847</t>
        </is>
      </c>
      <c r="C2645" s="3" t="inlineStr">
        <is>
          <t>TuckerRocky</t>
        </is>
      </c>
    </row>
    <row collapsed="false" customFormat="false" customHeight="false" hidden="false" ht="12.1" outlineLevel="0" r="2646">
      <c r="A2646" s="3" t="s">
        <f>=HYPERLINK("https://mp39851918.megaplan.ua/deals/99425/card/","16682")</f>
      </c>
      <c r="B2646" s="3" t="inlineStr">
        <is>
          <t>111-6975422-8479437</t>
        </is>
      </c>
      <c r="C2646" s="3" t="inlineStr">
        <is>
          <t>TuckerRocky</t>
        </is>
      </c>
    </row>
    <row collapsed="false" customFormat="false" customHeight="false" hidden="false" ht="12.1" outlineLevel="0" r="2647">
      <c r="A2647" s="3" t="s">
        <f>=HYPERLINK("https://mp39851918.megaplan.ua/deals/99450/card/","16685")</f>
      </c>
      <c r="B2647" s="3" t="inlineStr">
        <is>
          <t>112-0157645-8507403</t>
        </is>
      </c>
      <c r="C2647" s="3" t="inlineStr">
        <is>
          <t>TuckerRocky</t>
        </is>
      </c>
    </row>
    <row collapsed="false" customFormat="false" customHeight="false" hidden="false" ht="12.1" outlineLevel="0" r="2648">
      <c r="A2648" s="3" t="s">
        <f>=HYPERLINK("https://mp39851918.megaplan.ua/deals/99453/card/","16686")</f>
      </c>
      <c r="B2648" s="3" t="inlineStr">
        <is>
          <t>114-4088321-2739433</t>
        </is>
      </c>
      <c r="C2648" s="3" t="inlineStr">
        <is>
          <t>PartsUnlimited</t>
        </is>
      </c>
    </row>
    <row collapsed="false" customFormat="false" customHeight="false" hidden="false" ht="12.1" outlineLevel="0" r="2649">
      <c r="A2649" s="3" t="s">
        <f>=HYPERLINK("https://mp39851918.megaplan.ua/deals/99476/card/","16688")</f>
      </c>
      <c r="B2649" s="3" t="inlineStr">
        <is>
          <t>112-0021506-7560204</t>
        </is>
      </c>
      <c r="C2649" s="3" t="inlineStr">
        <is>
          <t>TuckerRocky</t>
        </is>
      </c>
    </row>
    <row collapsed="false" customFormat="false" customHeight="false" hidden="false" ht="12.1" outlineLevel="0" r="2650">
      <c r="A2650" s="3" t="s">
        <f>=HYPERLINK("https://mp39851918.megaplan.ua/deals/99477/card/","16689")</f>
      </c>
      <c r="B2650" s="3" t="inlineStr">
        <is>
          <t>114-7352968-6881027</t>
        </is>
      </c>
      <c r="C2650" s="3" t="inlineStr">
        <is>
          <t>Autodist</t>
        </is>
      </c>
    </row>
    <row collapsed="false" customFormat="false" customHeight="false" hidden="false" ht="12.1" outlineLevel="0" r="2651">
      <c r="A2651" s="3" t="s">
        <f>=HYPERLINK("https://mp39851918.megaplan.ua/deals/99478/card/","16690")</f>
      </c>
      <c r="B2651" s="3" t="inlineStr">
        <is>
          <t>114-0331468-9161045</t>
        </is>
      </c>
      <c r="C2651" s="3" t="inlineStr">
        <is>
          <t>TuckerRocky</t>
        </is>
      </c>
    </row>
    <row collapsed="false" customFormat="false" customHeight="false" hidden="false" ht="12.1" outlineLevel="0" r="2652">
      <c r="A2652" s="3" t="s">
        <f>=HYPERLINK("https://mp39851918.megaplan.ua/deals/99481/card/","16691")</f>
      </c>
      <c r="B2652" s="3" t="inlineStr">
        <is>
          <t>111-9585871-1986610</t>
        </is>
      </c>
      <c r="C2652" s="3" t="inlineStr">
        <is>
          <t>TuckerRocky</t>
        </is>
      </c>
    </row>
    <row collapsed="false" customFormat="false" customHeight="false" hidden="false" ht="12.1" outlineLevel="0" r="2653">
      <c r="A2653" s="3" t="s">
        <f>=HYPERLINK("https://mp39851918.megaplan.ua/deals/99482/card/","16692")</f>
      </c>
      <c r="B2653" s="3" t="inlineStr">
        <is>
          <t>113-7656656-9279436</t>
        </is>
      </c>
      <c r="C2653" s="3" t="inlineStr">
        <is>
          <t>TuckerRocky</t>
        </is>
      </c>
    </row>
    <row collapsed="false" customFormat="false" customHeight="false" hidden="false" ht="12.1" outlineLevel="0" r="2654">
      <c r="A2654" s="3" t="s">
        <f>=HYPERLINK("https://mp39851918.megaplan.ua/deals/99487/card/","16693")</f>
      </c>
      <c r="B2654" s="3" t="inlineStr">
        <is>
          <t>111-3864675-4893067</t>
        </is>
      </c>
      <c r="C2654" s="3" t="inlineStr">
        <is>
          <t>TuckerRocky</t>
        </is>
      </c>
    </row>
    <row collapsed="false" customFormat="false" customHeight="false" hidden="false" ht="12.1" outlineLevel="0" r="2655">
      <c r="A2655" s="3" t="s">
        <f>=HYPERLINK("https://mp39851918.megaplan.ua/deals/99488/card/","16694")</f>
      </c>
      <c r="B2655" s="3" t="inlineStr">
        <is>
          <t>114-3421218-9728225</t>
        </is>
      </c>
      <c r="C2655" s="3" t="inlineStr">
        <is>
          <t>TuckerRocky</t>
        </is>
      </c>
    </row>
    <row collapsed="false" customFormat="false" customHeight="false" hidden="false" ht="12.1" outlineLevel="0" r="2656">
      <c r="A2656" s="3" t="s">
        <f>=HYPERLINK("https://mp39851918.megaplan.ua/deals/99489/card/","16695")</f>
      </c>
      <c r="B2656" s="3" t="inlineStr">
        <is>
          <t>112-5800169-4326645</t>
        </is>
      </c>
      <c r="C2656" s="3" t="inlineStr">
        <is>
          <t>PartsUnlimited</t>
        </is>
      </c>
    </row>
    <row collapsed="false" customFormat="false" customHeight="false" hidden="false" ht="12.1" outlineLevel="0" r="2657">
      <c r="A2657" s="3" t="s">
        <f>=HYPERLINK("https://mp39851918.megaplan.ua/deals/99491/card/","16696")</f>
      </c>
      <c r="B2657" s="3" t="inlineStr">
        <is>
          <t>114-0946500-9980232</t>
        </is>
      </c>
      <c r="C2657" s="3" t="inlineStr">
        <is>
          <t>PartsUnlimited</t>
        </is>
      </c>
    </row>
    <row collapsed="false" customFormat="false" customHeight="false" hidden="false" ht="12.1" outlineLevel="0" r="2658">
      <c r="A2658" s="3" t="s">
        <f>=HYPERLINK("https://mp39851918.megaplan.ua/deals/99492/card/","16697")</f>
      </c>
      <c r="B2658" s="3" t="inlineStr">
        <is>
          <t>111-1152171-6239463</t>
        </is>
      </c>
      <c r="C2658" s="3" t="inlineStr">
        <is>
          <t>TuckerRocky</t>
        </is>
      </c>
    </row>
    <row collapsed="false" customFormat="false" customHeight="false" hidden="false" ht="12.1" outlineLevel="0" r="2659">
      <c r="A2659" s="3" t="s">
        <f>=HYPERLINK("https://mp39851918.megaplan.ua/deals/99493/card/","16698")</f>
      </c>
      <c r="B2659" s="3" t="inlineStr">
        <is>
          <t>111-7916108-8685815</t>
        </is>
      </c>
      <c r="C2659" s="3" t="inlineStr">
        <is>
          <t>TuckerRocky</t>
        </is>
      </c>
    </row>
    <row collapsed="false" customFormat="false" customHeight="false" hidden="false" ht="12.1" outlineLevel="0" r="2660">
      <c r="A2660" s="3" t="s">
        <f>=HYPERLINK("https://mp39851918.megaplan.ua/deals/99497/card/","16699")</f>
      </c>
      <c r="B2660" s="3" t="inlineStr">
        <is>
          <t>113-3636999-5225045</t>
        </is>
      </c>
      <c r="C2660" s="3" t="inlineStr">
        <is>
          <t>TuckerRocky</t>
        </is>
      </c>
    </row>
    <row collapsed="false" customFormat="false" customHeight="false" hidden="false" ht="12.1" outlineLevel="0" r="2661">
      <c r="A2661" s="3" t="s">
        <f>=HYPERLINK("https://mp39851918.megaplan.ua/deals/99507/card/","16700")</f>
      </c>
      <c r="B2661" s="3" t="inlineStr">
        <is>
          <t>111-3128793-1473843</t>
        </is>
      </c>
      <c r="C2661" s="3" t="inlineStr">
        <is>
          <t>TuckerRocky</t>
        </is>
      </c>
    </row>
    <row collapsed="false" customFormat="false" customHeight="false" hidden="false" ht="12.1" outlineLevel="0" r="2662">
      <c r="A2662" s="3" t="s">
        <f>=HYPERLINK("https://mp39851918.megaplan.ua/deals/99512/card/","16701")</f>
      </c>
      <c r="B2662" s="3" t="inlineStr">
        <is>
          <t>112-8905152-4859410</t>
        </is>
      </c>
      <c r="C2662" s="3" t="inlineStr">
        <is>
          <t>Autodist</t>
        </is>
      </c>
    </row>
    <row collapsed="false" customFormat="false" customHeight="false" hidden="false" ht="12.1" outlineLevel="0" r="2663">
      <c r="A2663" s="3" t="s">
        <f>=HYPERLINK("https://mp39851918.megaplan.ua/deals/99514/card/","16702")</f>
      </c>
      <c r="B2663" s="3" t="inlineStr">
        <is>
          <t>113-5732365-6677814</t>
        </is>
      </c>
      <c r="C2663" s="3" t="inlineStr">
        <is>
          <t>TuckerRocky</t>
        </is>
      </c>
    </row>
    <row collapsed="false" customFormat="false" customHeight="false" hidden="false" ht="12.1" outlineLevel="0" r="2664">
      <c r="A2664" s="3" t="s">
        <f>=HYPERLINK("https://mp39851918.megaplan.ua/deals/99516/card/","16703")</f>
      </c>
      <c r="B2664" s="3" t="inlineStr">
        <is>
          <t>114-7730516-4525833</t>
        </is>
      </c>
      <c r="C2664" s="3" t="inlineStr">
        <is>
          <t>Autodist</t>
        </is>
      </c>
    </row>
    <row collapsed="false" customFormat="false" customHeight="false" hidden="false" ht="12.1" outlineLevel="0" r="2665">
      <c r="A2665" s="3" t="s">
        <f>=HYPERLINK("https://mp39851918.megaplan.ua/deals/99523/card/","16704")</f>
      </c>
      <c r="B2665" s="3" t="inlineStr">
        <is>
          <t>114-6988279-1988255</t>
        </is>
      </c>
      <c r="C2665" s="3" t="inlineStr">
        <is>
          <t>PartsUnlimited</t>
        </is>
      </c>
    </row>
    <row collapsed="false" customFormat="false" customHeight="false" hidden="false" ht="12.1" outlineLevel="0" r="2666">
      <c r="A2666" s="3" t="s">
        <f>=HYPERLINK("https://mp39851918.megaplan.ua/deals/99529/card/","16705")</f>
      </c>
      <c r="B2666" s="3" t="inlineStr">
        <is>
          <t>113-9947410-2977808</t>
        </is>
      </c>
      <c r="C2666" s="3" t="inlineStr">
        <is>
          <t>Autodist</t>
        </is>
      </c>
    </row>
    <row collapsed="false" customFormat="false" customHeight="false" hidden="false" ht="12.1" outlineLevel="0" r="2667">
      <c r="A2667" s="3" t="s">
        <f>=HYPERLINK("https://mp39851918.megaplan.ua/deals/99537/card/","16706")</f>
      </c>
      <c r="B2667" s="3" t="inlineStr">
        <is>
          <t>112-1240992-2010625</t>
        </is>
      </c>
      <c r="C2667" s="3" t="inlineStr">
        <is>
          <t>PartsUnlimited</t>
        </is>
      </c>
    </row>
    <row collapsed="false" customFormat="false" customHeight="false" hidden="false" ht="12.1" outlineLevel="0" r="2668">
      <c r="A2668" s="3" t="s">
        <f>=HYPERLINK("https://mp39851918.megaplan.ua/deals/99546/card/","16707")</f>
      </c>
      <c r="B2668" s="3" t="inlineStr">
        <is>
          <t>113-7817934-8109000</t>
        </is>
      </c>
      <c r="C2668" s="3" t="inlineStr">
        <is>
          <t>TuckerRocky</t>
        </is>
      </c>
    </row>
    <row collapsed="false" customFormat="false" customHeight="false" hidden="false" ht="12.1" outlineLevel="0" r="2669">
      <c r="A2669" s="3" t="s">
        <f>=HYPERLINK("https://mp39851918.megaplan.ua/deals/99547/card/","16708")</f>
      </c>
      <c r="B2669" s="3" t="inlineStr">
        <is>
          <t>113-7930349-0766637</t>
        </is>
      </c>
      <c r="C2669" s="3" t="inlineStr">
        <is>
          <t>TuckerRocky</t>
        </is>
      </c>
    </row>
    <row collapsed="false" customFormat="false" customHeight="false" hidden="false" ht="12.1" outlineLevel="0" r="2670">
      <c r="A2670" s="3" t="s">
        <f>=HYPERLINK("https://mp39851918.megaplan.ua/deals/99555/card/","16709")</f>
      </c>
      <c r="B2670" s="3" t="inlineStr">
        <is>
          <t>114-9259777-8018664</t>
        </is>
      </c>
      <c r="C2670" s="3" t="inlineStr">
        <is>
          <t>Autodist</t>
        </is>
      </c>
    </row>
    <row collapsed="false" customFormat="false" customHeight="false" hidden="false" ht="12.1" outlineLevel="0" r="2671">
      <c r="A2671" s="3" t="s">
        <f>=HYPERLINK("https://mp39851918.megaplan.ua/deals/99581/card/","16710")</f>
      </c>
      <c r="B2671" s="3" t="inlineStr">
        <is>
          <t>113-1932087-2673047</t>
        </is>
      </c>
      <c r="C2671" s="3" t="inlineStr">
        <is>
          <t>TuckerRocky</t>
        </is>
      </c>
    </row>
    <row collapsed="false" customFormat="false" customHeight="false" hidden="false" ht="12.1" outlineLevel="0" r="2672">
      <c r="A2672" s="3" t="s">
        <f>=HYPERLINK("https://mp39851918.megaplan.ua/deals/99594/card/","16711")</f>
      </c>
      <c r="B2672" s="3" t="inlineStr">
        <is>
          <t>113-5590167-6552213</t>
        </is>
      </c>
      <c r="C2672" s="3" t="inlineStr">
        <is>
          <t>TuckerRocky</t>
        </is>
      </c>
    </row>
    <row collapsed="false" customFormat="false" customHeight="false" hidden="false" ht="12.1" outlineLevel="0" r="2673">
      <c r="A2673" s="3" t="s">
        <f>=HYPERLINK("https://mp39851918.megaplan.ua/deals/99595/card/","16712")</f>
      </c>
      <c r="B2673" s="3" t="inlineStr">
        <is>
          <t>114-5618866-1793850</t>
        </is>
      </c>
      <c r="C2673" s="3" t="inlineStr">
        <is>
          <t>TuckerRocky</t>
        </is>
      </c>
    </row>
    <row collapsed="false" customFormat="false" customHeight="false" hidden="false" ht="12.1" outlineLevel="0" r="2674">
      <c r="A2674" s="3" t="s">
        <f>=HYPERLINK("https://mp39851918.megaplan.ua/deals/99608/card/","16714")</f>
      </c>
      <c r="B2674" s="3" t="inlineStr">
        <is>
          <t>113-4597695-6913843</t>
        </is>
      </c>
      <c r="C2674" s="3" t="inlineStr">
        <is>
          <t>TuckerRocky</t>
        </is>
      </c>
    </row>
    <row collapsed="false" customFormat="false" customHeight="false" hidden="false" ht="12.1" outlineLevel="0" r="2675">
      <c r="A2675" s="3" t="s">
        <f>=HYPERLINK("https://mp39851918.megaplan.ua/deals/99610/card/","16715")</f>
      </c>
      <c r="B2675" s="3" t="inlineStr">
        <is>
          <t>111-2944662-0354660</t>
        </is>
      </c>
      <c r="C2675" s="3" t="inlineStr">
        <is>
          <t>TuckerRocky</t>
        </is>
      </c>
    </row>
    <row collapsed="false" customFormat="false" customHeight="false" hidden="false" ht="12.1" outlineLevel="0" r="2676">
      <c r="A2676" s="3" t="s">
        <f>=HYPERLINK("https://mp39851918.megaplan.ua/deals/99612/card/","16716")</f>
      </c>
      <c r="B2676" s="3" t="inlineStr">
        <is>
          <t>112-5166078-5152253</t>
        </is>
      </c>
      <c r="C2676" s="3" t="inlineStr">
        <is>
          <t>Autodist</t>
        </is>
      </c>
    </row>
    <row collapsed="false" customFormat="false" customHeight="false" hidden="false" ht="12.1" outlineLevel="0" r="2677">
      <c r="A2677" s="3" t="s">
        <f>=HYPERLINK("https://mp39851918.megaplan.ua/deals/99623/card/","16717")</f>
      </c>
      <c r="B2677" s="3" t="inlineStr">
        <is>
          <t>113-5011852-8735412</t>
        </is>
      </c>
      <c r="C2677" s="3" t="inlineStr">
        <is>
          <t>TuckerRocky</t>
        </is>
      </c>
    </row>
    <row collapsed="false" customFormat="false" customHeight="false" hidden="false" ht="12.1" outlineLevel="0" r="2678">
      <c r="A2678" s="3" t="s">
        <f>=HYPERLINK("https://mp39851918.megaplan.ua/deals/99624/card/","16718")</f>
      </c>
      <c r="B2678" s="3" t="inlineStr">
        <is>
          <t>113-7507263-3251410</t>
        </is>
      </c>
      <c r="C2678" s="3" t="inlineStr">
        <is>
          <t>Autodist</t>
        </is>
      </c>
    </row>
    <row collapsed="false" customFormat="false" customHeight="false" hidden="false" ht="12.1" outlineLevel="0" r="2679">
      <c r="A2679" s="3" t="s">
        <f>=HYPERLINK("https://mp39851918.megaplan.ua/deals/99628/card/","16719")</f>
      </c>
      <c r="B2679" s="3" t="inlineStr">
        <is>
          <t>111-7296580-5697802</t>
        </is>
      </c>
      <c r="C2679" s="3" t="inlineStr">
        <is>
          <t>Autodist</t>
        </is>
      </c>
    </row>
    <row collapsed="false" customFormat="false" customHeight="false" hidden="false" ht="12.1" outlineLevel="0" r="2680">
      <c r="A2680" s="3" t="s">
        <f>=HYPERLINK("https://mp39851918.megaplan.ua/deals/99629/card/","16720")</f>
      </c>
      <c r="B2680" s="3" t="inlineStr">
        <is>
          <t>112-6653868-3039458</t>
        </is>
      </c>
      <c r="C2680" s="3" t="inlineStr">
        <is>
          <t>TuckerRocky</t>
        </is>
      </c>
    </row>
    <row collapsed="false" customFormat="false" customHeight="false" hidden="false" ht="12.1" outlineLevel="0" r="2681">
      <c r="A2681" s="3" t="s">
        <f>=HYPERLINK("https://mp39851918.megaplan.ua/deals/99644/card/","16722")</f>
      </c>
      <c r="B2681" s="3" t="inlineStr">
        <is>
          <t>112-7080508-7222636</t>
        </is>
      </c>
      <c r="C2681" s="3" t="inlineStr">
        <is>
          <t>Autodist</t>
        </is>
      </c>
    </row>
    <row collapsed="false" customFormat="false" customHeight="false" hidden="false" ht="12.1" outlineLevel="0" r="2682">
      <c r="A2682" s="3" t="s">
        <f>=HYPERLINK("https://mp39851918.megaplan.ua/deals/99661/card/","16723")</f>
      </c>
      <c r="B2682" s="3" t="inlineStr">
        <is>
          <t>111-9869491-0809064</t>
        </is>
      </c>
      <c r="C2682" s="3" t="inlineStr">
        <is>
          <t>TuckerRocky</t>
        </is>
      </c>
    </row>
    <row collapsed="false" customFormat="false" customHeight="false" hidden="false" ht="12.1" outlineLevel="0" r="2683">
      <c r="A2683" s="3" t="s">
        <f>=HYPERLINK("https://mp39851918.megaplan.ua/deals/99663/card/","16724")</f>
      </c>
      <c r="B2683" s="3" t="inlineStr">
        <is>
          <t>111-7458448-3749809</t>
        </is>
      </c>
      <c r="C2683" s="3" t="inlineStr">
        <is>
          <t>Autodist</t>
        </is>
      </c>
    </row>
    <row collapsed="false" customFormat="false" customHeight="false" hidden="false" ht="12.1" outlineLevel="0" r="2684">
      <c r="A2684" s="3" t="s">
        <f>=HYPERLINK("https://mp39851918.megaplan.ua/deals/99672/card/","16726")</f>
      </c>
      <c r="B2684" s="3" t="inlineStr">
        <is>
          <t>112-9380881-4638628</t>
        </is>
      </c>
      <c r="C2684" s="3" t="inlineStr">
        <is>
          <t>Autodist</t>
        </is>
      </c>
    </row>
    <row collapsed="false" customFormat="false" customHeight="false" hidden="false" ht="12.1" outlineLevel="0" r="2685">
      <c r="A2685" s="3" t="s">
        <f>=HYPERLINK("https://mp39851918.megaplan.ua/deals/99677/card/","16728")</f>
      </c>
      <c r="B2685" s="3" t="inlineStr">
        <is>
          <t>114-4745910-8215424</t>
        </is>
      </c>
      <c r="C2685" s="3" t="inlineStr">
        <is>
          <t>PartsUnlimited</t>
        </is>
      </c>
    </row>
    <row collapsed="false" customFormat="false" customHeight="false" hidden="false" ht="12.1" outlineLevel="0" r="2686">
      <c r="A2686" s="3" t="s">
        <f>=HYPERLINK("https://mp39851918.megaplan.ua/deals/99683/card/","16729")</f>
      </c>
      <c r="B2686" s="3" t="inlineStr">
        <is>
          <t>113-0630036-0265049</t>
        </is>
      </c>
      <c r="C2686" s="3" t="inlineStr">
        <is>
          <t>Autodist</t>
        </is>
      </c>
    </row>
    <row collapsed="false" customFormat="false" customHeight="false" hidden="false" ht="12.1" outlineLevel="0" r="2687">
      <c r="A2687" s="3" t="s">
        <f>=HYPERLINK("https://mp39851918.megaplan.ua/deals/99698/card/","16731")</f>
      </c>
      <c r="B2687" s="3" t="inlineStr">
        <is>
          <t>114-3715521-6574651</t>
        </is>
      </c>
      <c r="C2687" s="3" t="inlineStr">
        <is>
          <t>TuckerRocky</t>
        </is>
      </c>
    </row>
    <row collapsed="false" customFormat="false" customHeight="false" hidden="false" ht="12.1" outlineLevel="0" r="2688">
      <c r="A2688" s="3" t="s">
        <f>=HYPERLINK("https://mp39851918.megaplan.ua/deals/99718/card/","16732")</f>
      </c>
      <c r="B2688" s="3" t="inlineStr">
        <is>
          <t>112-9394065-9627408</t>
        </is>
      </c>
      <c r="C2688" s="3" t="inlineStr">
        <is>
          <t>TuckerRocky</t>
        </is>
      </c>
    </row>
    <row collapsed="false" customFormat="false" customHeight="false" hidden="false" ht="12.1" outlineLevel="0" r="2689">
      <c r="A2689" s="3" t="s">
        <f>=HYPERLINK("https://mp39851918.megaplan.ua/deals/99720/card/","16733")</f>
      </c>
      <c r="B2689" s="3" t="inlineStr">
        <is>
          <t>112-6313799-4503443</t>
        </is>
      </c>
      <c r="C2689" s="3" t="inlineStr">
        <is>
          <t>RockyMountain</t>
        </is>
      </c>
    </row>
    <row collapsed="false" customFormat="false" customHeight="false" hidden="false" ht="12.1" outlineLevel="0" r="2690">
      <c r="A2690" s="3" t="s">
        <f>=HYPERLINK("https://mp39851918.megaplan.ua/deals/99729/card/","16734")</f>
      </c>
      <c r="B2690" s="3" t="inlineStr">
        <is>
          <t>114-8218725-1602622</t>
        </is>
      </c>
      <c r="C2690" s="3" t="inlineStr">
        <is>
          <t>Autodist</t>
        </is>
      </c>
    </row>
    <row collapsed="false" customFormat="false" customHeight="false" hidden="false" ht="12.1" outlineLevel="0" r="2691">
      <c r="A2691" s="3" t="s">
        <f>=HYPERLINK("https://mp39851918.megaplan.ua/deals/99731/card/","16735")</f>
      </c>
      <c r="B2691" s="3" t="inlineStr">
        <is>
          <t>113-3732142-8329800</t>
        </is>
      </c>
      <c r="C2691" s="3" t="inlineStr">
        <is>
          <t>Autodist</t>
        </is>
      </c>
    </row>
    <row collapsed="false" customFormat="false" customHeight="false" hidden="false" ht="12.1" outlineLevel="0" r="2692">
      <c r="A2692" s="3" t="s">
        <f>=HYPERLINK("https://mp39851918.megaplan.ua/deals/99739/card/","16736")</f>
      </c>
      <c r="B2692" s="3" t="inlineStr">
        <is>
          <t>111-8008897-9305856</t>
        </is>
      </c>
      <c r="C2692" s="3" t="inlineStr">
        <is>
          <t>Autodist</t>
        </is>
      </c>
    </row>
    <row collapsed="false" customFormat="false" customHeight="false" hidden="false" ht="12.1" outlineLevel="0" r="2693">
      <c r="A2693" s="3" t="s">
        <f>=HYPERLINK("https://mp39851918.megaplan.ua/deals/99740/card/","16737")</f>
      </c>
      <c r="B2693" s="3" t="inlineStr">
        <is>
          <t>114-8857678-2987452</t>
        </is>
      </c>
      <c r="C2693" s="3" t="inlineStr">
        <is>
          <t>Autodist</t>
        </is>
      </c>
    </row>
    <row collapsed="false" customFormat="false" customHeight="false" hidden="false" ht="12.1" outlineLevel="0" r="2694">
      <c r="A2694" s="3" t="s">
        <f>=HYPERLINK("https://mp39851918.megaplan.ua/deals/99771/card/","16740")</f>
      </c>
      <c r="B2694" s="3" t="inlineStr">
        <is>
          <t>114-2591117-8318618</t>
        </is>
      </c>
      <c r="C2694" s="3" t="inlineStr">
        <is>
          <t>TuckerRocky</t>
        </is>
      </c>
    </row>
    <row collapsed="false" customFormat="false" customHeight="false" hidden="false" ht="12.1" outlineLevel="0" r="2695">
      <c r="A2695" s="3" t="s">
        <f>=HYPERLINK("https://mp39851918.megaplan.ua/deals/99772/card/","16741")</f>
      </c>
      <c r="B2695" s="3" t="inlineStr">
        <is>
          <t>114-8900085-0790641</t>
        </is>
      </c>
      <c r="C2695" s="3" t="inlineStr">
        <is>
          <t>TuckerRocky</t>
        </is>
      </c>
    </row>
    <row collapsed="false" customFormat="false" customHeight="false" hidden="false" ht="12.1" outlineLevel="0" r="2696">
      <c r="A2696" s="3" t="s">
        <f>=HYPERLINK("https://mp39851918.megaplan.ua/deals/99773/card/","16742")</f>
      </c>
      <c r="B2696" s="3" t="inlineStr">
        <is>
          <t>112-1613734-0336261</t>
        </is>
      </c>
      <c r="C2696" s="3" t="inlineStr">
        <is>
          <t>Autodist</t>
        </is>
      </c>
    </row>
    <row collapsed="false" customFormat="false" customHeight="false" hidden="false" ht="12.1" outlineLevel="0" r="2697">
      <c r="A2697" s="3" t="s">
        <f>=HYPERLINK("https://mp39851918.megaplan.ua/deals/99774/card/","16743")</f>
      </c>
      <c r="B2697" s="3" t="inlineStr">
        <is>
          <t>112-9586787-9068240</t>
        </is>
      </c>
      <c r="C2697" s="3" t="inlineStr">
        <is>
          <t>Autodist</t>
        </is>
      </c>
    </row>
    <row collapsed="false" customFormat="false" customHeight="false" hidden="false" ht="12.1" outlineLevel="0" r="2698">
      <c r="A2698" s="3" t="s">
        <f>=HYPERLINK("https://mp39851918.megaplan.ua/deals/99784/card/","16744")</f>
      </c>
      <c r="B2698" s="3" t="inlineStr">
        <is>
          <t>112-1166273-8946606</t>
        </is>
      </c>
      <c r="C2698" s="3" t="inlineStr">
        <is>
          <t>Autodist</t>
        </is>
      </c>
    </row>
    <row collapsed="false" customFormat="false" customHeight="false" hidden="false" ht="12.1" outlineLevel="0" r="2699">
      <c r="A2699" s="3" t="s">
        <f>=HYPERLINK("https://mp39851918.megaplan.ua/deals/99792/card/","16745")</f>
      </c>
      <c r="B2699" s="3" t="inlineStr">
        <is>
          <t>113-4398533-7037826</t>
        </is>
      </c>
      <c r="C2699" s="3" t="inlineStr">
        <is>
          <t>TuckerRocky</t>
        </is>
      </c>
    </row>
    <row collapsed="false" customFormat="false" customHeight="false" hidden="false" ht="12.1" outlineLevel="0" r="2700">
      <c r="A2700" s="3" t="s">
        <f>=HYPERLINK("https://mp39851918.megaplan.ua/deals/99817/card/","16746")</f>
      </c>
      <c r="B2700" s="3" t="inlineStr">
        <is>
          <t>113-3528942-6302657</t>
        </is>
      </c>
      <c r="C2700" s="3" t="inlineStr">
        <is>
          <t>TuckerRocky</t>
        </is>
      </c>
    </row>
    <row collapsed="false" customFormat="false" customHeight="false" hidden="false" ht="12.1" outlineLevel="0" r="2701">
      <c r="A2701" s="3" t="s">
        <f>=HYPERLINK("https://mp39851918.megaplan.ua/deals/99822/card/","16748")</f>
      </c>
      <c r="B2701" s="3" t="inlineStr">
        <is>
          <t>111-0352589-6032228</t>
        </is>
      </c>
      <c r="C2701" s="3" t="inlineStr">
        <is>
          <t>TuckerRocky</t>
        </is>
      </c>
    </row>
    <row collapsed="false" customFormat="false" customHeight="false" hidden="false" ht="12.1" outlineLevel="0" r="2702">
      <c r="A2702" s="3" t="s">
        <f>=HYPERLINK("https://mp39851918.megaplan.ua/deals/99823/card/","16749")</f>
      </c>
      <c r="B2702" s="3" t="inlineStr">
        <is>
          <t>111-4996291-4626618</t>
        </is>
      </c>
      <c r="C2702" s="3" t="inlineStr">
        <is>
          <t>PartsUnlimited</t>
        </is>
      </c>
    </row>
    <row collapsed="false" customFormat="false" customHeight="false" hidden="false" ht="12.1" outlineLevel="0" r="2703">
      <c r="A2703" s="3" t="s">
        <f>=HYPERLINK("https://mp39851918.megaplan.ua/deals/99831/card/","16751")</f>
      </c>
      <c r="B2703" s="3" t="inlineStr">
        <is>
          <t>113-9886093-5141818</t>
        </is>
      </c>
      <c r="C2703" s="3" t="inlineStr">
        <is>
          <t>Autodist</t>
        </is>
      </c>
    </row>
    <row collapsed="false" customFormat="false" customHeight="false" hidden="false" ht="12.1" outlineLevel="0" r="2704">
      <c r="A2704" s="3" t="s">
        <f>=HYPERLINK("https://mp39851918.megaplan.ua/deals/99836/card/","16752")</f>
      </c>
      <c r="B2704" s="3" t="inlineStr">
        <is>
          <t>112-8779503-2456238</t>
        </is>
      </c>
      <c r="C2704" s="3" t="inlineStr">
        <is>
          <t>TuckerRocky</t>
        </is>
      </c>
    </row>
    <row collapsed="false" customFormat="false" customHeight="false" hidden="false" ht="12.1" outlineLevel="0" r="2705">
      <c r="A2705" s="3" t="s">
        <f>=HYPERLINK("https://mp39851918.megaplan.ua/deals/99837/card/","16753")</f>
      </c>
      <c r="B2705" s="3" t="inlineStr">
        <is>
          <t>111-2607228-0190612</t>
        </is>
      </c>
      <c r="C2705" s="3" t="inlineStr">
        <is>
          <t>TuckerRocky</t>
        </is>
      </c>
    </row>
    <row collapsed="false" customFormat="false" customHeight="false" hidden="false" ht="12.1" outlineLevel="0" r="2706">
      <c r="A2706" s="3" t="s">
        <f>=HYPERLINK("https://mp39851918.megaplan.ua/deals/99841/card/","16754")</f>
      </c>
      <c r="B2706" s="3" t="inlineStr">
        <is>
          <t>114-4822723-5151466</t>
        </is>
      </c>
      <c r="C2706" s="3" t="inlineStr">
        <is>
          <t>RockyMountain</t>
        </is>
      </c>
    </row>
    <row collapsed="false" customFormat="false" customHeight="false" hidden="false" ht="12.1" outlineLevel="0" r="2707">
      <c r="A2707" s="3" t="s">
        <f>=HYPERLINK("https://mp39851918.megaplan.ua/deals/99862/card/","16759")</f>
      </c>
      <c r="B2707" s="3" t="inlineStr">
        <is>
          <t>113-6043601-8389062</t>
        </is>
      </c>
      <c r="C2707" s="3" t="inlineStr">
        <is>
          <t>TuckerRocky</t>
        </is>
      </c>
    </row>
    <row collapsed="false" customFormat="false" customHeight="false" hidden="false" ht="12.1" outlineLevel="0" r="2708">
      <c r="A2708" s="3" t="s">
        <f>=HYPERLINK("https://mp39851918.megaplan.ua/deals/99870/card/","16760")</f>
      </c>
      <c r="B2708" s="3" t="inlineStr">
        <is>
          <t>113-0696937-1353838</t>
        </is>
      </c>
      <c r="C2708" s="3" t="inlineStr">
        <is>
          <t>Autodist</t>
        </is>
      </c>
    </row>
    <row collapsed="false" customFormat="false" customHeight="false" hidden="false" ht="12.1" outlineLevel="0" r="2709">
      <c r="A2709" s="3" t="s">
        <f>=HYPERLINK("https://mp39851918.megaplan.ua/deals/99872/card/","16761")</f>
      </c>
      <c r="B2709" s="3" t="inlineStr">
        <is>
          <t>113-4512924-5789862</t>
        </is>
      </c>
      <c r="C2709" s="3" t="inlineStr">
        <is>
          <t>PartsUnlimited</t>
        </is>
      </c>
    </row>
    <row collapsed="false" customFormat="false" customHeight="false" hidden="false" ht="12.1" outlineLevel="0" r="2710">
      <c r="A2710" s="3" t="s">
        <f>=HYPERLINK("https://mp39851918.megaplan.ua/deals/99879/card/","16764")</f>
      </c>
      <c r="B2710" s="3" t="inlineStr">
        <is>
          <t>114-1483888-1662609</t>
        </is>
      </c>
      <c r="C2710" s="3" t="inlineStr">
        <is>
          <t>PartsUnlimited</t>
        </is>
      </c>
    </row>
    <row collapsed="false" customFormat="false" customHeight="false" hidden="false" ht="12.1" outlineLevel="0" r="2711">
      <c r="A2711" s="3" t="s">
        <f>=HYPERLINK("https://mp39851918.megaplan.ua/deals/99882/card/","16766")</f>
      </c>
      <c r="B2711" s="3" t="inlineStr">
        <is>
          <t>113-0197807-6789821</t>
        </is>
      </c>
      <c r="C2711" s="3" t="inlineStr">
        <is>
          <t>TuckerRocky</t>
        </is>
      </c>
    </row>
    <row collapsed="false" customFormat="false" customHeight="false" hidden="false" ht="12.1" outlineLevel="0" r="2712">
      <c r="A2712" s="3" t="s">
        <f>=HYPERLINK("https://mp39851918.megaplan.ua/deals/99884/card/","16767")</f>
      </c>
      <c r="B2712" s="3" t="inlineStr">
        <is>
          <t>113-1230461-0495449</t>
        </is>
      </c>
      <c r="C2712" s="3" t="inlineStr">
        <is>
          <t>PartsUnlimited</t>
        </is>
      </c>
    </row>
    <row collapsed="false" customFormat="false" customHeight="false" hidden="false" ht="12.1" outlineLevel="0" r="2713">
      <c r="A2713" s="3" t="s">
        <f>=HYPERLINK("https://mp39851918.megaplan.ua/deals/99886/card/","16768")</f>
      </c>
      <c r="B2713" s="3" t="inlineStr">
        <is>
          <t>113-8332004-0040267</t>
        </is>
      </c>
      <c r="C2713" s="3" t="inlineStr">
        <is>
          <t>TuckerRocky</t>
        </is>
      </c>
    </row>
    <row collapsed="false" customFormat="false" customHeight="false" hidden="false" ht="12.1" outlineLevel="0" r="2714">
      <c r="A2714" s="3" t="s">
        <f>=HYPERLINK("https://mp39851918.megaplan.ua/deals/99887/card/","16769")</f>
      </c>
      <c r="B2714" s="3" t="inlineStr">
        <is>
          <t>113-2940463-1668240</t>
        </is>
      </c>
      <c r="C2714" s="3" t="inlineStr">
        <is>
          <t>TuckerRocky</t>
        </is>
      </c>
    </row>
    <row collapsed="false" customFormat="false" customHeight="false" hidden="false" ht="12.1" outlineLevel="0" r="2715">
      <c r="A2715" s="3" t="s">
        <f>=HYPERLINK("https://mp39851918.megaplan.ua/deals/99889/card/","16771")</f>
      </c>
      <c r="B2715" s="3" t="inlineStr">
        <is>
          <t>111-2142339-3580211</t>
        </is>
      </c>
      <c r="C2715" s="3" t="inlineStr">
        <is>
          <t>Autodist</t>
        </is>
      </c>
    </row>
    <row collapsed="false" customFormat="false" customHeight="false" hidden="false" ht="12.1" outlineLevel="0" r="2716">
      <c r="A2716" s="3" t="s">
        <f>=HYPERLINK("https://mp39851918.megaplan.ua/deals/99894/card/","16772")</f>
      </c>
      <c r="B2716" s="3" t="inlineStr">
        <is>
          <t>114-5146671-6578622</t>
        </is>
      </c>
      <c r="C2716" s="3" t="inlineStr">
        <is>
          <t>RockyMountain</t>
        </is>
      </c>
    </row>
    <row collapsed="false" customFormat="false" customHeight="false" hidden="false" ht="12.1" outlineLevel="0" r="2717">
      <c r="A2717" s="3" t="s">
        <f>=HYPERLINK("https://mp39851918.megaplan.ua/deals/99895/card/","16773")</f>
      </c>
      <c r="B2717" s="3" t="inlineStr">
        <is>
          <t>111-1718367-3565012</t>
        </is>
      </c>
      <c r="C2717" s="3" t="inlineStr">
        <is>
          <t>TuckerRocky</t>
        </is>
      </c>
    </row>
    <row collapsed="false" customFormat="false" customHeight="false" hidden="false" ht="12.1" outlineLevel="0" r="2718">
      <c r="A2718" s="3" t="s">
        <f>=HYPERLINK("https://mp39851918.megaplan.ua/deals/99896/card/","16774")</f>
      </c>
      <c r="B2718" s="3" t="inlineStr">
        <is>
          <t>114-5240975-2115431</t>
        </is>
      </c>
      <c r="C2718" s="3" t="inlineStr">
        <is>
          <t>TuckerRocky</t>
        </is>
      </c>
    </row>
    <row collapsed="false" customFormat="false" customHeight="false" hidden="false" ht="12.1" outlineLevel="0" r="2719">
      <c r="A2719" s="3" t="s">
        <f>=HYPERLINK("https://mp39851918.megaplan.ua/deals/99898/card/","16775")</f>
      </c>
      <c r="B2719" s="3" t="inlineStr">
        <is>
          <t>112-8622726-2681061</t>
        </is>
      </c>
      <c r="C2719" s="3" t="inlineStr">
        <is>
          <t>Autodist</t>
        </is>
      </c>
    </row>
    <row collapsed="false" customFormat="false" customHeight="false" hidden="false" ht="12.1" outlineLevel="0" r="2720">
      <c r="A2720" s="3" t="s">
        <f>=HYPERLINK("https://mp39851918.megaplan.ua/deals/99899/card/","16776")</f>
      </c>
      <c r="B2720" s="3" t="inlineStr">
        <is>
          <t>111-6021542-1042662</t>
        </is>
      </c>
      <c r="C2720" s="3" t="inlineStr">
        <is>
          <t>Autodist</t>
        </is>
      </c>
    </row>
    <row collapsed="false" customFormat="false" customHeight="false" hidden="false" ht="12.1" outlineLevel="0" r="2721">
      <c r="A2721" s="3" t="s">
        <f>=HYPERLINK("https://mp39851918.megaplan.ua/deals/99901/card/","16777")</f>
      </c>
      <c r="B2721" s="3" t="inlineStr">
        <is>
          <t>112-0842954-7227460</t>
        </is>
      </c>
      <c r="C2721" s="3" t="inlineStr">
        <is>
          <t>TuckerRocky</t>
        </is>
      </c>
    </row>
    <row collapsed="false" customFormat="false" customHeight="false" hidden="false" ht="12.1" outlineLevel="0" r="2722">
      <c r="A2722" s="3" t="s">
        <f>=HYPERLINK("https://mp39851918.megaplan.ua/deals/99909/card/","16778")</f>
      </c>
      <c r="B2722" s="3" t="inlineStr">
        <is>
          <t>111-0526076-2005804</t>
        </is>
      </c>
      <c r="C2722" s="3" t="inlineStr">
        <is>
          <t>TuckerRocky</t>
        </is>
      </c>
    </row>
    <row collapsed="false" customFormat="false" customHeight="false" hidden="false" ht="12.1" outlineLevel="0" r="2723">
      <c r="A2723" s="3" t="s">
        <f>=HYPERLINK("https://mp39851918.megaplan.ua/deals/99932/card/","16779")</f>
      </c>
      <c r="B2723" s="3" t="inlineStr">
        <is>
          <t>112-9625569-4774626</t>
        </is>
      </c>
      <c r="C2723" s="3" t="inlineStr">
        <is>
          <t>Autodist</t>
        </is>
      </c>
    </row>
    <row collapsed="false" customFormat="false" customHeight="false" hidden="false" ht="12.1" outlineLevel="0" r="2724">
      <c r="A2724" s="3" t="s">
        <f>=HYPERLINK("https://mp39851918.megaplan.ua/deals/99933/card/","16780")</f>
      </c>
      <c r="B2724" s="3" t="inlineStr">
        <is>
          <t>113-8770700-4018633</t>
        </is>
      </c>
      <c r="C2724" s="3" t="inlineStr">
        <is>
          <t>TuckerRocky</t>
        </is>
      </c>
    </row>
    <row collapsed="false" customFormat="false" customHeight="false" hidden="false" ht="12.1" outlineLevel="0" r="2725">
      <c r="A2725" s="3" t="s">
        <f>=HYPERLINK("https://mp39851918.megaplan.ua/deals/99934/card/","16781")</f>
      </c>
      <c r="B2725" s="3" t="inlineStr">
        <is>
          <t>112-4921028-1118606</t>
        </is>
      </c>
      <c r="C2725" s="3" t="inlineStr">
        <is>
          <t>Autodist</t>
        </is>
      </c>
    </row>
    <row collapsed="false" customFormat="false" customHeight="false" hidden="false" ht="12.1" outlineLevel="0" r="2726">
      <c r="A2726" s="3" t="s">
        <f>=HYPERLINK("https://mp39851918.megaplan.ua/deals/99942/card/","16782")</f>
      </c>
      <c r="B2726" s="3" t="inlineStr">
        <is>
          <t>114-6180882-3061868</t>
        </is>
      </c>
      <c r="C2726" s="3" t="inlineStr">
        <is>
          <t>RockyMountain</t>
        </is>
      </c>
    </row>
    <row collapsed="false" customFormat="false" customHeight="false" hidden="false" ht="12.1" outlineLevel="0" r="2727">
      <c r="A2727" s="3" t="s">
        <f>=HYPERLINK("https://mp39851918.megaplan.ua/deals/99943/card/","16783")</f>
      </c>
      <c r="B2727" s="3" t="inlineStr">
        <is>
          <t>111-5094939-0862648</t>
        </is>
      </c>
      <c r="C2727" s="3" t="inlineStr">
        <is>
          <t>RockyMountain</t>
        </is>
      </c>
    </row>
    <row collapsed="false" customFormat="false" customHeight="false" hidden="false" ht="12.1" outlineLevel="0" r="2728">
      <c r="A2728" s="3" t="s">
        <f>=HYPERLINK("https://mp39851918.megaplan.ua/deals/99954/card/","16784")</f>
      </c>
      <c r="B2728" s="3" t="inlineStr">
        <is>
          <t>114-9297251-5940201</t>
        </is>
      </c>
      <c r="C2728" s="3" t="inlineStr">
        <is>
          <t>RockyMountain</t>
        </is>
      </c>
    </row>
    <row collapsed="false" customFormat="false" customHeight="false" hidden="false" ht="12.1" outlineLevel="0" r="2729">
      <c r="A2729" s="3" t="s">
        <f>=HYPERLINK("https://mp39851918.megaplan.ua/deals/99955/card/","16785")</f>
      </c>
      <c r="B2729" s="3" t="inlineStr">
        <is>
          <t>111-0340496-3477072</t>
        </is>
      </c>
      <c r="C2729" s="3" t="inlineStr">
        <is>
          <t>RockyMountain</t>
        </is>
      </c>
    </row>
    <row collapsed="false" customFormat="false" customHeight="false" hidden="false" ht="12.1" outlineLevel="0" r="2730">
      <c r="A2730" s="3" t="s">
        <f>=HYPERLINK("https://mp39851918.megaplan.ua/deals/99963/card/","16786")</f>
      </c>
      <c r="B2730" s="3" t="inlineStr">
        <is>
          <t>114-7238155-6027425</t>
        </is>
      </c>
      <c r="C2730" s="3" t="inlineStr">
        <is>
          <t>TuckerRocky</t>
        </is>
      </c>
    </row>
    <row collapsed="false" customFormat="false" customHeight="false" hidden="false" ht="12.1" outlineLevel="0" r="2731">
      <c r="A2731" s="3" t="s">
        <f>=HYPERLINK("https://mp39851918.megaplan.ua/deals/99968/card/","16787")</f>
      </c>
      <c r="B2731" s="3" t="inlineStr">
        <is>
          <t>113-1916771-8618630</t>
        </is>
      </c>
      <c r="C2731" s="3" t="inlineStr">
        <is>
          <t>TuckerRocky</t>
        </is>
      </c>
    </row>
    <row collapsed="false" customFormat="false" customHeight="false" hidden="false" ht="12.1" outlineLevel="0" r="2732">
      <c r="A2732" s="3" t="s">
        <f>=HYPERLINK("https://mp39851918.megaplan.ua/deals/99976/card/","16788")</f>
      </c>
      <c r="B2732" s="3" t="inlineStr">
        <is>
          <t>111-7785484-4312265</t>
        </is>
      </c>
      <c r="C2732" s="3" t="inlineStr">
        <is>
          <t>Autodist</t>
        </is>
      </c>
    </row>
    <row collapsed="false" customFormat="false" customHeight="false" hidden="false" ht="12.1" outlineLevel="0" r="2733">
      <c r="A2733" s="3" t="s">
        <f>=HYPERLINK("https://mp39851918.megaplan.ua/deals/99981/card/","16789")</f>
      </c>
      <c r="B2733" s="3" t="inlineStr">
        <is>
          <t>113-8323687-2351431</t>
        </is>
      </c>
      <c r="C2733" s="3" t="inlineStr">
        <is>
          <t>Autodist</t>
        </is>
      </c>
    </row>
    <row collapsed="false" customFormat="false" customHeight="false" hidden="false" ht="12.1" outlineLevel="0" r="2734">
      <c r="A2734" s="3" t="s">
        <f>=HYPERLINK("https://mp39851918.megaplan.ua/deals/99994/card/","16790")</f>
      </c>
      <c r="B2734" s="3" t="inlineStr">
        <is>
          <t>111-6360743-6512263</t>
        </is>
      </c>
      <c r="C2734" s="3" t="inlineStr">
        <is>
          <t>Autodist</t>
        </is>
      </c>
    </row>
    <row collapsed="false" customFormat="false" customHeight="false" hidden="false" ht="12.1" outlineLevel="0" r="2735">
      <c r="A2735" s="3" t="s">
        <f>=HYPERLINK("https://mp39851918.megaplan.ua/deals/99996/card/","16791")</f>
      </c>
      <c r="B2735" s="3" t="inlineStr">
        <is>
          <t>112-7037004-4260244</t>
        </is>
      </c>
      <c r="C2735" s="3" t="inlineStr">
        <is>
          <t>Autodist</t>
        </is>
      </c>
    </row>
    <row collapsed="false" customFormat="false" customHeight="false" hidden="false" ht="12.1" outlineLevel="0" r="2736">
      <c r="A2736" s="3" t="s">
        <f>=HYPERLINK("https://mp39851918.megaplan.ua/deals/100004/card/","16792")</f>
      </c>
      <c r="B2736" s="3" t="inlineStr">
        <is>
          <t>111-3327972-3798601</t>
        </is>
      </c>
      <c r="C2736" s="3" t="inlineStr">
        <is>
          <t>TuckerRocky</t>
        </is>
      </c>
    </row>
    <row collapsed="false" customFormat="false" customHeight="false" hidden="false" ht="12.1" outlineLevel="0" r="2737">
      <c r="A2737" s="3" t="s">
        <f>=HYPERLINK("https://mp39851918.megaplan.ua/deals/100005/card/","16793")</f>
      </c>
      <c r="B2737" s="3" t="inlineStr">
        <is>
          <t>114-7934360-3406640</t>
        </is>
      </c>
      <c r="C2737" s="3" t="inlineStr">
        <is>
          <t>TuckerRocky</t>
        </is>
      </c>
    </row>
    <row collapsed="false" customFormat="false" customHeight="false" hidden="false" ht="12.1" outlineLevel="0" r="2738">
      <c r="A2738" s="3" t="s">
        <f>=HYPERLINK("https://mp39851918.megaplan.ua/deals/100011/card/","16795")</f>
      </c>
      <c r="B2738" s="3" t="inlineStr">
        <is>
          <t>112-4043607-3250608</t>
        </is>
      </c>
      <c r="C2738" s="3" t="inlineStr">
        <is>
          <t>PartsUnlimited</t>
        </is>
      </c>
    </row>
    <row collapsed="false" customFormat="false" customHeight="false" hidden="false" ht="12.1" outlineLevel="0" r="2739">
      <c r="A2739" s="3" t="s">
        <f>=HYPERLINK("https://mp39851918.megaplan.ua/deals/100017/card/","16796")</f>
      </c>
      <c r="B2739" s="3" t="inlineStr">
        <is>
          <t>112-8089343-7751416</t>
        </is>
      </c>
      <c r="C2739" s="3" t="inlineStr">
        <is>
          <t>TuckerRocky</t>
        </is>
      </c>
    </row>
    <row collapsed="false" customFormat="false" customHeight="false" hidden="false" ht="12.1" outlineLevel="0" r="2740">
      <c r="A2740" s="3" t="s">
        <f>=HYPERLINK("https://mp39851918.megaplan.ua/deals/100018/card/","16797")</f>
      </c>
      <c r="B2740" s="3" t="inlineStr">
        <is>
          <t>113-4765278-7807403</t>
        </is>
      </c>
      <c r="C2740" s="3" t="inlineStr">
        <is>
          <t>TuckerRocky</t>
        </is>
      </c>
    </row>
    <row collapsed="false" customFormat="false" customHeight="false" hidden="false" ht="12.1" outlineLevel="0" r="2741">
      <c r="A2741" s="3" t="s">
        <f>=HYPERLINK("https://mp39851918.megaplan.ua/deals/100024/card/","16799")</f>
      </c>
      <c r="B2741" s="3" t="inlineStr">
        <is>
          <t>113-8716133-1165030</t>
        </is>
      </c>
      <c r="C2741" s="3" t="inlineStr">
        <is>
          <t>PartsUnlimited</t>
        </is>
      </c>
    </row>
    <row collapsed="false" customFormat="false" customHeight="false" hidden="false" ht="12.1" outlineLevel="0" r="2742">
      <c r="A2742" s="3" t="s">
        <f>=HYPERLINK("https://mp39851918.megaplan.ua/deals/100032/card/","16800")</f>
      </c>
      <c r="B2742" s="3" t="inlineStr">
        <is>
          <t>111-6083714-6481865</t>
        </is>
      </c>
      <c r="C2742" s="3" t="inlineStr">
        <is>
          <t>Autodist</t>
        </is>
      </c>
    </row>
    <row collapsed="false" customFormat="false" customHeight="false" hidden="false" ht="12.1" outlineLevel="0" r="2743">
      <c r="A2743" s="3" t="s">
        <f>=HYPERLINK("https://mp39851918.megaplan.ua/deals/100038/card/","16801")</f>
      </c>
      <c r="B2743" s="3" t="inlineStr">
        <is>
          <t>112-5497645-1054631</t>
        </is>
      </c>
      <c r="C2743" s="3" t="inlineStr">
        <is>
          <t>Autodist</t>
        </is>
      </c>
    </row>
    <row collapsed="false" customFormat="false" customHeight="false" hidden="false" ht="12.1" outlineLevel="0" r="2744">
      <c r="A2744" s="3" t="s">
        <f>=HYPERLINK("https://mp39851918.megaplan.ua/deals/100039/card/","16802")</f>
      </c>
      <c r="B2744" s="3" t="inlineStr">
        <is>
          <t>113-9578996-4169828</t>
        </is>
      </c>
      <c r="C2744" s="3" t="inlineStr">
        <is>
          <t>TuckerRocky</t>
        </is>
      </c>
    </row>
    <row collapsed="false" customFormat="false" customHeight="false" hidden="false" ht="12.1" outlineLevel="0" r="2745">
      <c r="A2745" s="3" t="s">
        <f>=HYPERLINK("https://mp39851918.megaplan.ua/deals/100040/card/","16803")</f>
      </c>
      <c r="B2745" s="3" t="inlineStr">
        <is>
          <t>113-9858075-7740253</t>
        </is>
      </c>
      <c r="C2745" s="3" t="inlineStr">
        <is>
          <t>TuckerRocky</t>
        </is>
      </c>
    </row>
    <row collapsed="false" customFormat="false" customHeight="false" hidden="false" ht="12.1" outlineLevel="0" r="2746">
      <c r="A2746" s="3" t="s">
        <f>=HYPERLINK("https://mp39851918.megaplan.ua/deals/100057/card/","16804")</f>
      </c>
      <c r="B2746" s="3" t="inlineStr">
        <is>
          <t>113-6321748-7363402</t>
        </is>
      </c>
      <c r="C2746" s="3" t="inlineStr">
        <is>
          <t>Autodist</t>
        </is>
      </c>
    </row>
    <row collapsed="false" customFormat="false" customHeight="false" hidden="false" ht="12.1" outlineLevel="0" r="2747">
      <c r="A2747" s="3" t="s">
        <f>=HYPERLINK("https://mp39851918.megaplan.ua/deals/100059/card/","16806")</f>
      </c>
      <c r="B2747" s="3" t="inlineStr">
        <is>
          <t>112-7222743-4450653</t>
        </is>
      </c>
      <c r="C2747" s="3" t="inlineStr">
        <is>
          <t>TuckerRocky</t>
        </is>
      </c>
    </row>
    <row collapsed="false" customFormat="false" customHeight="false" hidden="false" ht="12.1" outlineLevel="0" r="2748">
      <c r="A2748" s="3" t="s">
        <f>=HYPERLINK("https://mp39851918.megaplan.ua/deals/100064/card/","16807")</f>
      </c>
      <c r="B2748" s="3" t="inlineStr">
        <is>
          <t>113-7955544-8489812</t>
        </is>
      </c>
      <c r="C2748" s="3" t="inlineStr">
        <is>
          <t>Autodist</t>
        </is>
      </c>
    </row>
    <row collapsed="false" customFormat="false" customHeight="false" hidden="false" ht="12.1" outlineLevel="0" r="2749">
      <c r="A2749" s="3" t="s">
        <f>=HYPERLINK("https://mp39851918.megaplan.ua/deals/100069/card/","16808")</f>
      </c>
      <c r="B2749" s="3" t="inlineStr">
        <is>
          <t>114-3229077-4819402</t>
        </is>
      </c>
      <c r="C2749" s="3" t="inlineStr">
        <is>
          <t>TuckerRocky</t>
        </is>
      </c>
    </row>
    <row collapsed="false" customFormat="false" customHeight="false" hidden="false" ht="12.1" outlineLevel="0" r="2750">
      <c r="A2750" s="3" t="s">
        <f>=HYPERLINK("https://mp39851918.megaplan.ua/deals/100077/card/","16809")</f>
      </c>
      <c r="B2750" s="3" t="inlineStr">
        <is>
          <t>111-9970631-5493853</t>
        </is>
      </c>
      <c r="C2750" s="3" t="inlineStr">
        <is>
          <t>Autodist</t>
        </is>
      </c>
    </row>
    <row collapsed="false" customFormat="false" customHeight="false" hidden="false" ht="12.1" outlineLevel="0" r="2751">
      <c r="A2751" s="3" t="s">
        <f>=HYPERLINK("https://mp39851918.megaplan.ua/deals/100078/card/","16810")</f>
      </c>
      <c r="B2751" s="3" t="inlineStr">
        <is>
          <t>112-5437681-9799449</t>
        </is>
      </c>
      <c r="C2751" s="3" t="inlineStr">
        <is>
          <t>TuckerRocky</t>
        </is>
      </c>
    </row>
    <row collapsed="false" customFormat="false" customHeight="false" hidden="false" ht="12.1" outlineLevel="0" r="2752">
      <c r="A2752" s="3" t="s">
        <f>=HYPERLINK("https://mp39851918.megaplan.ua/deals/100083/card/","16811")</f>
      </c>
      <c r="B2752" s="3" t="inlineStr">
        <is>
          <t>114-3869894-2035435</t>
        </is>
      </c>
      <c r="C2752" s="3" t="inlineStr">
        <is>
          <t>Autodist</t>
        </is>
      </c>
    </row>
    <row collapsed="false" customFormat="false" customHeight="false" hidden="false" ht="12.1" outlineLevel="0" r="2753">
      <c r="A2753" s="3" t="s">
        <f>=HYPERLINK("https://mp39851918.megaplan.ua/deals/100090/card/","16812")</f>
      </c>
      <c r="B2753" s="3" t="inlineStr">
        <is>
          <t>112-4224434-2149825</t>
        </is>
      </c>
      <c r="C2753" s="3" t="inlineStr">
        <is>
          <t>Autodist</t>
        </is>
      </c>
    </row>
    <row collapsed="false" customFormat="false" customHeight="false" hidden="false" ht="12.1" outlineLevel="0" r="2754">
      <c r="A2754" s="3" t="s">
        <f>=HYPERLINK("https://mp39851918.megaplan.ua/deals/100108/card/","16814")</f>
      </c>
      <c r="B2754" s="3" t="inlineStr">
        <is>
          <t>114-5887235-8573059</t>
        </is>
      </c>
      <c r="C2754" s="3" t="inlineStr">
        <is>
          <t>TuckerRocky</t>
        </is>
      </c>
    </row>
    <row collapsed="false" customFormat="false" customHeight="false" hidden="false" ht="12.1" outlineLevel="0" r="2755">
      <c r="A2755" s="3" t="s">
        <f>=HYPERLINK("https://mp39851918.megaplan.ua/deals/100114/card/","16815")</f>
      </c>
      <c r="B2755" s="3" t="inlineStr">
        <is>
          <t>112-0139938-0887441</t>
        </is>
      </c>
      <c r="C2755" s="3" t="inlineStr">
        <is>
          <t>TuckerRocky</t>
        </is>
      </c>
    </row>
    <row collapsed="false" customFormat="false" customHeight="false" hidden="false" ht="12.1" outlineLevel="0" r="2756">
      <c r="A2756" s="3" t="s">
        <f>=HYPERLINK("https://mp39851918.megaplan.ua/deals/100116/card/","16816")</f>
      </c>
      <c r="B2756" s="3" t="inlineStr">
        <is>
          <t>112-4015781-3613010</t>
        </is>
      </c>
      <c r="C2756" s="3" t="inlineStr">
        <is>
          <t>TuckerRocky</t>
        </is>
      </c>
    </row>
    <row collapsed="false" customFormat="false" customHeight="false" hidden="false" ht="12.1" outlineLevel="0" r="2757">
      <c r="A2757" s="3" t="s">
        <f>=HYPERLINK("https://mp39851918.megaplan.ua/deals/100118/card/","16817")</f>
      </c>
      <c r="B2757" s="3" t="inlineStr">
        <is>
          <t>114-1523504-1013837</t>
        </is>
      </c>
      <c r="C2757" s="3" t="inlineStr">
        <is>
          <t>Autodist</t>
        </is>
      </c>
    </row>
    <row collapsed="false" customFormat="false" customHeight="false" hidden="false" ht="12.1" outlineLevel="0" r="2758">
      <c r="A2758" s="3" t="s">
        <f>=HYPERLINK("https://mp39851918.megaplan.ua/deals/100124/card/","16818")</f>
      </c>
      <c r="B2758" s="3" t="inlineStr">
        <is>
          <t>111-6140073-5513839</t>
        </is>
      </c>
      <c r="C2758" s="3" t="inlineStr">
        <is>
          <t>Autodist</t>
        </is>
      </c>
    </row>
    <row collapsed="false" customFormat="false" customHeight="false" hidden="false" ht="12.1" outlineLevel="0" r="2759">
      <c r="A2759" s="3" t="s">
        <f>=HYPERLINK("https://mp39851918.megaplan.ua/deals/100130/card/","16819")</f>
      </c>
      <c r="B2759" s="3" t="inlineStr">
        <is>
          <t>112-4443143-0870647</t>
        </is>
      </c>
      <c r="C2759" s="3" t="inlineStr">
        <is>
          <t>TuckerRocky</t>
        </is>
      </c>
    </row>
    <row collapsed="false" customFormat="false" customHeight="false" hidden="false" ht="12.1" outlineLevel="0" r="2760">
      <c r="A2760" s="3" t="s">
        <f>=HYPERLINK("https://mp39851918.megaplan.ua/deals/100137/card/","16820")</f>
      </c>
      <c r="B2760" s="3" t="inlineStr">
        <is>
          <t>111-6072028-1787468</t>
        </is>
      </c>
      <c r="C2760" s="3" t="inlineStr">
        <is>
          <t>Autodist</t>
        </is>
      </c>
    </row>
    <row collapsed="false" customFormat="false" customHeight="false" hidden="false" ht="12.1" outlineLevel="0" r="2761">
      <c r="A2761" s="3" t="s">
        <f>=HYPERLINK("https://mp39851918.megaplan.ua/deals/100140/card/","16821")</f>
      </c>
      <c r="B2761" s="3" t="inlineStr">
        <is>
          <t>111-9601974-3613069</t>
        </is>
      </c>
      <c r="C2761" s="3" t="inlineStr">
        <is>
          <t>Autodist</t>
        </is>
      </c>
    </row>
    <row collapsed="false" customFormat="false" customHeight="false" hidden="false" ht="12.1" outlineLevel="0" r="2762">
      <c r="A2762" s="3" t="s">
        <f>=HYPERLINK("https://mp39851918.megaplan.ua/deals/100144/card/","16822")</f>
      </c>
      <c r="B2762" s="3" t="inlineStr">
        <is>
          <t>113-2247840-8980220</t>
        </is>
      </c>
      <c r="C2762" s="3" t="inlineStr">
        <is>
          <t>PartsUnlimited</t>
        </is>
      </c>
    </row>
    <row collapsed="false" customFormat="false" customHeight="false" hidden="false" ht="12.1" outlineLevel="0" r="2763">
      <c r="A2763" s="3" t="s">
        <f>=HYPERLINK("https://mp39851918.megaplan.ua/deals/100145/card/","16823")</f>
      </c>
      <c r="B2763" s="3" t="inlineStr">
        <is>
          <t>114-3214335-9841000</t>
        </is>
      </c>
      <c r="C2763" s="3" t="inlineStr">
        <is>
          <t>RockyMountain</t>
        </is>
      </c>
    </row>
    <row collapsed="false" customFormat="false" customHeight="false" hidden="false" ht="12.1" outlineLevel="0" r="2764">
      <c r="A2764" s="3" t="s">
        <f>=HYPERLINK("https://mp39851918.megaplan.ua/deals/100146/card/","16824")</f>
      </c>
      <c r="B2764" s="3" t="inlineStr">
        <is>
          <t>114-7016760-1731447</t>
        </is>
      </c>
      <c r="C2764" s="3" t="inlineStr">
        <is>
          <t>PartsUnlimited</t>
        </is>
      </c>
    </row>
    <row collapsed="false" customFormat="false" customHeight="false" hidden="false" ht="12.1" outlineLevel="0" r="2765">
      <c r="A2765" s="3" t="s">
        <f>=HYPERLINK("https://mp39851918.megaplan.ua/deals/100147/card/","16825")</f>
      </c>
      <c r="B2765" s="3" t="inlineStr">
        <is>
          <t>111-6036552-5471443</t>
        </is>
      </c>
      <c r="C2765" s="3" t="inlineStr">
        <is>
          <t>Autodist</t>
        </is>
      </c>
    </row>
    <row collapsed="false" customFormat="false" customHeight="false" hidden="false" ht="12.1" outlineLevel="0" r="2766">
      <c r="A2766" s="3" t="s">
        <f>=HYPERLINK("https://mp39851918.megaplan.ua/deals/100148/card/","16826")</f>
      </c>
      <c r="B2766" s="3" t="inlineStr">
        <is>
          <t>111-6358962-8464202</t>
        </is>
      </c>
      <c r="C2766" s="3" t="inlineStr">
        <is>
          <t>TuckerRocky</t>
        </is>
      </c>
    </row>
    <row collapsed="false" customFormat="false" customHeight="false" hidden="false" ht="12.1" outlineLevel="0" r="2767">
      <c r="A2767" s="3" t="s">
        <f>=HYPERLINK("https://mp39851918.megaplan.ua/deals/100149/card/","16827")</f>
      </c>
      <c r="B2767" s="3" t="inlineStr">
        <is>
          <t>114-2548542-8634622</t>
        </is>
      </c>
      <c r="C2767" s="3" t="inlineStr">
        <is>
          <t>PartsUnlimited</t>
        </is>
      </c>
    </row>
    <row collapsed="false" customFormat="false" customHeight="false" hidden="false" ht="12.1" outlineLevel="0" r="2768">
      <c r="A2768" s="3" t="s">
        <f>=HYPERLINK("https://mp39851918.megaplan.ua/deals/100161/card/","16828")</f>
      </c>
      <c r="B2768" s="3" t="inlineStr">
        <is>
          <t>111-2676822-4058640</t>
        </is>
      </c>
      <c r="C2768" s="3" t="inlineStr">
        <is>
          <t>TuckerRocky</t>
        </is>
      </c>
    </row>
    <row collapsed="false" customFormat="false" customHeight="false" hidden="false" ht="12.1" outlineLevel="0" r="2769">
      <c r="A2769" s="3" t="s">
        <f>=HYPERLINK("https://mp39851918.megaplan.ua/deals/100174/card/","16831")</f>
      </c>
      <c r="B2769" s="3" t="inlineStr">
        <is>
          <t>112-0141038-1406643</t>
        </is>
      </c>
      <c r="C2769" s="3" t="inlineStr">
        <is>
          <t>Autodist</t>
        </is>
      </c>
    </row>
    <row collapsed="false" customFormat="false" customHeight="false" hidden="false" ht="12.1" outlineLevel="0" r="2770">
      <c r="A2770" s="3" t="s">
        <f>=HYPERLINK("https://mp39851918.megaplan.ua/deals/100175/card/","16832")</f>
      </c>
      <c r="B2770" s="3" t="inlineStr">
        <is>
          <t>112-0998452-3117037</t>
        </is>
      </c>
      <c r="C2770" s="3" t="inlineStr">
        <is>
          <t>Autodist</t>
        </is>
      </c>
    </row>
    <row collapsed="false" customFormat="false" customHeight="false" hidden="false" ht="12.1" outlineLevel="0" r="2771">
      <c r="A2771" s="3" t="s">
        <f>=HYPERLINK("https://mp39851918.megaplan.ua/deals/100183/card/","16833")</f>
      </c>
      <c r="B2771" s="3" t="inlineStr">
        <is>
          <t>112-6064542-3370631</t>
        </is>
      </c>
      <c r="C2771" s="3" t="inlineStr">
        <is>
          <t>Autodist</t>
        </is>
      </c>
    </row>
    <row collapsed="false" customFormat="false" customHeight="false" hidden="false" ht="12.1" outlineLevel="0" r="2772">
      <c r="A2772" s="3" t="s">
        <f>=HYPERLINK("https://mp39851918.megaplan.ua/deals/100210/card/","16834")</f>
      </c>
      <c r="B2772" s="3" t="inlineStr">
        <is>
          <t>113-6528561-2116256</t>
        </is>
      </c>
      <c r="C2772" s="3"/>
    </row>
    <row collapsed="false" customFormat="false" customHeight="false" hidden="false" ht="12.1" outlineLevel="0" r="2773">
      <c r="A2773" s="3" t="s">
        <f>=HYPERLINK("https://mp39851918.megaplan.ua/deals/100232/card/","16836")</f>
      </c>
      <c r="B2773" s="3" t="inlineStr">
        <is>
          <t>112-3195636-7840243</t>
        </is>
      </c>
      <c r="C2773" s="3" t="inlineStr">
        <is>
          <t>RockyMountain</t>
        </is>
      </c>
    </row>
    <row collapsed="false" customFormat="false" customHeight="false" hidden="false" ht="12.1" outlineLevel="0" r="2774">
      <c r="A2774" s="3" t="s">
        <f>=HYPERLINK("https://mp39851918.megaplan.ua/deals/100243/card/","16838")</f>
      </c>
      <c r="B2774" s="3" t="inlineStr">
        <is>
          <t>113-8628835-3780205</t>
        </is>
      </c>
      <c r="C2774" s="3" t="inlineStr">
        <is>
          <t>PartsUnlimited</t>
        </is>
      </c>
    </row>
    <row collapsed="false" customFormat="false" customHeight="false" hidden="false" ht="12.1" outlineLevel="0" r="2775">
      <c r="A2775" s="3" t="s">
        <f>=HYPERLINK("https://mp39851918.megaplan.ua/deals/100268/card/","16839")</f>
      </c>
      <c r="B2775" s="3" t="inlineStr">
        <is>
          <t>114-7817190-8113804</t>
        </is>
      </c>
      <c r="C2775" s="3" t="inlineStr">
        <is>
          <t>Autodist</t>
        </is>
      </c>
    </row>
    <row collapsed="false" customFormat="false" customHeight="false" hidden="false" ht="12.1" outlineLevel="0" r="2776">
      <c r="A2776" s="3" t="s">
        <f>=HYPERLINK("https://mp39851918.megaplan.ua/deals/100275/card/","16840")</f>
      </c>
      <c r="B2776" s="3" t="inlineStr">
        <is>
          <t>113-1305151-2869864</t>
        </is>
      </c>
      <c r="C2776" s="3" t="inlineStr">
        <is>
          <t>Autodist</t>
        </is>
      </c>
    </row>
    <row collapsed="false" customFormat="false" customHeight="false" hidden="false" ht="12.1" outlineLevel="0" r="2777">
      <c r="A2777" s="3" t="s">
        <f>=HYPERLINK("https://mp39851918.megaplan.ua/deals/100278/card/","16841")</f>
      </c>
      <c r="B2777" s="3" t="inlineStr">
        <is>
          <t>112-0926448-5805823</t>
        </is>
      </c>
      <c r="C2777" s="3" t="inlineStr">
        <is>
          <t>TuckerRocky</t>
        </is>
      </c>
    </row>
    <row collapsed="false" customFormat="false" customHeight="false" hidden="false" ht="12.1" outlineLevel="0" r="2778">
      <c r="A2778" s="3" t="s">
        <f>=HYPERLINK("https://mp39851918.megaplan.ua/deals/100279/card/","16842")</f>
      </c>
      <c r="B2778" s="3" t="inlineStr">
        <is>
          <t>113-2052524-6244256</t>
        </is>
      </c>
      <c r="C2778" s="3" t="inlineStr">
        <is>
          <t>TuckerRocky</t>
        </is>
      </c>
    </row>
    <row collapsed="false" customFormat="false" customHeight="false" hidden="false" ht="12.1" outlineLevel="0" r="2779">
      <c r="A2779" s="3" t="s">
        <f>=HYPERLINK("https://mp39851918.megaplan.ua/deals/100289/card/","16845")</f>
      </c>
      <c r="B2779" s="3" t="inlineStr">
        <is>
          <t>112-5096824-2157060</t>
        </is>
      </c>
      <c r="C2779" s="3" t="inlineStr">
        <is>
          <t>Autodist</t>
        </is>
      </c>
    </row>
    <row collapsed="false" customFormat="false" customHeight="false" hidden="false" ht="12.1" outlineLevel="0" r="2780">
      <c r="A2780" s="3" t="s">
        <f>=HYPERLINK("https://mp39851918.megaplan.ua/deals/100290/card/","16846")</f>
      </c>
      <c r="B2780" s="3" t="inlineStr">
        <is>
          <t>113-7686958-9063412</t>
        </is>
      </c>
      <c r="C2780" s="3" t="inlineStr">
        <is>
          <t>PartsUnlimited</t>
        </is>
      </c>
    </row>
    <row collapsed="false" customFormat="false" customHeight="false" hidden="false" ht="12.1" outlineLevel="0" r="2781">
      <c r="A2781" s="3" t="s">
        <f>=HYPERLINK("https://mp39851918.megaplan.ua/deals/100297/card/","16847")</f>
      </c>
      <c r="B2781" s="3" t="inlineStr">
        <is>
          <t>113-2225758-2174667</t>
        </is>
      </c>
      <c r="C2781" s="3" t="inlineStr">
        <is>
          <t>TuckerRocky</t>
        </is>
      </c>
    </row>
    <row collapsed="false" customFormat="false" customHeight="false" hidden="false" ht="12.1" outlineLevel="0" r="2782">
      <c r="A2782" s="3" t="s">
        <f>=HYPERLINK("https://mp39851918.megaplan.ua/deals/100298/card/","16848")</f>
      </c>
      <c r="B2782" s="3" t="inlineStr">
        <is>
          <t>114-9372006-1590603</t>
        </is>
      </c>
      <c r="C2782" s="3" t="inlineStr">
        <is>
          <t>TuckerRocky</t>
        </is>
      </c>
    </row>
    <row collapsed="false" customFormat="false" customHeight="false" hidden="false" ht="12.1" outlineLevel="0" r="2783">
      <c r="A2783" s="3" t="s">
        <f>=HYPERLINK("https://mp39851918.megaplan.ua/deals/100319/card/","16849")</f>
      </c>
      <c r="B2783" s="3" t="inlineStr">
        <is>
          <t>112-2475905-5814642</t>
        </is>
      </c>
      <c r="C2783" s="3" t="inlineStr">
        <is>
          <t>TuckerRocky</t>
        </is>
      </c>
    </row>
    <row collapsed="false" customFormat="false" customHeight="false" hidden="false" ht="12.1" outlineLevel="0" r="2784">
      <c r="A2784" s="3" t="s">
        <f>=HYPERLINK("https://mp39851918.megaplan.ua/deals/100321/card/","16850")</f>
      </c>
      <c r="B2784" s="3" t="inlineStr">
        <is>
          <t>113-7138224-4863412</t>
        </is>
      </c>
      <c r="C2784" s="3" t="inlineStr">
        <is>
          <t>TuckerRocky</t>
        </is>
      </c>
    </row>
    <row collapsed="false" customFormat="false" customHeight="false" hidden="false" ht="12.1" outlineLevel="0" r="2785">
      <c r="A2785" s="3" t="s">
        <f>=HYPERLINK("https://mp39851918.megaplan.ua/deals/100322/card/","16851")</f>
      </c>
      <c r="B2785" s="3" t="inlineStr">
        <is>
          <t>112-2837607-5598621</t>
        </is>
      </c>
      <c r="C2785" s="3" t="inlineStr">
        <is>
          <t>PartsUnlimited</t>
        </is>
      </c>
    </row>
    <row collapsed="false" customFormat="false" customHeight="false" hidden="false" ht="12.1" outlineLevel="0" r="2786">
      <c r="A2786" s="3" t="s">
        <f>=HYPERLINK("https://mp39851918.megaplan.ua/deals/100335/card/","16852")</f>
      </c>
      <c r="B2786" s="3" t="inlineStr">
        <is>
          <t>112-5223000-0503467</t>
        </is>
      </c>
      <c r="C2786" s="3" t="inlineStr">
        <is>
          <t>RockyMountain</t>
        </is>
      </c>
    </row>
    <row collapsed="false" customFormat="false" customHeight="false" hidden="false" ht="12.1" outlineLevel="0" r="2787">
      <c r="A2787" s="3" t="s">
        <f>=HYPERLINK("https://mp39851918.megaplan.ua/deals/100337/card/","16853")</f>
      </c>
      <c r="B2787" s="3" t="inlineStr">
        <is>
          <t>113-9429332-5925815</t>
        </is>
      </c>
      <c r="C2787" s="3" t="inlineStr">
        <is>
          <t>TuckerRocky</t>
        </is>
      </c>
    </row>
    <row collapsed="false" customFormat="false" customHeight="false" hidden="false" ht="12.1" outlineLevel="0" r="2788">
      <c r="A2788" s="3" t="s">
        <f>=HYPERLINK("https://mp39851918.megaplan.ua/deals/100346/card/","16854")</f>
      </c>
      <c r="B2788" s="3" t="inlineStr">
        <is>
          <t>111-8305163-1281015</t>
        </is>
      </c>
      <c r="C2788" s="3" t="inlineStr">
        <is>
          <t>TuckerRocky</t>
        </is>
      </c>
    </row>
    <row collapsed="false" customFormat="false" customHeight="false" hidden="false" ht="12.1" outlineLevel="0" r="2789">
      <c r="A2789" s="3" t="s">
        <f>=HYPERLINK("https://mp39851918.megaplan.ua/deals/100347/card/","16855")</f>
      </c>
      <c r="B2789" s="3" t="inlineStr">
        <is>
          <t>114-7137414-4869804</t>
        </is>
      </c>
      <c r="C2789" s="3" t="inlineStr">
        <is>
          <t>PartsUnlimited</t>
        </is>
      </c>
    </row>
    <row collapsed="false" customFormat="false" customHeight="false" hidden="false" ht="12.1" outlineLevel="0" r="2790">
      <c r="A2790" s="3" t="s">
        <f>=HYPERLINK("https://mp39851918.megaplan.ua/deals/100361/card/","16857")</f>
      </c>
      <c r="B2790" s="3" t="inlineStr">
        <is>
          <t>114-3013024-3093042</t>
        </is>
      </c>
      <c r="C2790" s="3" t="inlineStr">
        <is>
          <t>RockyMountain</t>
        </is>
      </c>
    </row>
    <row collapsed="false" customFormat="false" customHeight="false" hidden="false" ht="12.1" outlineLevel="0" r="2791">
      <c r="A2791" s="3" t="s">
        <f>=HYPERLINK("https://mp39851918.megaplan.ua/deals/100368/card/","16858")</f>
      </c>
      <c r="B2791" s="3" t="inlineStr">
        <is>
          <t>113-5928969-0894609</t>
        </is>
      </c>
      <c r="C2791" s="3" t="inlineStr">
        <is>
          <t>TuckerRocky</t>
        </is>
      </c>
    </row>
    <row collapsed="false" customFormat="false" customHeight="false" hidden="false" ht="12.1" outlineLevel="0" r="2792">
      <c r="A2792" s="3" t="s">
        <f>=HYPERLINK("https://mp39851918.megaplan.ua/deals/100373/card/","16860")</f>
      </c>
      <c r="B2792" s="3" t="inlineStr">
        <is>
          <t>113-2248912-2556207</t>
        </is>
      </c>
      <c r="C2792" s="3" t="inlineStr">
        <is>
          <t>Autodist</t>
        </is>
      </c>
    </row>
    <row collapsed="false" customFormat="false" customHeight="false" hidden="false" ht="12.1" outlineLevel="0" r="2793">
      <c r="A2793" s="3" t="s">
        <f>=HYPERLINK("https://mp39851918.megaplan.ua/deals/100383/card/","16862")</f>
      </c>
      <c r="B2793" s="3" t="inlineStr">
        <is>
          <t>111-0917681-0236222</t>
        </is>
      </c>
      <c r="C2793" s="3" t="inlineStr">
        <is>
          <t>PartsUnlimited</t>
        </is>
      </c>
    </row>
    <row collapsed="false" customFormat="false" customHeight="false" hidden="false" ht="12.1" outlineLevel="0" r="2794">
      <c r="A2794" s="3" t="s">
        <f>=HYPERLINK("https://mp39851918.megaplan.ua/deals/100384/card/","16863")</f>
      </c>
      <c r="B2794" s="3" t="inlineStr">
        <is>
          <t>112-1119981-0801022</t>
        </is>
      </c>
      <c r="C2794" s="3" t="inlineStr">
        <is>
          <t>PartsUnlimited</t>
        </is>
      </c>
    </row>
    <row collapsed="false" customFormat="false" customHeight="false" hidden="false" ht="12.1" outlineLevel="0" r="2795">
      <c r="A2795" s="3" t="s">
        <f>=HYPERLINK("https://mp39851918.megaplan.ua/deals/100385/card/","16864")</f>
      </c>
      <c r="B2795" s="3" t="inlineStr">
        <is>
          <t>112-2485592-4357034</t>
        </is>
      </c>
      <c r="C2795" s="3" t="inlineStr">
        <is>
          <t>TuckerRocky</t>
        </is>
      </c>
    </row>
    <row collapsed="false" customFormat="false" customHeight="false" hidden="false" ht="12.1" outlineLevel="0" r="2796">
      <c r="A2796" s="3" t="s">
        <f>=HYPERLINK("https://mp39851918.megaplan.ua/deals/100387/card/","16865")</f>
      </c>
      <c r="B2796" s="3" t="inlineStr">
        <is>
          <t>112-5929724-9844260</t>
        </is>
      </c>
      <c r="C2796" s="3" t="inlineStr">
        <is>
          <t>TuckerRocky</t>
        </is>
      </c>
    </row>
    <row collapsed="false" customFormat="false" customHeight="false" hidden="false" ht="12.1" outlineLevel="0" r="2797">
      <c r="A2797" s="3" t="s">
        <f>=HYPERLINK("https://mp39851918.megaplan.ua/deals/100390/card/","16866")</f>
      </c>
      <c r="B2797" s="3" t="inlineStr">
        <is>
          <t>114-6363980-8819413</t>
        </is>
      </c>
      <c r="C2797" s="3"/>
    </row>
    <row collapsed="false" customFormat="false" customHeight="false" hidden="false" ht="12.1" outlineLevel="0" r="2798">
      <c r="A2798" s="3" t="s">
        <f>=HYPERLINK("https://mp39851918.megaplan.ua/deals/100397/card/","16867")</f>
      </c>
      <c r="B2798" s="3" t="inlineStr">
        <is>
          <t>111-8693454-3729002</t>
        </is>
      </c>
      <c r="C2798" s="3"/>
    </row>
    <row collapsed="false" customFormat="false" customHeight="false" hidden="false" ht="12.1" outlineLevel="0" r="2799">
      <c r="A2799" s="3" t="s">
        <f>=HYPERLINK("https://mp39851918.megaplan.ua/deals/100407/card/","16868")</f>
      </c>
      <c r="B2799" s="3" t="inlineStr">
        <is>
          <t>112-9700442-1791465</t>
        </is>
      </c>
      <c r="C2799" s="3"/>
    </row>
    <row collapsed="false" customFormat="false" customHeight="false" hidden="false" ht="12.1" outlineLevel="0" r="2800">
      <c r="A2800" s="3" t="s">
        <f>=HYPERLINK("https://mp39851918.megaplan.ua/deals/100414/card/","16871")</f>
      </c>
      <c r="B2800" s="3" t="inlineStr">
        <is>
          <t>113-7843407-1499464</t>
        </is>
      </c>
      <c r="C2800" s="3"/>
    </row>
    <row collapsed="false" customFormat="false" customHeight="false" hidden="false" ht="12.1" outlineLevel="0" r="2801">
      <c r="A2801" s="3" t="s">
        <f>=HYPERLINK("https://mp39851918.megaplan.ua/deals/100416/card/","16872")</f>
      </c>
      <c r="B2801" s="3" t="inlineStr">
        <is>
          <t>113-7520925-0615433</t>
        </is>
      </c>
      <c r="C2801" s="3"/>
    </row>
    <row collapsed="false" customFormat="false" customHeight="false" hidden="false" ht="12.1" outlineLevel="0" r="2802">
      <c r="A2802" s="3" t="s">
        <f>=HYPERLINK("https://mp39851918.megaplan.ua/deals/100427/card/","16873")</f>
      </c>
      <c r="B2802" s="3" t="inlineStr">
        <is>
          <t>111-3363308-3883410</t>
        </is>
      </c>
      <c r="C2802" s="3" t="inlineStr">
        <is>
          <t>Autodist</t>
        </is>
      </c>
    </row>
    <row collapsed="false" customFormat="false" customHeight="false" hidden="false" ht="12.1" outlineLevel="0" r="2803">
      <c r="A2803" s="3" t="s">
        <f>=HYPERLINK("https://mp39851918.megaplan.ua/deals/100429/card/","16874")</f>
      </c>
      <c r="B2803" s="3" t="inlineStr">
        <is>
          <t>112-3386060-7253047</t>
        </is>
      </c>
      <c r="C2803" s="3" t="inlineStr">
        <is>
          <t>TuckerRocky</t>
        </is>
      </c>
    </row>
    <row collapsed="false" customFormat="false" customHeight="false" hidden="false" ht="12.1" outlineLevel="0" r="2804">
      <c r="A2804" s="3" t="s">
        <f>=HYPERLINK("https://mp39851918.megaplan.ua/deals/100430/card/","16875")</f>
      </c>
      <c r="B2804" s="3" t="inlineStr">
        <is>
          <t>111-6593903-8048211</t>
        </is>
      </c>
      <c r="C2804" s="3" t="inlineStr">
        <is>
          <t>TuckerRocky</t>
        </is>
      </c>
    </row>
    <row collapsed="false" customFormat="false" customHeight="false" hidden="false" ht="12.1" outlineLevel="0" r="2805">
      <c r="A2805" s="3" t="s">
        <f>=HYPERLINK("https://mp39851918.megaplan.ua/deals/100462/card/","16877")</f>
      </c>
      <c r="B2805" s="3" t="inlineStr">
        <is>
          <t>111-4361356-2265036</t>
        </is>
      </c>
      <c r="C2805" s="3" t="inlineStr">
        <is>
          <t>TuckerRocky</t>
        </is>
      </c>
    </row>
    <row collapsed="false" customFormat="false" customHeight="false" hidden="false" ht="12.1" outlineLevel="0" r="2806">
      <c r="A2806" s="3" t="s">
        <f>=HYPERLINK("https://mp39851918.megaplan.ua/deals/100469/card/","16878")</f>
      </c>
      <c r="B2806" s="3" t="inlineStr">
        <is>
          <t>114-3243681-3064236</t>
        </is>
      </c>
      <c r="C2806" s="3" t="inlineStr">
        <is>
          <t>other</t>
        </is>
      </c>
    </row>
    <row collapsed="false" customFormat="false" customHeight="false" hidden="false" ht="12.1" outlineLevel="0" r="2807">
      <c r="A2807" s="3" t="s">
        <f>=HYPERLINK("https://mp39851918.megaplan.ua/deals/100470/card/","16879")</f>
      </c>
      <c r="B2807" s="3" t="inlineStr">
        <is>
          <t>113-3865036-6900206</t>
        </is>
      </c>
      <c r="C2807" s="3" t="inlineStr">
        <is>
          <t>TuckerRocky</t>
        </is>
      </c>
    </row>
    <row collapsed="false" customFormat="false" customHeight="false" hidden="false" ht="12.1" outlineLevel="0" r="2808">
      <c r="A2808" s="3" t="s">
        <f>=HYPERLINK("https://mp39851918.megaplan.ua/deals/100475/card/","16880")</f>
      </c>
      <c r="B2808" s="3" t="inlineStr">
        <is>
          <t>113-4533844-6565817</t>
        </is>
      </c>
      <c r="C2808" s="3" t="inlineStr">
        <is>
          <t>Autodist</t>
        </is>
      </c>
    </row>
    <row collapsed="false" customFormat="false" customHeight="false" hidden="false" ht="12.1" outlineLevel="0" r="2809">
      <c r="A2809" s="3" t="s">
        <f>=HYPERLINK("https://mp39851918.megaplan.ua/deals/100479/card/","16881")</f>
      </c>
      <c r="B2809" s="3" t="inlineStr">
        <is>
          <t>112-7532108-8010649</t>
        </is>
      </c>
      <c r="C2809" s="3" t="inlineStr">
        <is>
          <t>Autodist</t>
        </is>
      </c>
    </row>
    <row collapsed="false" customFormat="false" customHeight="false" hidden="false" ht="12.1" outlineLevel="0" r="2810">
      <c r="A2810" s="3" t="s">
        <f>=HYPERLINK("https://mp39851918.megaplan.ua/deals/100484/card/","16882")</f>
      </c>
      <c r="B2810" s="3" t="inlineStr">
        <is>
          <t>112-9806051-3546643</t>
        </is>
      </c>
      <c r="C2810" s="3" t="inlineStr">
        <is>
          <t>RockyMountain</t>
        </is>
      </c>
    </row>
    <row collapsed="false" customFormat="false" customHeight="false" hidden="false" ht="12.1" outlineLevel="0" r="2811">
      <c r="A2811" s="3" t="s">
        <f>=HYPERLINK("https://mp39851918.megaplan.ua/deals/100485/card/","16883")</f>
      </c>
      <c r="B2811" s="3" t="inlineStr">
        <is>
          <t>112-3722460-1814607</t>
        </is>
      </c>
      <c r="C2811" s="3" t="inlineStr">
        <is>
          <t>PartsUnlimited</t>
        </is>
      </c>
    </row>
    <row collapsed="false" customFormat="false" customHeight="false" hidden="false" ht="12.1" outlineLevel="0" r="2812">
      <c r="A2812" s="3" t="s">
        <f>=HYPERLINK("https://mp39851918.megaplan.ua/deals/100486/card/","16884")</f>
      </c>
      <c r="B2812" s="3" t="inlineStr">
        <is>
          <t>111-0315295-3989868</t>
        </is>
      </c>
      <c r="C2812" s="3" t="inlineStr">
        <is>
          <t>Autodist</t>
        </is>
      </c>
    </row>
    <row collapsed="false" customFormat="false" customHeight="false" hidden="false" ht="12.1" outlineLevel="0" r="2813">
      <c r="A2813" s="3" t="s">
        <f>=HYPERLINK("https://mp39851918.megaplan.ua/deals/100487/card/","16885")</f>
      </c>
      <c r="B2813" s="3" t="inlineStr">
        <is>
          <t>113-8822192-7593003</t>
        </is>
      </c>
      <c r="C2813" s="3" t="inlineStr">
        <is>
          <t>TuckerRocky</t>
        </is>
      </c>
    </row>
    <row collapsed="false" customFormat="false" customHeight="false" hidden="false" ht="12.1" outlineLevel="0" r="2814">
      <c r="A2814" s="3" t="s">
        <f>=HYPERLINK("https://mp39851918.megaplan.ua/deals/100488/card/","16886")</f>
      </c>
      <c r="B2814" s="3" t="inlineStr">
        <is>
          <t>111-7688758-4823442</t>
        </is>
      </c>
      <c r="C2814" s="3" t="inlineStr">
        <is>
          <t>PartsUnlimited</t>
        </is>
      </c>
    </row>
    <row collapsed="false" customFormat="false" customHeight="false" hidden="false" ht="12.1" outlineLevel="0" r="2815">
      <c r="A2815" s="3" t="s">
        <f>=HYPERLINK("https://mp39851918.megaplan.ua/deals/100492/card/","16887")</f>
      </c>
      <c r="B2815" s="3" t="inlineStr">
        <is>
          <t>111-4086160-7340253</t>
        </is>
      </c>
      <c r="C2815" s="3" t="inlineStr">
        <is>
          <t>Autodist</t>
        </is>
      </c>
    </row>
    <row collapsed="false" customFormat="false" customHeight="false" hidden="false" ht="12.1" outlineLevel="0" r="2816">
      <c r="A2816" s="3" t="s">
        <f>=HYPERLINK("https://mp39851918.megaplan.ua/deals/100493/card/","16888")</f>
      </c>
      <c r="B2816" s="3" t="inlineStr">
        <is>
          <t>113-2029570-8067457</t>
        </is>
      </c>
      <c r="C2816" s="3" t="inlineStr">
        <is>
          <t>TuckerRocky</t>
        </is>
      </c>
    </row>
    <row collapsed="false" customFormat="false" customHeight="false" hidden="false" ht="12.1" outlineLevel="0" r="2817">
      <c r="A2817" s="3" t="s">
        <f>=HYPERLINK("https://mp39851918.megaplan.ua/deals/100494/card/","16889")</f>
      </c>
      <c r="B2817" s="3" t="inlineStr">
        <is>
          <t>111-8341998-2289802</t>
        </is>
      </c>
      <c r="C2817" s="3" t="inlineStr">
        <is>
          <t>PartsUnlimited</t>
        </is>
      </c>
    </row>
    <row collapsed="false" customFormat="false" customHeight="false" hidden="false" ht="12.1" outlineLevel="0" r="2818">
      <c r="A2818" s="3" t="s">
        <f>=HYPERLINK("https://mp39851918.megaplan.ua/deals/100495/card/","16890")</f>
      </c>
      <c r="B2818" s="3" t="inlineStr">
        <is>
          <t>111-6431629-8582607</t>
        </is>
      </c>
      <c r="C2818" s="3" t="inlineStr">
        <is>
          <t>RockyMountain</t>
        </is>
      </c>
    </row>
    <row collapsed="false" customFormat="false" customHeight="false" hidden="false" ht="12.1" outlineLevel="0" r="2819">
      <c r="A2819" s="3" t="s">
        <f>=HYPERLINK("https://mp39851918.megaplan.ua/deals/100498/card/","16891")</f>
      </c>
      <c r="B2819" s="3" t="inlineStr">
        <is>
          <t>114-7862369-8514601</t>
        </is>
      </c>
      <c r="C2819" s="3" t="inlineStr">
        <is>
          <t>Autodist</t>
        </is>
      </c>
    </row>
    <row collapsed="false" customFormat="false" customHeight="false" hidden="false" ht="12.1" outlineLevel="0" r="2820">
      <c r="A2820" s="3" t="s">
        <f>=HYPERLINK("https://mp39851918.megaplan.ua/deals/100500/card/","16892")</f>
      </c>
      <c r="B2820" s="3" t="inlineStr">
        <is>
          <t>113-3510646-5828220</t>
        </is>
      </c>
      <c r="C2820" s="3" t="inlineStr">
        <is>
          <t>PartsUnlimited</t>
        </is>
      </c>
    </row>
    <row collapsed="false" customFormat="false" customHeight="false" hidden="false" ht="12.1" outlineLevel="0" r="2821">
      <c r="A2821" s="3" t="s">
        <f>=HYPERLINK("https://mp39851918.megaplan.ua/deals/100501/card/","16893")</f>
      </c>
      <c r="B2821" s="3" t="inlineStr">
        <is>
          <t>111-4386059-1827451</t>
        </is>
      </c>
      <c r="C2821" s="3" t="inlineStr">
        <is>
          <t>TuckerRocky</t>
        </is>
      </c>
    </row>
    <row collapsed="false" customFormat="false" customHeight="false" hidden="false" ht="12.1" outlineLevel="0" r="2822">
      <c r="A2822" s="3" t="s">
        <f>=HYPERLINK("https://mp39851918.megaplan.ua/deals/100502/card/","16894")</f>
      </c>
      <c r="B2822" s="3" t="inlineStr">
        <is>
          <t>111-1276992-0102633</t>
        </is>
      </c>
      <c r="C2822" s="3" t="inlineStr">
        <is>
          <t>TuckerRocky</t>
        </is>
      </c>
    </row>
    <row collapsed="false" customFormat="false" customHeight="false" hidden="false" ht="12.1" outlineLevel="0" r="2823">
      <c r="A2823" s="3" t="s">
        <f>=HYPERLINK("https://mp39851918.megaplan.ua/deals/100508/card/","16895")</f>
      </c>
      <c r="B2823" s="3" t="inlineStr">
        <is>
          <t>111-0901156-4253012</t>
        </is>
      </c>
      <c r="C2823" s="3" t="inlineStr">
        <is>
          <t>Autodist</t>
        </is>
      </c>
    </row>
    <row collapsed="false" customFormat="false" customHeight="false" hidden="false" ht="12.1" outlineLevel="0" r="2824">
      <c r="A2824" s="3" t="s">
        <f>=HYPERLINK("https://mp39851918.megaplan.ua/deals/100509/card/","16896")</f>
      </c>
      <c r="B2824" s="3" t="inlineStr">
        <is>
          <t>113-0306758-3722608</t>
        </is>
      </c>
      <c r="C2824" s="3" t="inlineStr">
        <is>
          <t>Autodist</t>
        </is>
      </c>
    </row>
    <row collapsed="false" customFormat="false" customHeight="false" hidden="false" ht="12.1" outlineLevel="0" r="2825">
      <c r="A2825" s="3" t="s">
        <f>=HYPERLINK("https://mp39851918.megaplan.ua/deals/100510/card/","16897")</f>
      </c>
      <c r="B2825" s="3" t="inlineStr">
        <is>
          <t>114-1216249-5723445</t>
        </is>
      </c>
      <c r="C2825" s="3" t="inlineStr">
        <is>
          <t>PartsUnlimited</t>
        </is>
      </c>
    </row>
    <row collapsed="false" customFormat="false" customHeight="false" hidden="false" ht="12.1" outlineLevel="0" r="2826">
      <c r="A2826" s="3" t="s">
        <f>=HYPERLINK("https://mp39851918.megaplan.ua/deals/100512/card/","16898")</f>
      </c>
      <c r="B2826" s="3" t="inlineStr">
        <is>
          <t>113-5821968-8029827</t>
        </is>
      </c>
      <c r="C2826" s="3" t="inlineStr">
        <is>
          <t>RockyMountain</t>
        </is>
      </c>
    </row>
    <row collapsed="false" customFormat="false" customHeight="false" hidden="false" ht="12.1" outlineLevel="0" r="2827">
      <c r="A2827" s="3" t="s">
        <f>=HYPERLINK("https://mp39851918.megaplan.ua/deals/100513/card/","16899")</f>
      </c>
      <c r="B2827" s="3" t="inlineStr">
        <is>
          <t>112-7941270-3075452</t>
        </is>
      </c>
      <c r="C2827" s="3" t="inlineStr">
        <is>
          <t>TuckerRocky</t>
        </is>
      </c>
    </row>
    <row collapsed="false" customFormat="false" customHeight="false" hidden="false" ht="12.1" outlineLevel="0" r="2828">
      <c r="A2828" s="3" t="s">
        <f>=HYPERLINK("https://mp39851918.megaplan.ua/deals/100514/card/","16900")</f>
      </c>
      <c r="B2828" s="3" t="inlineStr">
        <is>
          <t>113-9511056-7977046</t>
        </is>
      </c>
      <c r="C2828" s="3" t="inlineStr">
        <is>
          <t>TuckerRocky</t>
        </is>
      </c>
    </row>
    <row collapsed="false" customFormat="false" customHeight="false" hidden="false" ht="12.1" outlineLevel="0" r="2829">
      <c r="A2829" s="3" t="s">
        <f>=HYPERLINK("https://mp39851918.megaplan.ua/deals/100516/card/","16901")</f>
      </c>
      <c r="B2829" s="3" t="inlineStr">
        <is>
          <t>114-7837259-3170656</t>
        </is>
      </c>
      <c r="C2829" s="3" t="inlineStr">
        <is>
          <t>PartsUnlimited</t>
        </is>
      </c>
    </row>
    <row collapsed="false" customFormat="false" customHeight="false" hidden="false" ht="12.1" outlineLevel="0" r="2830">
      <c r="A2830" s="3" t="s">
        <f>=HYPERLINK("https://mp39851918.megaplan.ua/deals/100517/card/","16902")</f>
      </c>
      <c r="B2830" s="3" t="inlineStr">
        <is>
          <t>114-9611788-7457857</t>
        </is>
      </c>
      <c r="C2830" s="3" t="inlineStr">
        <is>
          <t>TuckerRocky</t>
        </is>
      </c>
    </row>
    <row collapsed="false" customFormat="false" customHeight="false" hidden="false" ht="12.1" outlineLevel="0" r="2831">
      <c r="A2831" s="3" t="s">
        <f>=HYPERLINK("https://mp39851918.megaplan.ua/deals/100518/card/","16903")</f>
      </c>
      <c r="B2831" s="3" t="inlineStr">
        <is>
          <t>112-7708585-9329841</t>
        </is>
      </c>
      <c r="C2831" s="3" t="inlineStr">
        <is>
          <t>Autodist</t>
        </is>
      </c>
    </row>
    <row collapsed="false" customFormat="false" customHeight="false" hidden="false" ht="12.1" outlineLevel="0" r="2832">
      <c r="A2832" s="3" t="s">
        <f>=HYPERLINK("https://mp39851918.megaplan.ua/deals/100524/card/","16904")</f>
      </c>
      <c r="B2832" s="3" t="inlineStr">
        <is>
          <t>111-5721931-8403437</t>
        </is>
      </c>
      <c r="C2832" s="3" t="inlineStr">
        <is>
          <t>PartsUnlimited</t>
        </is>
      </c>
    </row>
    <row collapsed="false" customFormat="false" customHeight="false" hidden="false" ht="12.1" outlineLevel="0" r="2833">
      <c r="A2833" s="3" t="s">
        <f>=HYPERLINK("https://mp39851918.megaplan.ua/deals/100526/card/","16905")</f>
      </c>
      <c r="B2833" s="3" t="inlineStr">
        <is>
          <t>111-1688044-2687447</t>
        </is>
      </c>
      <c r="C2833" s="3" t="inlineStr">
        <is>
          <t>TuckerRocky</t>
        </is>
      </c>
    </row>
    <row collapsed="false" customFormat="false" customHeight="false" hidden="false" ht="12.1" outlineLevel="0" r="2834">
      <c r="A2834" s="3" t="s">
        <f>=HYPERLINK("https://mp39851918.megaplan.ua/deals/100536/card/","16906")</f>
      </c>
      <c r="B2834" s="3" t="inlineStr">
        <is>
          <t>114-0851917-0417825</t>
        </is>
      </c>
      <c r="C2834" s="3" t="inlineStr">
        <is>
          <t>PartsUnlimited</t>
        </is>
      </c>
    </row>
    <row collapsed="false" customFormat="false" customHeight="false" hidden="false" ht="12.1" outlineLevel="0" r="2835">
      <c r="A2835" s="3" t="s">
        <f>=HYPERLINK("https://mp39851918.megaplan.ua/deals/100537/card/","16907")</f>
      </c>
      <c r="B2835" s="3" t="inlineStr">
        <is>
          <t>111-6746692-7421857</t>
        </is>
      </c>
      <c r="C2835" s="3" t="inlineStr">
        <is>
          <t>Autodist</t>
        </is>
      </c>
    </row>
    <row collapsed="false" customFormat="false" customHeight="false" hidden="false" ht="12.1" outlineLevel="0" r="2836">
      <c r="A2836" s="3" t="s">
        <f>=HYPERLINK("https://mp39851918.megaplan.ua/deals/100556/card/","16909")</f>
      </c>
      <c r="B2836" s="3" t="inlineStr">
        <is>
          <t>111-6956878-4565842</t>
        </is>
      </c>
      <c r="C2836" s="3" t="inlineStr">
        <is>
          <t>TuckerRocky</t>
        </is>
      </c>
    </row>
    <row collapsed="false" customFormat="false" customHeight="false" hidden="false" ht="12.1" outlineLevel="0" r="2837">
      <c r="A2837" s="3" t="s">
        <f>=HYPERLINK("https://mp39851918.megaplan.ua/deals/100565/card/","16911")</f>
      </c>
      <c r="B2837" s="3" t="inlineStr">
        <is>
          <t>111-0915272-4793020</t>
        </is>
      </c>
      <c r="C2837" s="3" t="inlineStr">
        <is>
          <t>TuckerRocky</t>
        </is>
      </c>
    </row>
    <row collapsed="false" customFormat="false" customHeight="false" hidden="false" ht="12.1" outlineLevel="0" r="2838">
      <c r="A2838" s="3" t="s">
        <f>=HYPERLINK("https://mp39851918.megaplan.ua/deals/100566/card/","16912")</f>
      </c>
      <c r="B2838" s="3" t="inlineStr">
        <is>
          <t>114-8974532-7443443</t>
        </is>
      </c>
      <c r="C2838" s="3" t="inlineStr">
        <is>
          <t>TuckerRocky</t>
        </is>
      </c>
    </row>
    <row collapsed="false" customFormat="false" customHeight="false" hidden="false" ht="12.1" outlineLevel="0" r="2839">
      <c r="A2839" s="3" t="s">
        <f>=HYPERLINK("https://mp39851918.megaplan.ua/deals/100567/card/","16913")</f>
      </c>
      <c r="B2839" s="3" t="inlineStr">
        <is>
          <t>111-4613455-7352237</t>
        </is>
      </c>
      <c r="C2839" s="3" t="inlineStr">
        <is>
          <t>Autodist</t>
        </is>
      </c>
    </row>
    <row collapsed="false" customFormat="false" customHeight="false" hidden="false" ht="12.1" outlineLevel="0" r="2840">
      <c r="A2840" s="3" t="s">
        <f>=HYPERLINK("https://mp39851918.megaplan.ua/deals/100570/card/","16914")</f>
      </c>
      <c r="B2840" s="3" t="inlineStr">
        <is>
          <t>113-2571482-3449804</t>
        </is>
      </c>
      <c r="C2840" s="3" t="inlineStr">
        <is>
          <t>RockyMountain</t>
        </is>
      </c>
    </row>
    <row collapsed="false" customFormat="false" customHeight="false" hidden="false" ht="12.1" outlineLevel="0" r="2841">
      <c r="A2841" s="3" t="s">
        <f>=HYPERLINK("https://mp39851918.megaplan.ua/deals/100577/card/","16915")</f>
      </c>
      <c r="B2841" s="3" t="inlineStr">
        <is>
          <t>112-0840796-2281859</t>
        </is>
      </c>
      <c r="C2841" s="3" t="inlineStr">
        <is>
          <t>TuckerRocky</t>
        </is>
      </c>
    </row>
    <row collapsed="false" customFormat="false" customHeight="false" hidden="false" ht="12.1" outlineLevel="0" r="2842">
      <c r="A2842" s="3" t="s">
        <f>=HYPERLINK("https://mp39851918.megaplan.ua/deals/100586/card/","16917")</f>
      </c>
      <c r="B2842" s="3" t="inlineStr">
        <is>
          <t>113-6922627-3449006</t>
        </is>
      </c>
      <c r="C2842" s="3" t="inlineStr">
        <is>
          <t>Autodist</t>
        </is>
      </c>
    </row>
    <row collapsed="false" customFormat="false" customHeight="false" hidden="false" ht="12.1" outlineLevel="0" r="2843">
      <c r="A2843" s="3" t="s">
        <f>=HYPERLINK("https://mp39851918.megaplan.ua/deals/100587/card/","16918")</f>
      </c>
      <c r="B2843" s="3" t="inlineStr">
        <is>
          <t>112-3985308-2856256</t>
        </is>
      </c>
      <c r="C2843" s="3" t="inlineStr">
        <is>
          <t>Autodist</t>
        </is>
      </c>
    </row>
    <row collapsed="false" customFormat="false" customHeight="false" hidden="false" ht="12.1" outlineLevel="0" r="2844">
      <c r="A2844" s="3" t="s">
        <f>=HYPERLINK("https://mp39851918.megaplan.ua/deals/100588/card/","16919")</f>
      </c>
      <c r="B2844" s="3" t="inlineStr">
        <is>
          <t>111-8146262-9151408</t>
        </is>
      </c>
      <c r="C2844" s="3" t="inlineStr">
        <is>
          <t>Autodist</t>
        </is>
      </c>
    </row>
    <row collapsed="false" customFormat="false" customHeight="false" hidden="false" ht="12.1" outlineLevel="0" r="2845">
      <c r="A2845" s="3" t="s">
        <f>=HYPERLINK("https://mp39851918.megaplan.ua/deals/100589/card/","16920")</f>
      </c>
      <c r="B2845" s="3" t="inlineStr">
        <is>
          <t>112-9606658-0398610</t>
        </is>
      </c>
      <c r="C2845" s="3" t="inlineStr">
        <is>
          <t>Autodist</t>
        </is>
      </c>
    </row>
    <row collapsed="false" customFormat="false" customHeight="false" hidden="false" ht="12.1" outlineLevel="0" r="2846">
      <c r="A2846" s="3" t="s">
        <f>=HYPERLINK("https://mp39851918.megaplan.ua/deals/100590/card/","16921")</f>
      </c>
      <c r="B2846" s="3" t="inlineStr">
        <is>
          <t>113-7035777-2820245</t>
        </is>
      </c>
      <c r="C2846" s="3" t="inlineStr">
        <is>
          <t>Autodist</t>
        </is>
      </c>
    </row>
    <row collapsed="false" customFormat="false" customHeight="false" hidden="false" ht="12.1" outlineLevel="0" r="2847">
      <c r="A2847" s="3" t="s">
        <f>=HYPERLINK("https://mp39851918.megaplan.ua/deals/100592/card/","16922")</f>
      </c>
      <c r="B2847" s="3" t="inlineStr">
        <is>
          <t>113-5388734-8209027</t>
        </is>
      </c>
      <c r="C2847" s="3" t="inlineStr">
        <is>
          <t>Autodist</t>
        </is>
      </c>
    </row>
    <row collapsed="false" customFormat="false" customHeight="false" hidden="false" ht="12.1" outlineLevel="0" r="2848">
      <c r="A2848" s="3" t="s">
        <f>=HYPERLINK("https://mp39851918.megaplan.ua/deals/100593/card/","16923")</f>
      </c>
      <c r="B2848" s="3" t="inlineStr">
        <is>
          <t>113-9799822-4921016</t>
        </is>
      </c>
      <c r="C2848" s="3" t="inlineStr">
        <is>
          <t>Autodist</t>
        </is>
      </c>
    </row>
    <row collapsed="false" customFormat="false" customHeight="false" hidden="false" ht="12.1" outlineLevel="0" r="2849">
      <c r="A2849" s="3" t="s">
        <f>=HYPERLINK("https://mp39851918.megaplan.ua/deals/100594/card/","16924")</f>
      </c>
      <c r="B2849" s="3" t="inlineStr">
        <is>
          <t>111-2285118-9863429</t>
        </is>
      </c>
      <c r="C2849" s="3" t="inlineStr">
        <is>
          <t>Autodist</t>
        </is>
      </c>
    </row>
    <row collapsed="false" customFormat="false" customHeight="false" hidden="false" ht="12.1" outlineLevel="0" r="2850">
      <c r="A2850" s="3" t="s">
        <f>=HYPERLINK("https://mp39851918.megaplan.ua/deals/100595/card/","16925")</f>
      </c>
      <c r="B2850" s="3" t="inlineStr">
        <is>
          <t>114-5705347-8823415</t>
        </is>
      </c>
      <c r="C2850" s="3" t="inlineStr">
        <is>
          <t>PartsUnlimited</t>
        </is>
      </c>
    </row>
    <row collapsed="false" customFormat="false" customHeight="false" hidden="false" ht="12.1" outlineLevel="0" r="2851">
      <c r="A2851" s="3" t="s">
        <f>=HYPERLINK("https://mp39851918.megaplan.ua/deals/100596/card/","16926")</f>
      </c>
      <c r="B2851" s="3" t="inlineStr">
        <is>
          <t>114-5091847-3265849</t>
        </is>
      </c>
      <c r="C2851" s="3" t="inlineStr">
        <is>
          <t>Autodist</t>
        </is>
      </c>
    </row>
    <row collapsed="false" customFormat="false" customHeight="false" hidden="false" ht="12.1" outlineLevel="0" r="2852">
      <c r="A2852" s="3" t="s">
        <f>=HYPERLINK("https://mp39851918.megaplan.ua/deals/100597/card/","16927")</f>
      </c>
      <c r="B2852" s="3" t="inlineStr">
        <is>
          <t>113-7290430-3754614</t>
        </is>
      </c>
      <c r="C2852" s="3" t="inlineStr">
        <is>
          <t>Autodist</t>
        </is>
      </c>
    </row>
    <row collapsed="false" customFormat="false" customHeight="false" hidden="false" ht="12.1" outlineLevel="0" r="2853">
      <c r="A2853" s="3" t="s">
        <f>=HYPERLINK("https://mp39851918.megaplan.ua/deals/100598/card/","16928")</f>
      </c>
      <c r="B2853" s="3" t="inlineStr">
        <is>
          <t>111-4330929-8746622</t>
        </is>
      </c>
      <c r="C2853" s="3" t="inlineStr">
        <is>
          <t>Autodist</t>
        </is>
      </c>
    </row>
    <row collapsed="false" customFormat="false" customHeight="false" hidden="false" ht="12.1" outlineLevel="0" r="2854">
      <c r="A2854" s="3" t="s">
        <f>=HYPERLINK("https://mp39851918.megaplan.ua/deals/100599/card/","16929")</f>
      </c>
      <c r="B2854" s="3" t="inlineStr">
        <is>
          <t>113-2653151-0936263</t>
        </is>
      </c>
      <c r="C2854" s="3" t="inlineStr">
        <is>
          <t>Autodist</t>
        </is>
      </c>
    </row>
    <row collapsed="false" customFormat="false" customHeight="false" hidden="false" ht="12.1" outlineLevel="0" r="2855">
      <c r="A2855" s="3" t="s">
        <f>=HYPERLINK("https://mp39851918.megaplan.ua/deals/100600/card/","16930")</f>
      </c>
      <c r="B2855" s="3" t="inlineStr">
        <is>
          <t>113-0212879-3762675</t>
        </is>
      </c>
      <c r="C2855" s="3" t="inlineStr">
        <is>
          <t>Autodist</t>
        </is>
      </c>
    </row>
    <row collapsed="false" customFormat="false" customHeight="false" hidden="false" ht="12.1" outlineLevel="0" r="2856">
      <c r="A2856" s="3" t="s">
        <f>=HYPERLINK("https://mp39851918.megaplan.ua/deals/100601/card/","16931")</f>
      </c>
      <c r="B2856" s="3" t="inlineStr">
        <is>
          <t>111-8772258-5094606</t>
        </is>
      </c>
      <c r="C2856" s="3" t="inlineStr">
        <is>
          <t>Autodist</t>
        </is>
      </c>
    </row>
    <row collapsed="false" customFormat="false" customHeight="false" hidden="false" ht="12.1" outlineLevel="0" r="2857">
      <c r="A2857" s="3" t="s">
        <f>=HYPERLINK("https://mp39851918.megaplan.ua/deals/100610/card/","16932")</f>
      </c>
      <c r="B2857" s="3" t="inlineStr">
        <is>
          <t>114-7707223-1805044</t>
        </is>
      </c>
      <c r="C2857" s="3" t="inlineStr">
        <is>
          <t>TuckerRocky</t>
        </is>
      </c>
    </row>
    <row collapsed="false" customFormat="false" customHeight="false" hidden="false" ht="12.1" outlineLevel="0" r="2858">
      <c r="A2858" s="3" t="s">
        <f>=HYPERLINK("https://mp39851918.megaplan.ua/deals/100611/card/","16933")</f>
      </c>
      <c r="B2858" s="3" t="inlineStr">
        <is>
          <t>112-7521463-1035429</t>
        </is>
      </c>
      <c r="C2858" s="3" t="inlineStr">
        <is>
          <t>TuckerRocky</t>
        </is>
      </c>
    </row>
    <row collapsed="false" customFormat="false" customHeight="false" hidden="false" ht="12.1" outlineLevel="0" r="2859">
      <c r="A2859" s="3" t="s">
        <f>=HYPERLINK("https://mp39851918.megaplan.ua/deals/100617/card/","16934")</f>
      </c>
      <c r="B2859" s="3" t="inlineStr">
        <is>
          <t>111-2334925-7825851</t>
        </is>
      </c>
      <c r="C2859" s="3" t="inlineStr">
        <is>
          <t>TuckerRocky</t>
        </is>
      </c>
    </row>
    <row collapsed="false" customFormat="false" customHeight="false" hidden="false" ht="12.1" outlineLevel="0" r="2860">
      <c r="A2860" s="3" t="s">
        <f>=HYPERLINK("https://mp39851918.megaplan.ua/deals/100621/card/","16935")</f>
      </c>
      <c r="B2860" s="3" t="inlineStr">
        <is>
          <t>112-2433221-5538601</t>
        </is>
      </c>
      <c r="C2860" s="3" t="inlineStr">
        <is>
          <t>RockyMountain</t>
        </is>
      </c>
    </row>
    <row collapsed="false" customFormat="false" customHeight="false" hidden="false" ht="12.1" outlineLevel="0" r="2861">
      <c r="A2861" s="3" t="s">
        <f>=HYPERLINK("https://mp39851918.megaplan.ua/deals/100626/card/","16936")</f>
      </c>
      <c r="B2861" s="3" t="inlineStr">
        <is>
          <t>113-6308561-2005037</t>
        </is>
      </c>
      <c r="C2861" s="3" t="inlineStr">
        <is>
          <t>TuckerRocky</t>
        </is>
      </c>
    </row>
    <row collapsed="false" customFormat="false" customHeight="false" hidden="false" ht="12.1" outlineLevel="0" r="2862">
      <c r="A2862" s="3" t="s">
        <f>=HYPERLINK("https://mp39851918.megaplan.ua/deals/100629/card/","16937")</f>
      </c>
      <c r="B2862" s="3" t="inlineStr">
        <is>
          <t>112-6145259-9717033</t>
        </is>
      </c>
      <c r="C2862" s="3" t="inlineStr">
        <is>
          <t>Autodist</t>
        </is>
      </c>
    </row>
    <row collapsed="false" customFormat="false" customHeight="false" hidden="false" ht="12.1" outlineLevel="0" r="2863">
      <c r="A2863" s="3" t="s">
        <f>=HYPERLINK("https://mp39851918.megaplan.ua/deals/100632/card/","16938")</f>
      </c>
      <c r="B2863" s="3" t="inlineStr">
        <is>
          <t>114-4899279-0119415</t>
        </is>
      </c>
      <c r="C2863" s="3" t="inlineStr">
        <is>
          <t>RockyMountain</t>
        </is>
      </c>
    </row>
    <row collapsed="false" customFormat="false" customHeight="false" hidden="false" ht="12.1" outlineLevel="0" r="2864">
      <c r="A2864" s="3" t="s">
        <f>=HYPERLINK("https://mp39851918.megaplan.ua/deals/100633/card/","16939")</f>
      </c>
      <c r="B2864" s="3" t="inlineStr">
        <is>
          <t>112-0264197-2190606</t>
        </is>
      </c>
      <c r="C2864" s="3" t="inlineStr">
        <is>
          <t>RockyMountain</t>
        </is>
      </c>
    </row>
    <row collapsed="false" customFormat="false" customHeight="false" hidden="false" ht="12.1" outlineLevel="0" r="2865">
      <c r="A2865" s="3" t="s">
        <f>=HYPERLINK("https://mp39851918.megaplan.ua/deals/100634/card/","16940")</f>
      </c>
      <c r="B2865" s="3" t="inlineStr">
        <is>
          <t>111-9162024-2987435</t>
        </is>
      </c>
      <c r="C2865" s="3" t="inlineStr">
        <is>
          <t>RockyMountain</t>
        </is>
      </c>
    </row>
    <row collapsed="false" customFormat="false" customHeight="false" hidden="false" ht="12.1" outlineLevel="0" r="2866">
      <c r="A2866" s="3" t="s">
        <f>=HYPERLINK("https://mp39851918.megaplan.ua/deals/100635/card/","16941")</f>
      </c>
      <c r="B2866" s="3" t="inlineStr">
        <is>
          <t>112-3411994-3911454</t>
        </is>
      </c>
      <c r="C2866" s="3" t="inlineStr">
        <is>
          <t>RockyMountain</t>
        </is>
      </c>
    </row>
    <row collapsed="false" customFormat="false" customHeight="false" hidden="false" ht="12.1" outlineLevel="0" r="2867">
      <c r="A2867" s="3" t="s">
        <f>=HYPERLINK("https://mp39851918.megaplan.ua/deals/100645/card/","16942")</f>
      </c>
      <c r="B2867" s="3" t="inlineStr">
        <is>
          <t>112-1450931-1955458</t>
        </is>
      </c>
      <c r="C2867" s="3" t="inlineStr">
        <is>
          <t>TuckerRocky</t>
        </is>
      </c>
    </row>
    <row collapsed="false" customFormat="false" customHeight="false" hidden="false" ht="12.1" outlineLevel="0" r="2868">
      <c r="A2868" s="3" t="s">
        <f>=HYPERLINK("https://mp39851918.megaplan.ua/deals/100646/card/","16943")</f>
      </c>
      <c r="B2868" s="3" t="inlineStr">
        <is>
          <t>113-0656182-5970666</t>
        </is>
      </c>
      <c r="C2868" s="3" t="inlineStr">
        <is>
          <t>TuckerRocky</t>
        </is>
      </c>
    </row>
    <row collapsed="false" customFormat="false" customHeight="false" hidden="false" ht="12.1" outlineLevel="0" r="2869">
      <c r="A2869" s="3" t="s">
        <f>=HYPERLINK("https://mp39851918.megaplan.ua/deals/100647/card/","16944")</f>
      </c>
      <c r="B2869" s="3" t="inlineStr">
        <is>
          <t>113-7950900-5702651</t>
        </is>
      </c>
      <c r="C2869" s="3" t="inlineStr">
        <is>
          <t>RockyMountain</t>
        </is>
      </c>
    </row>
    <row collapsed="false" customFormat="false" customHeight="false" hidden="false" ht="12.1" outlineLevel="0" r="2870">
      <c r="A2870" s="3" t="s">
        <f>=HYPERLINK("https://mp39851918.megaplan.ua/deals/100657/card/","16945")</f>
      </c>
      <c r="B2870" s="3" t="inlineStr">
        <is>
          <t>113-8784482-0339450</t>
        </is>
      </c>
      <c r="C2870" s="3" t="inlineStr">
        <is>
          <t>PartsUnlimited</t>
        </is>
      </c>
    </row>
    <row collapsed="false" customFormat="false" customHeight="false" hidden="false" ht="12.1" outlineLevel="0" r="2871">
      <c r="A2871" s="3" t="s">
        <f>=HYPERLINK("https://mp39851918.megaplan.ua/deals/100661/card/","16947")</f>
      </c>
      <c r="B2871" s="3" t="inlineStr">
        <is>
          <t>112-4980978-7051403</t>
        </is>
      </c>
      <c r="C2871" s="3" t="inlineStr">
        <is>
          <t>TuckerRocky</t>
        </is>
      </c>
    </row>
    <row collapsed="false" customFormat="false" customHeight="false" hidden="false" ht="12.1" outlineLevel="0" r="2872">
      <c r="A2872" s="3" t="s">
        <f>=HYPERLINK("https://mp39851918.megaplan.ua/deals/100662/card/","16948")</f>
      </c>
      <c r="B2872" s="3" t="inlineStr">
        <is>
          <t>113-7894003-2625824</t>
        </is>
      </c>
      <c r="C2872" s="3" t="inlineStr">
        <is>
          <t>RockyMountain</t>
        </is>
      </c>
    </row>
    <row collapsed="false" customFormat="false" customHeight="false" hidden="false" ht="12.1" outlineLevel="0" r="2873">
      <c r="A2873" s="3" t="s">
        <f>=HYPERLINK("https://mp39851918.megaplan.ua/deals/100755/card/","16962")</f>
      </c>
      <c r="B2873" s="3" t="inlineStr">
        <is>
          <t>111-0670218-6741829</t>
        </is>
      </c>
      <c r="C2873" s="3" t="inlineStr">
        <is>
          <t>PartsUnlimited</t>
        </is>
      </c>
    </row>
    <row collapsed="false" customFormat="false" customHeight="false" hidden="false" ht="12.1" outlineLevel="0" r="2874">
      <c r="A2874" s="3" t="s">
        <f>=HYPERLINK("https://mp39851918.megaplan.ua/deals/100756/card/","16963")</f>
      </c>
      <c r="B2874" s="3" t="inlineStr">
        <is>
          <t>113-8746173-9254658</t>
        </is>
      </c>
      <c r="C2874" s="3" t="inlineStr">
        <is>
          <t>TuckerRocky</t>
        </is>
      </c>
    </row>
    <row collapsed="false" customFormat="false" customHeight="false" hidden="false" ht="12.1" outlineLevel="0" r="2875">
      <c r="A2875" s="3" t="s">
        <f>=HYPERLINK("https://mp39851918.megaplan.ua/deals/100757/card/","16964")</f>
      </c>
      <c r="B2875" s="3" t="inlineStr">
        <is>
          <t>112-0394666-2467409</t>
        </is>
      </c>
      <c r="C2875" s="3" t="inlineStr">
        <is>
          <t>RockyMountain</t>
        </is>
      </c>
    </row>
    <row collapsed="false" customFormat="false" customHeight="false" hidden="false" ht="12.1" outlineLevel="0" r="2876">
      <c r="A2876" s="3" t="s">
        <f>=HYPERLINK("https://mp39851918.megaplan.ua/deals/100758/card/","16965")</f>
      </c>
      <c r="B2876" s="3" t="inlineStr">
        <is>
          <t>114-3078419-2845819</t>
        </is>
      </c>
      <c r="C2876" s="3" t="inlineStr">
        <is>
          <t>TuckerRocky</t>
        </is>
      </c>
    </row>
    <row collapsed="false" customFormat="false" customHeight="false" hidden="false" ht="12.1" outlineLevel="0" r="2877">
      <c r="A2877" s="3" t="s">
        <f>=HYPERLINK("https://mp39851918.megaplan.ua/deals/100759/card/","16966")</f>
      </c>
      <c r="B2877" s="3" t="inlineStr">
        <is>
          <t>114-3565469-6196209</t>
        </is>
      </c>
      <c r="C2877" s="3" t="inlineStr">
        <is>
          <t>TuckerRocky</t>
        </is>
      </c>
    </row>
    <row collapsed="false" customFormat="false" customHeight="false" hidden="false" ht="12.1" outlineLevel="0" r="2878">
      <c r="A2878" s="3" t="s">
        <f>=HYPERLINK("https://mp39851918.megaplan.ua/deals/100760/card/","16967")</f>
      </c>
      <c r="B2878" s="3" t="inlineStr">
        <is>
          <t>112-9369736-6782665</t>
        </is>
      </c>
      <c r="C2878" s="3" t="inlineStr">
        <is>
          <t>RockyMountain</t>
        </is>
      </c>
    </row>
    <row collapsed="false" customFormat="false" customHeight="false" hidden="false" ht="12.1" outlineLevel="0" r="2879">
      <c r="A2879" s="3" t="s">
        <f>=HYPERLINK("https://mp39851918.megaplan.ua/deals/100761/card/","16968")</f>
      </c>
      <c r="B2879" s="3" t="inlineStr">
        <is>
          <t>113-1592874-6397827</t>
        </is>
      </c>
      <c r="C2879" s="3" t="inlineStr">
        <is>
          <t>TuckerRocky</t>
        </is>
      </c>
    </row>
    <row collapsed="false" customFormat="false" customHeight="false" hidden="false" ht="12.1" outlineLevel="0" r="2880">
      <c r="A2880" s="3" t="s">
        <f>=HYPERLINK("https://mp39851918.megaplan.ua/deals/100762/card/","16969")</f>
      </c>
      <c r="B2880" s="3" t="inlineStr">
        <is>
          <t>112-8818233-5322638</t>
        </is>
      </c>
      <c r="C2880" s="3" t="inlineStr">
        <is>
          <t>TuckerRocky</t>
        </is>
      </c>
    </row>
    <row collapsed="false" customFormat="false" customHeight="false" hidden="false" ht="12.1" outlineLevel="0" r="2881">
      <c r="A2881" s="3" t="s">
        <f>=HYPERLINK("https://mp39851918.megaplan.ua/deals/100763/card/","16970")</f>
      </c>
      <c r="B2881" s="3" t="inlineStr">
        <is>
          <t>114-1173426-9048206</t>
        </is>
      </c>
      <c r="C2881" s="3" t="inlineStr">
        <is>
          <t>TuckerRocky</t>
        </is>
      </c>
    </row>
    <row collapsed="false" customFormat="false" customHeight="false" hidden="false" ht="12.1" outlineLevel="0" r="2882">
      <c r="A2882" s="3" t="s">
        <f>=HYPERLINK("https://mp39851918.megaplan.ua/deals/100764/card/","16971")</f>
      </c>
      <c r="B2882" s="3" t="inlineStr">
        <is>
          <t>114-5589399-4347449</t>
        </is>
      </c>
      <c r="C2882" s="3" t="inlineStr">
        <is>
          <t>TuckerRocky</t>
        </is>
      </c>
    </row>
    <row collapsed="false" customFormat="false" customHeight="false" hidden="false" ht="12.1" outlineLevel="0" r="2883">
      <c r="A2883" s="3" t="s">
        <f>=HYPERLINK("https://mp39851918.megaplan.ua/deals/100765/card/","16972")</f>
      </c>
      <c r="B2883" s="3" t="inlineStr">
        <is>
          <t>113-6328263-0409820</t>
        </is>
      </c>
      <c r="C2883" s="3" t="inlineStr">
        <is>
          <t>Autodist</t>
        </is>
      </c>
    </row>
    <row collapsed="false" customFormat="false" customHeight="false" hidden="false" ht="12.1" outlineLevel="0" r="2884">
      <c r="A2884" s="3" t="s">
        <f>=HYPERLINK("https://mp39851918.megaplan.ua/deals/100766/card/","16973")</f>
      </c>
      <c r="B2884" s="3" t="inlineStr">
        <is>
          <t>111-5867402-3732232</t>
        </is>
      </c>
      <c r="C2884" s="3" t="inlineStr">
        <is>
          <t>TuckerRocky</t>
        </is>
      </c>
    </row>
    <row collapsed="false" customFormat="false" customHeight="false" hidden="false" ht="12.1" outlineLevel="0" r="2885">
      <c r="A2885" s="3" t="s">
        <f>=HYPERLINK("https://mp39851918.megaplan.ua/deals/100767/card/","16974")</f>
      </c>
      <c r="B2885" s="3" t="inlineStr">
        <is>
          <t>111-6756649-1597063</t>
        </is>
      </c>
      <c r="C2885" s="3" t="inlineStr">
        <is>
          <t>TuckerRocky</t>
        </is>
      </c>
    </row>
    <row collapsed="false" customFormat="false" customHeight="false" hidden="false" ht="12.1" outlineLevel="0" r="2886">
      <c r="A2886" s="3" t="s">
        <f>=HYPERLINK("https://mp39851918.megaplan.ua/deals/100768/card/","16975")</f>
      </c>
      <c r="B2886" s="3" t="inlineStr">
        <is>
          <t>112-9137952-0135415</t>
        </is>
      </c>
      <c r="C2886" s="3" t="inlineStr">
        <is>
          <t>Autodist</t>
        </is>
      </c>
    </row>
    <row collapsed="false" customFormat="false" customHeight="false" hidden="false" ht="12.1" outlineLevel="0" r="2887">
      <c r="A2887" s="3" t="s">
        <f>=HYPERLINK("https://mp39851918.megaplan.ua/deals/100769/card/","16976")</f>
      </c>
      <c r="B2887" s="3" t="inlineStr">
        <is>
          <t>114-2861630-7836225</t>
        </is>
      </c>
      <c r="C2887" s="3" t="inlineStr">
        <is>
          <t>Autodist</t>
        </is>
      </c>
    </row>
    <row collapsed="false" customFormat="false" customHeight="false" hidden="false" ht="12.1" outlineLevel="0" r="2888">
      <c r="A2888" s="3" t="s">
        <f>=HYPERLINK("https://mp39851918.megaplan.ua/deals/100770/card/","16977")</f>
      </c>
      <c r="B2888" s="3" t="inlineStr">
        <is>
          <t>113-2221805-1446600</t>
        </is>
      </c>
      <c r="C2888" s="3" t="inlineStr">
        <is>
          <t>TuckerRocky</t>
        </is>
      </c>
    </row>
    <row collapsed="false" customFormat="false" customHeight="false" hidden="false" ht="12.1" outlineLevel="0" r="2889">
      <c r="A2889" s="3" t="s">
        <f>=HYPERLINK("https://mp39851918.megaplan.ua/deals/100771/card/","16978")</f>
      </c>
      <c r="B2889" s="3" t="inlineStr">
        <is>
          <t>111-6098913-2891426</t>
        </is>
      </c>
      <c r="C2889" s="3" t="inlineStr">
        <is>
          <t>TuckerRocky</t>
        </is>
      </c>
    </row>
    <row collapsed="false" customFormat="false" customHeight="false" hidden="false" ht="12.1" outlineLevel="0" r="2890">
      <c r="A2890" s="3" t="s">
        <f>=HYPERLINK("https://mp39851918.megaplan.ua/deals/100772/card/","16979")</f>
      </c>
      <c r="B2890" s="3" t="inlineStr">
        <is>
          <t>112-4383981-1283439</t>
        </is>
      </c>
      <c r="C2890" s="3" t="inlineStr">
        <is>
          <t>TuckerRocky</t>
        </is>
      </c>
    </row>
    <row collapsed="false" customFormat="false" customHeight="false" hidden="false" ht="12.1" outlineLevel="0" r="2891">
      <c r="A2891" s="3" t="s">
        <f>=HYPERLINK("https://mp39851918.megaplan.ua/deals/100773/card/","16980")</f>
      </c>
      <c r="B2891" s="3" t="inlineStr">
        <is>
          <t>111-3524600-8357829</t>
        </is>
      </c>
      <c r="C2891" s="3" t="inlineStr">
        <is>
          <t>TuckerRocky</t>
        </is>
      </c>
    </row>
    <row collapsed="false" customFormat="false" customHeight="false" hidden="false" ht="12.1" outlineLevel="0" r="2892">
      <c r="A2892" s="3" t="s">
        <f>=HYPERLINK("https://mp39851918.megaplan.ua/deals/100807/card/","16982")</f>
      </c>
      <c r="B2892" s="3" t="inlineStr">
        <is>
          <t>111-8522020-9945832</t>
        </is>
      </c>
      <c r="C2892" s="3" t="inlineStr">
        <is>
          <t>Autodist</t>
        </is>
      </c>
    </row>
    <row collapsed="false" customFormat="false" customHeight="false" hidden="false" ht="12.1" outlineLevel="0" r="2893">
      <c r="A2893" s="3" t="s">
        <f>=HYPERLINK("https://mp39851918.megaplan.ua/deals/100808/card/","16983")</f>
      </c>
      <c r="B2893" s="3" t="inlineStr">
        <is>
          <t>113-5489534-3711463</t>
        </is>
      </c>
      <c r="C2893" s="3" t="inlineStr">
        <is>
          <t>Autodist</t>
        </is>
      </c>
    </row>
    <row collapsed="false" customFormat="false" customHeight="false" hidden="false" ht="12.1" outlineLevel="0" r="2894">
      <c r="A2894" s="3" t="s">
        <f>=HYPERLINK("https://mp39851918.megaplan.ua/deals/100809/card/","16984")</f>
      </c>
      <c r="B2894" s="3" t="inlineStr">
        <is>
          <t>114-6686252-9357012</t>
        </is>
      </c>
      <c r="C2894" s="3" t="inlineStr">
        <is>
          <t>PartsUnlimited</t>
        </is>
      </c>
    </row>
    <row collapsed="false" customFormat="false" customHeight="false" hidden="false" ht="12.1" outlineLevel="0" r="2895">
      <c r="A2895" s="3" t="s">
        <f>=HYPERLINK("https://mp39851918.megaplan.ua/deals/100810/card/","16985")</f>
      </c>
      <c r="B2895" s="3" t="inlineStr">
        <is>
          <t>111-3557058-6517032</t>
        </is>
      </c>
      <c r="C2895" s="3" t="inlineStr">
        <is>
          <t>TuckerRocky</t>
        </is>
      </c>
    </row>
    <row collapsed="false" customFormat="false" customHeight="false" hidden="false" ht="12.1" outlineLevel="0" r="2896">
      <c r="A2896" s="3" t="s">
        <f>=HYPERLINK("https://mp39851918.megaplan.ua/deals/100811/card/","16986")</f>
      </c>
      <c r="B2896" s="3" t="inlineStr">
        <is>
          <t>111-0686790-9929007</t>
        </is>
      </c>
      <c r="C2896" s="3" t="inlineStr">
        <is>
          <t>TuckerRocky</t>
        </is>
      </c>
    </row>
    <row collapsed="false" customFormat="false" customHeight="false" hidden="false" ht="12.1" outlineLevel="0" r="2897">
      <c r="A2897" s="3" t="s">
        <f>=HYPERLINK("https://mp39851918.megaplan.ua/deals/100812/card/","16987")</f>
      </c>
      <c r="B2897" s="3" t="inlineStr">
        <is>
          <t>114-1864172-9658604</t>
        </is>
      </c>
      <c r="C2897" s="3" t="inlineStr">
        <is>
          <t>PartsUnlimited</t>
        </is>
      </c>
    </row>
    <row collapsed="false" customFormat="false" customHeight="false" hidden="false" ht="12.1" outlineLevel="0" r="2898">
      <c r="A2898" s="3" t="s">
        <f>=HYPERLINK("https://mp39851918.megaplan.ua/deals/100813/card/","16988")</f>
      </c>
      <c r="B2898" s="3" t="inlineStr">
        <is>
          <t>114-6244484-7134628</t>
        </is>
      </c>
      <c r="C2898" s="3" t="inlineStr">
        <is>
          <t>Autodist</t>
        </is>
      </c>
    </row>
    <row collapsed="false" customFormat="false" customHeight="false" hidden="false" ht="12.1" outlineLevel="0" r="2899">
      <c r="A2899" s="3" t="s">
        <f>=HYPERLINK("https://mp39851918.megaplan.ua/deals/100814/card/","16989")</f>
      </c>
      <c r="B2899" s="3" t="inlineStr">
        <is>
          <t>112-9282742-8829834</t>
        </is>
      </c>
      <c r="C2899" s="3" t="inlineStr">
        <is>
          <t>TuckerRocky</t>
        </is>
      </c>
    </row>
    <row collapsed="false" customFormat="false" customHeight="false" hidden="false" ht="12.1" outlineLevel="0" r="2900">
      <c r="A2900" s="3" t="s">
        <f>=HYPERLINK("https://mp39851918.megaplan.ua/deals/100815/card/","16990")</f>
      </c>
      <c r="B2900" s="3" t="inlineStr">
        <is>
          <t>113-5789140-0152207</t>
        </is>
      </c>
      <c r="C2900" s="3" t="inlineStr">
        <is>
          <t>Autodist</t>
        </is>
      </c>
    </row>
    <row collapsed="false" customFormat="false" customHeight="false" hidden="false" ht="12.1" outlineLevel="0" r="2901">
      <c r="A2901" s="3" t="s">
        <f>=HYPERLINK("https://mp39851918.megaplan.ua/deals/100816/card/","16991")</f>
      </c>
      <c r="B2901" s="3" t="inlineStr">
        <is>
          <t>114-6721288-4641843</t>
        </is>
      </c>
      <c r="C2901" s="3" t="inlineStr">
        <is>
          <t>RockyMountain</t>
        </is>
      </c>
    </row>
    <row collapsed="false" customFormat="false" customHeight="false" hidden="false" ht="12.1" outlineLevel="0" r="2902">
      <c r="A2902" s="3" t="s">
        <f>=HYPERLINK("https://mp39851918.megaplan.ua/deals/100817/card/","16992")</f>
      </c>
      <c r="B2902" s="3" t="inlineStr">
        <is>
          <t>112-6161783-7723435</t>
        </is>
      </c>
      <c r="C2902" s="3" t="inlineStr">
        <is>
          <t>Autodist</t>
        </is>
      </c>
    </row>
    <row collapsed="false" customFormat="false" customHeight="false" hidden="false" ht="12.1" outlineLevel="0" r="2903">
      <c r="A2903" s="3" t="s">
        <f>=HYPERLINK("https://mp39851918.megaplan.ua/deals/100818/card/","16993")</f>
      </c>
      <c r="B2903" s="3" t="inlineStr">
        <is>
          <t>111-0324739-9935433</t>
        </is>
      </c>
      <c r="C2903" s="3" t="inlineStr">
        <is>
          <t>Autodist</t>
        </is>
      </c>
    </row>
    <row collapsed="false" customFormat="false" customHeight="false" hidden="false" ht="12.1" outlineLevel="0" r="2904">
      <c r="A2904" s="3" t="s">
        <f>=HYPERLINK("https://mp39851918.megaplan.ua/deals/100819/card/","16994")</f>
      </c>
      <c r="B2904" s="3" t="inlineStr">
        <is>
          <t>111-4373750-0161832</t>
        </is>
      </c>
      <c r="C2904" s="3" t="inlineStr">
        <is>
          <t>Autodist</t>
        </is>
      </c>
    </row>
    <row collapsed="false" customFormat="false" customHeight="false" hidden="false" ht="12.1" outlineLevel="0" r="2905">
      <c r="A2905" s="3" t="s">
        <f>=HYPERLINK("https://mp39851918.megaplan.ua/deals/100820/card/","16995")</f>
      </c>
      <c r="B2905" s="3" t="inlineStr">
        <is>
          <t>113-0699795-6301842</t>
        </is>
      </c>
      <c r="C2905" s="3" t="inlineStr">
        <is>
          <t>PartsUnlimited</t>
        </is>
      </c>
    </row>
    <row collapsed="false" customFormat="false" customHeight="false" hidden="false" ht="12.1" outlineLevel="0" r="2906">
      <c r="A2906" s="3" t="s">
        <f>=HYPERLINK("https://mp39851918.megaplan.ua/deals/100821/card/","16996")</f>
      </c>
      <c r="B2906" s="3" t="inlineStr">
        <is>
          <t>114-5680611-8813802</t>
        </is>
      </c>
      <c r="C2906" s="3" t="inlineStr">
        <is>
          <t>TuckerRocky</t>
        </is>
      </c>
    </row>
    <row collapsed="false" customFormat="false" customHeight="false" hidden="false" ht="12.1" outlineLevel="0" r="2907">
      <c r="A2907" s="3" t="s">
        <f>=HYPERLINK("https://mp39851918.megaplan.ua/deals/100822/card/","16997")</f>
      </c>
      <c r="B2907" s="3" t="inlineStr">
        <is>
          <t>113-3218094-5109854</t>
        </is>
      </c>
      <c r="C2907" s="3" t="inlineStr">
        <is>
          <t>TuckerRocky</t>
        </is>
      </c>
    </row>
    <row collapsed="false" customFormat="false" customHeight="false" hidden="false" ht="12.1" outlineLevel="0" r="2908">
      <c r="A2908" s="3" t="s">
        <f>=HYPERLINK("https://mp39851918.megaplan.ua/deals/100823/card/","16998")</f>
      </c>
      <c r="B2908" s="3" t="inlineStr">
        <is>
          <t>111-8840699-9627417</t>
        </is>
      </c>
      <c r="C2908" s="3" t="inlineStr">
        <is>
          <t>TuckerRocky</t>
        </is>
      </c>
    </row>
    <row collapsed="false" customFormat="false" customHeight="false" hidden="false" ht="12.1" outlineLevel="0" r="2909">
      <c r="A2909" s="3" t="s">
        <f>=HYPERLINK("https://mp39851918.megaplan.ua/deals/100824/card/","16999")</f>
      </c>
      <c r="B2909" s="3" t="inlineStr">
        <is>
          <t>114-7969317-5342622</t>
        </is>
      </c>
      <c r="C2909" s="3" t="inlineStr">
        <is>
          <t>TuckerRocky</t>
        </is>
      </c>
    </row>
    <row collapsed="false" customFormat="false" customHeight="false" hidden="false" ht="12.1" outlineLevel="0" r="2910">
      <c r="A2910" s="3" t="s">
        <f>=HYPERLINK("https://mp39851918.megaplan.ua/deals/100825/card/","17000")</f>
      </c>
      <c r="B2910" s="3" t="inlineStr">
        <is>
          <t>113-9645237-0151459</t>
        </is>
      </c>
      <c r="C2910" s="3" t="inlineStr">
        <is>
          <t>TuckerRocky</t>
        </is>
      </c>
    </row>
    <row collapsed="false" customFormat="false" customHeight="false" hidden="false" ht="12.1" outlineLevel="0" r="2911">
      <c r="A2911" s="3" t="s">
        <f>=HYPERLINK("https://mp39851918.megaplan.ua/deals/100826/card/","17001")</f>
      </c>
      <c r="B2911" s="3" t="inlineStr">
        <is>
          <t>112-7129558-9107469</t>
        </is>
      </c>
      <c r="C2911" s="3" t="inlineStr">
        <is>
          <t>Autodist</t>
        </is>
      </c>
    </row>
    <row collapsed="false" customFormat="false" customHeight="false" hidden="false" ht="12.1" outlineLevel="0" r="2912">
      <c r="A2912" s="3" t="s">
        <f>=HYPERLINK("https://mp39851918.megaplan.ua/deals/100827/card/","17002")</f>
      </c>
      <c r="B2912" s="3" t="inlineStr">
        <is>
          <t>114-8390867-0420265</t>
        </is>
      </c>
      <c r="C2912" s="3" t="inlineStr">
        <is>
          <t>TuckerRocky</t>
        </is>
      </c>
    </row>
    <row collapsed="false" customFormat="false" customHeight="false" hidden="false" ht="12.1" outlineLevel="0" r="2913">
      <c r="A2913" s="3" t="s">
        <f>=HYPERLINK("https://mp39851918.megaplan.ua/deals/100828/card/","17003")</f>
      </c>
      <c r="B2913" s="3" t="inlineStr">
        <is>
          <t>113-7260989-8577000</t>
        </is>
      </c>
      <c r="C2913" s="3" t="inlineStr">
        <is>
          <t>TuckerRocky</t>
        </is>
      </c>
    </row>
    <row collapsed="false" customFormat="false" customHeight="false" hidden="false" ht="12.1" outlineLevel="0" r="2914">
      <c r="A2914" s="3" t="s">
        <f>=HYPERLINK("https://mp39851918.megaplan.ua/deals/100832/card/","17004")</f>
      </c>
      <c r="B2914" s="3" t="inlineStr">
        <is>
          <t>114-9817333-1389820</t>
        </is>
      </c>
      <c r="C2914" s="3" t="inlineStr">
        <is>
          <t>PartsUnlimited</t>
        </is>
      </c>
    </row>
    <row collapsed="false" customFormat="false" customHeight="false" hidden="false" ht="12.1" outlineLevel="0" r="2915">
      <c r="A2915" s="3" t="s">
        <f>=HYPERLINK("https://mp39851918.megaplan.ua/deals/100833/card/","17005")</f>
      </c>
      <c r="B2915" s="3" t="inlineStr">
        <is>
          <t>111-2521358-7967423</t>
        </is>
      </c>
      <c r="C2915" s="3" t="inlineStr">
        <is>
          <t>TuckerRocky</t>
        </is>
      </c>
    </row>
    <row collapsed="false" customFormat="false" customHeight="false" hidden="false" ht="12.1" outlineLevel="0" r="2916">
      <c r="A2916" s="3" t="s">
        <f>=HYPERLINK("https://mp39851918.megaplan.ua/deals/100834/card/","17006")</f>
      </c>
      <c r="B2916" s="3" t="inlineStr">
        <is>
          <t>112-9104128-9591468</t>
        </is>
      </c>
      <c r="C2916" s="3" t="inlineStr">
        <is>
          <t>TuckerRocky</t>
        </is>
      </c>
    </row>
    <row collapsed="false" customFormat="false" customHeight="false" hidden="false" ht="12.1" outlineLevel="0" r="2917">
      <c r="A2917" s="3" t="s">
        <f>=HYPERLINK("https://mp39851918.megaplan.ua/deals/100835/card/","17007")</f>
      </c>
      <c r="B2917" s="3" t="inlineStr">
        <is>
          <t>114-8280349-0232268</t>
        </is>
      </c>
      <c r="C2917" s="3" t="inlineStr">
        <is>
          <t>TuckerRocky</t>
        </is>
      </c>
    </row>
    <row collapsed="false" customFormat="false" customHeight="false" hidden="false" ht="12.1" outlineLevel="0" r="2918">
      <c r="A2918" s="3" t="s">
        <f>=HYPERLINK("https://mp39851918.megaplan.ua/deals/100836/card/","17008")</f>
      </c>
      <c r="B2918" s="3" t="inlineStr">
        <is>
          <t>112-3501358-8724260</t>
        </is>
      </c>
      <c r="C2918" s="3" t="inlineStr">
        <is>
          <t>PartsUnlimited</t>
        </is>
      </c>
    </row>
    <row collapsed="false" customFormat="false" customHeight="false" hidden="false" ht="12.1" outlineLevel="0" r="2919">
      <c r="A2919" s="3" t="s">
        <f>=HYPERLINK("https://mp39851918.megaplan.ua/deals/100837/card/","17009")</f>
      </c>
      <c r="B2919" s="3" t="inlineStr">
        <is>
          <t>114-6220954-5918606</t>
        </is>
      </c>
      <c r="C2919" s="3" t="inlineStr">
        <is>
          <t>TuckerRocky</t>
        </is>
      </c>
    </row>
    <row collapsed="false" customFormat="false" customHeight="false" hidden="false" ht="12.1" outlineLevel="0" r="2920">
      <c r="A2920" s="3" t="s">
        <f>=HYPERLINK("https://mp39851918.megaplan.ua/deals/100844/card/","17010")</f>
      </c>
      <c r="B2920" s="3" t="inlineStr">
        <is>
          <t>112-2988423-7729823</t>
        </is>
      </c>
      <c r="C2920" s="3" t="inlineStr">
        <is>
          <t>TuckerRocky</t>
        </is>
      </c>
    </row>
    <row collapsed="false" customFormat="false" customHeight="false" hidden="false" ht="12.1" outlineLevel="0" r="2921">
      <c r="A2921" s="3" t="s">
        <f>=HYPERLINK("https://mp39851918.megaplan.ua/deals/100845/card/","17011")</f>
      </c>
      <c r="B2921" s="3" t="inlineStr">
        <is>
          <t>114-5379492-8141002</t>
        </is>
      </c>
      <c r="C2921" s="3" t="inlineStr">
        <is>
          <t>TuckerRocky</t>
        </is>
      </c>
    </row>
    <row collapsed="false" customFormat="false" customHeight="false" hidden="false" ht="12.1" outlineLevel="0" r="2922">
      <c r="A2922" s="3" t="s">
        <f>=HYPERLINK("https://mp39851918.megaplan.ua/deals/100847/card/","17012")</f>
      </c>
      <c r="B2922" s="3" t="inlineStr">
        <is>
          <t>113-1619458-0928256</t>
        </is>
      </c>
      <c r="C2922" s="3" t="inlineStr">
        <is>
          <t>TuckerRocky</t>
        </is>
      </c>
    </row>
    <row collapsed="false" customFormat="false" customHeight="false" hidden="false" ht="12.1" outlineLevel="0" r="2923">
      <c r="A2923" s="3" t="s">
        <f>=HYPERLINK("https://mp39851918.megaplan.ua/deals/100994/card/","17013")</f>
      </c>
      <c r="B2923" s="3" t="inlineStr">
        <is>
          <t>112-8373767-4278611</t>
        </is>
      </c>
      <c r="C2923" s="3" t="inlineStr">
        <is>
          <t>TuckerRocky</t>
        </is>
      </c>
    </row>
    <row collapsed="false" customFormat="false" customHeight="false" hidden="false" ht="12.1" outlineLevel="0" r="2924">
      <c r="A2924" s="3" t="s">
        <f>=HYPERLINK("https://mp39851918.megaplan.ua/deals/101002/card/","17015")</f>
      </c>
      <c r="B2924" s="3" t="inlineStr">
        <is>
          <t>113-2622567-5198645</t>
        </is>
      </c>
      <c r="C2924" s="3" t="inlineStr">
        <is>
          <t>RockyMountain</t>
        </is>
      </c>
    </row>
    <row collapsed="false" customFormat="false" customHeight="false" hidden="false" ht="12.1" outlineLevel="0" r="2925">
      <c r="A2925" s="3" t="s">
        <f>=HYPERLINK("https://mp39851918.megaplan.ua/deals/101004/card/","17016")</f>
      </c>
      <c r="B2925" s="3" t="inlineStr">
        <is>
          <t>114-1061675-4548225</t>
        </is>
      </c>
      <c r="C2925" s="3" t="inlineStr">
        <is>
          <t>TuckerRocky</t>
        </is>
      </c>
    </row>
    <row collapsed="false" customFormat="false" customHeight="false" hidden="false" ht="12.1" outlineLevel="0" r="2926">
      <c r="A2926" s="3" t="s">
        <f>=HYPERLINK("https://mp39851918.megaplan.ua/deals/101008/card/","17017")</f>
      </c>
      <c r="B2926" s="3" t="inlineStr">
        <is>
          <t>114-9447850-2834617</t>
        </is>
      </c>
      <c r="C2926" s="3" t="inlineStr">
        <is>
          <t>Autodist</t>
        </is>
      </c>
    </row>
    <row collapsed="false" customFormat="false" customHeight="false" hidden="false" ht="12.1" outlineLevel="0" r="2927">
      <c r="A2927" s="3" t="s">
        <f>=HYPERLINK("https://mp39851918.megaplan.ua/deals/101009/card/","17018")</f>
      </c>
      <c r="B2927" s="3" t="inlineStr">
        <is>
          <t>114-2814321-7363433</t>
        </is>
      </c>
      <c r="C2927" s="3" t="inlineStr">
        <is>
          <t>TuckerRocky</t>
        </is>
      </c>
    </row>
    <row collapsed="false" customFormat="false" customHeight="false" hidden="false" ht="12.1" outlineLevel="0" r="2928">
      <c r="A2928" s="3" t="s">
        <f>=HYPERLINK("https://mp39851918.megaplan.ua/deals/101010/card/","17019")</f>
      </c>
      <c r="B2928" s="3" t="inlineStr">
        <is>
          <t>112-9323586-1888214</t>
        </is>
      </c>
      <c r="C2928" s="3" t="inlineStr">
        <is>
          <t>TuckerRocky</t>
        </is>
      </c>
    </row>
    <row collapsed="false" customFormat="false" customHeight="false" hidden="false" ht="12.1" outlineLevel="0" r="2929">
      <c r="A2929" s="3" t="s">
        <f>=HYPERLINK("https://mp39851918.megaplan.ua/deals/101011/card/","17020")</f>
      </c>
      <c r="B2929" s="3" t="inlineStr">
        <is>
          <t>111-3951579-3234601</t>
        </is>
      </c>
      <c r="C2929" s="3" t="inlineStr">
        <is>
          <t>TuckerRocky</t>
        </is>
      </c>
    </row>
    <row collapsed="false" customFormat="false" customHeight="false" hidden="false" ht="12.1" outlineLevel="0" r="2930">
      <c r="A2930" s="3" t="s">
        <f>=HYPERLINK("https://mp39851918.megaplan.ua/deals/101012/card/","17021")</f>
      </c>
      <c r="B2930" s="3" t="inlineStr">
        <is>
          <t>114-2912555-2305868</t>
        </is>
      </c>
      <c r="C2930" s="3" t="inlineStr">
        <is>
          <t>PartsUnlimited</t>
        </is>
      </c>
    </row>
    <row collapsed="false" customFormat="false" customHeight="false" hidden="false" ht="12.1" outlineLevel="0" r="2931">
      <c r="A2931" s="3" t="s">
        <f>=HYPERLINK("https://mp39851918.megaplan.ua/deals/101013/card/","17022")</f>
      </c>
      <c r="B2931" s="3" t="inlineStr">
        <is>
          <t>112-8293949-0773028</t>
        </is>
      </c>
      <c r="C2931" s="3" t="inlineStr">
        <is>
          <t>Autodist</t>
        </is>
      </c>
    </row>
    <row collapsed="false" customFormat="false" customHeight="false" hidden="false" ht="12.1" outlineLevel="0" r="2932">
      <c r="A2932" s="3" t="s">
        <f>=HYPERLINK("https://mp39851918.megaplan.ua/deals/101014/card/","17023")</f>
      </c>
      <c r="B2932" s="3" t="inlineStr">
        <is>
          <t>112-5548908-4832235</t>
        </is>
      </c>
      <c r="C2932" s="3" t="inlineStr">
        <is>
          <t>TuckerRocky</t>
        </is>
      </c>
    </row>
    <row collapsed="false" customFormat="false" customHeight="false" hidden="false" ht="12.1" outlineLevel="0" r="2933">
      <c r="A2933" s="3" t="s">
        <f>=HYPERLINK("https://mp39851918.megaplan.ua/deals/101016/card/","17024")</f>
      </c>
      <c r="B2933" s="3" t="inlineStr">
        <is>
          <t>114-1226200-1477001</t>
        </is>
      </c>
      <c r="C2933" s="3" t="inlineStr">
        <is>
          <t>TuckerRocky</t>
        </is>
      </c>
    </row>
    <row collapsed="false" customFormat="false" customHeight="false" hidden="false" ht="12.1" outlineLevel="0" r="2934">
      <c r="A2934" s="3" t="s">
        <f>=HYPERLINK("https://mp39851918.megaplan.ua/deals/101018/card/","17025")</f>
      </c>
      <c r="B2934" s="3" t="inlineStr">
        <is>
          <t>113-5788262-6377017</t>
        </is>
      </c>
      <c r="C2934" s="3" t="inlineStr">
        <is>
          <t>Autodist</t>
        </is>
      </c>
    </row>
    <row collapsed="false" customFormat="false" customHeight="false" hidden="false" ht="12.1" outlineLevel="0" r="2935">
      <c r="A2935" s="3" t="s">
        <f>=HYPERLINK("https://mp39851918.megaplan.ua/deals/101019/card/","17026")</f>
      </c>
      <c r="B2935" s="3" t="inlineStr">
        <is>
          <t>112-8745146-8961812</t>
        </is>
      </c>
      <c r="C2935" s="3" t="inlineStr">
        <is>
          <t>PartsUnlimited</t>
        </is>
      </c>
    </row>
    <row collapsed="false" customFormat="false" customHeight="false" hidden="false" ht="12.1" outlineLevel="0" r="2936">
      <c r="A2936" s="3" t="s">
        <f>=HYPERLINK("https://mp39851918.megaplan.ua/deals/101021/card/","17027")</f>
      </c>
      <c r="B2936" s="3" t="inlineStr">
        <is>
          <t>113-6569227-6055444</t>
        </is>
      </c>
      <c r="C2936" s="3" t="inlineStr">
        <is>
          <t>Autodist</t>
        </is>
      </c>
    </row>
    <row collapsed="false" customFormat="false" customHeight="false" hidden="false" ht="12.1" outlineLevel="0" r="2937">
      <c r="A2937" s="3" t="s">
        <f>=HYPERLINK("https://mp39851918.megaplan.ua/deals/101023/card/","17028")</f>
      </c>
      <c r="B2937" s="3" t="inlineStr">
        <is>
          <t>113-6205132-1902663</t>
        </is>
      </c>
      <c r="C2937" s="3" t="inlineStr">
        <is>
          <t>TuckerRocky</t>
        </is>
      </c>
    </row>
    <row collapsed="false" customFormat="false" customHeight="false" hidden="false" ht="12.1" outlineLevel="0" r="2938">
      <c r="A2938" s="3" t="s">
        <f>=HYPERLINK("https://mp39851918.megaplan.ua/deals/101024/card/","17029")</f>
      </c>
      <c r="B2938" s="3" t="inlineStr">
        <is>
          <t>112-8951072-6067460</t>
        </is>
      </c>
      <c r="C2938" s="3" t="inlineStr">
        <is>
          <t>Autodist</t>
        </is>
      </c>
    </row>
    <row collapsed="false" customFormat="false" customHeight="false" hidden="false" ht="12.1" outlineLevel="0" r="2939">
      <c r="A2939" s="3" t="s">
        <f>=HYPERLINK("https://mp39851918.megaplan.ua/deals/101025/card/","17030")</f>
      </c>
      <c r="B2939" s="3" t="inlineStr">
        <is>
          <t>111-9150086-1160211</t>
        </is>
      </c>
      <c r="C2939" s="3" t="inlineStr">
        <is>
          <t>PartsUnlimited</t>
        </is>
      </c>
    </row>
    <row collapsed="false" customFormat="false" customHeight="false" hidden="false" ht="12.1" outlineLevel="0" r="2940">
      <c r="A2940" s="3" t="s">
        <f>=HYPERLINK("https://mp39851918.megaplan.ua/deals/101026/card/","17031")</f>
      </c>
      <c r="B2940" s="3" t="inlineStr">
        <is>
          <t>114-6720635-4224233</t>
        </is>
      </c>
      <c r="C2940" s="3" t="inlineStr">
        <is>
          <t>PartsUnlimited</t>
        </is>
      </c>
    </row>
    <row collapsed="false" customFormat="false" customHeight="false" hidden="false" ht="12.1" outlineLevel="0" r="2941">
      <c r="A2941" s="3" t="s">
        <f>=HYPERLINK("https://mp39851918.megaplan.ua/deals/101029/card/","17033")</f>
      </c>
      <c r="B2941" s="3" t="inlineStr">
        <is>
          <t>113-9546750-6797054</t>
        </is>
      </c>
      <c r="C2941" s="3" t="inlineStr">
        <is>
          <t>TuckerRocky</t>
        </is>
      </c>
    </row>
    <row collapsed="false" customFormat="false" customHeight="false" hidden="false" ht="12.1" outlineLevel="0" r="2942">
      <c r="A2942" s="3" t="s">
        <f>=HYPERLINK("https://mp39851918.megaplan.ua/deals/101031/card/","17034")</f>
      </c>
      <c r="B2942" s="3" t="inlineStr">
        <is>
          <t>111-9573802-5703458</t>
        </is>
      </c>
      <c r="C2942" s="3" t="inlineStr">
        <is>
          <t>PartsUnlimited</t>
        </is>
      </c>
    </row>
    <row collapsed="false" customFormat="false" customHeight="false" hidden="false" ht="12.1" outlineLevel="0" r="2943">
      <c r="A2943" s="3" t="s">
        <f>=HYPERLINK("https://mp39851918.megaplan.ua/deals/101032/card/","17035")</f>
      </c>
      <c r="B2943" s="3" t="inlineStr">
        <is>
          <t>112-7419852-5060228</t>
        </is>
      </c>
      <c r="C2943" s="3" t="inlineStr">
        <is>
          <t>PartsUnlimited</t>
        </is>
      </c>
    </row>
    <row collapsed="false" customFormat="false" customHeight="false" hidden="false" ht="12.1" outlineLevel="0" r="2944">
      <c r="A2944" s="3" t="s">
        <f>=HYPERLINK("https://mp39851918.megaplan.ua/deals/101033/card/","17036")</f>
      </c>
      <c r="B2944" s="3" t="inlineStr">
        <is>
          <t>112-9002919-5212254</t>
        </is>
      </c>
      <c r="C2944" s="3" t="inlineStr">
        <is>
          <t>TuckerRocky</t>
        </is>
      </c>
    </row>
    <row collapsed="false" customFormat="false" customHeight="false" hidden="false" ht="12.1" outlineLevel="0" r="2945">
      <c r="A2945" s="3" t="s">
        <f>=HYPERLINK("https://mp39851918.megaplan.ua/deals/101034/card/","17037")</f>
      </c>
      <c r="B2945" s="3" t="inlineStr">
        <is>
          <t>114-6297217-9229053</t>
        </is>
      </c>
      <c r="C2945" s="3" t="inlineStr">
        <is>
          <t>TuckerRocky</t>
        </is>
      </c>
    </row>
    <row collapsed="false" customFormat="false" customHeight="false" hidden="false" ht="12.1" outlineLevel="0" r="2946">
      <c r="A2946" s="3" t="s">
        <f>=HYPERLINK("https://mp39851918.megaplan.ua/deals/101035/card/","17038")</f>
      </c>
      <c r="B2946" s="3" t="inlineStr">
        <is>
          <t>113-3805210-3455441</t>
        </is>
      </c>
      <c r="C2946" s="3" t="inlineStr">
        <is>
          <t>TuckerRocky</t>
        </is>
      </c>
    </row>
    <row collapsed="false" customFormat="false" customHeight="false" hidden="false" ht="12.1" outlineLevel="0" r="2947">
      <c r="A2947" s="3" t="s">
        <f>=HYPERLINK("https://mp39851918.megaplan.ua/deals/101036/card/","17039")</f>
      </c>
      <c r="B2947" s="3" t="inlineStr">
        <is>
          <t>113-2434899-5289869</t>
        </is>
      </c>
      <c r="C2947" s="3" t="inlineStr">
        <is>
          <t>PartsUnlimited</t>
        </is>
      </c>
    </row>
    <row collapsed="false" customFormat="false" customHeight="false" hidden="false" ht="12.1" outlineLevel="0" r="2948">
      <c r="A2948" s="3" t="s">
        <f>=HYPERLINK("https://mp39851918.megaplan.ua/deals/101037/card/","17040")</f>
      </c>
      <c r="B2948" s="3" t="inlineStr">
        <is>
          <t>111-1913017-6407405</t>
        </is>
      </c>
      <c r="C2948" s="3" t="inlineStr">
        <is>
          <t>TuckerRocky</t>
        </is>
      </c>
    </row>
    <row collapsed="false" customFormat="false" customHeight="false" hidden="false" ht="12.1" outlineLevel="0" r="2949">
      <c r="A2949" s="3" t="s">
        <f>=HYPERLINK("https://mp39851918.megaplan.ua/deals/101038/card/","17041")</f>
      </c>
      <c r="B2949" s="3" t="inlineStr">
        <is>
          <t>112-0643826-8027407</t>
        </is>
      </c>
      <c r="C2949" s="3" t="inlineStr">
        <is>
          <t>PartsUnlimited</t>
        </is>
      </c>
    </row>
    <row collapsed="false" customFormat="false" customHeight="false" hidden="false" ht="12.1" outlineLevel="0" r="2950">
      <c r="A2950" s="3" t="s">
        <f>=HYPERLINK("https://mp39851918.megaplan.ua/deals/101039/card/","17042")</f>
      </c>
      <c r="B2950" s="3" t="inlineStr">
        <is>
          <t>112-9987473-2004265</t>
        </is>
      </c>
      <c r="C2950" s="3" t="inlineStr">
        <is>
          <t>PartsUnlimited</t>
        </is>
      </c>
    </row>
    <row collapsed="false" customFormat="false" customHeight="false" hidden="false" ht="12.1" outlineLevel="0" r="2951">
      <c r="A2951" s="3" t="s">
        <f>=HYPERLINK("https://mp39851918.megaplan.ua/deals/101041/card/","17043")</f>
      </c>
      <c r="B2951" s="3" t="inlineStr">
        <is>
          <t>112-2259115-9058655</t>
        </is>
      </c>
      <c r="C2951" s="3" t="inlineStr">
        <is>
          <t>PartsUnlimited</t>
        </is>
      </c>
    </row>
    <row collapsed="false" customFormat="false" customHeight="false" hidden="false" ht="12.1" outlineLevel="0" r="2952">
      <c r="A2952" s="3" t="s">
        <f>=HYPERLINK("https://mp39851918.megaplan.ua/deals/101043/card/","17044")</f>
      </c>
      <c r="B2952" s="3" t="inlineStr">
        <is>
          <t>112-6567846-6913824</t>
        </is>
      </c>
      <c r="C2952" s="3" t="inlineStr">
        <is>
          <t>Autodist</t>
        </is>
      </c>
    </row>
    <row collapsed="false" customFormat="false" customHeight="false" hidden="false" ht="12.1" outlineLevel="0" r="2953">
      <c r="A2953" s="3" t="s">
        <f>=HYPERLINK("https://mp39851918.megaplan.ua/deals/101044/card/","17045")</f>
      </c>
      <c r="B2953" s="3" t="inlineStr">
        <is>
          <t>111-3389420-5308239</t>
        </is>
      </c>
      <c r="C2953" s="3" t="inlineStr">
        <is>
          <t>PartsUnlimited</t>
        </is>
      </c>
    </row>
    <row collapsed="false" customFormat="false" customHeight="false" hidden="false" ht="12.1" outlineLevel="0" r="2954">
      <c r="A2954" s="3" t="s">
        <f>=HYPERLINK("https://mp39851918.megaplan.ua/deals/101045/card/","17046")</f>
      </c>
      <c r="B2954" s="3" t="inlineStr">
        <is>
          <t>112-0309673-5561071</t>
        </is>
      </c>
      <c r="C2954" s="3" t="inlineStr">
        <is>
          <t>PartsUnlimited</t>
        </is>
      </c>
    </row>
    <row collapsed="false" customFormat="false" customHeight="false" hidden="false" ht="12.1" outlineLevel="0" r="2955">
      <c r="A2955" s="3" t="s">
        <f>=HYPERLINK("https://mp39851918.megaplan.ua/deals/101046/card/","17047")</f>
      </c>
      <c r="B2955" s="3" t="inlineStr">
        <is>
          <t>112-2004081-1241845</t>
        </is>
      </c>
      <c r="C2955" s="3" t="inlineStr">
        <is>
          <t>Autodist</t>
        </is>
      </c>
    </row>
    <row collapsed="false" customFormat="false" customHeight="false" hidden="false" ht="12.1" outlineLevel="0" r="2956">
      <c r="A2956" s="3" t="s">
        <f>=HYPERLINK("https://mp39851918.megaplan.ua/deals/101048/card/","17048")</f>
      </c>
      <c r="B2956" s="3" t="inlineStr">
        <is>
          <t>114-9915378-1937847</t>
        </is>
      </c>
      <c r="C2956" s="3" t="inlineStr">
        <is>
          <t>Autodist</t>
        </is>
      </c>
    </row>
    <row collapsed="false" customFormat="false" customHeight="false" hidden="false" ht="12.1" outlineLevel="0" r="2957">
      <c r="A2957" s="3" t="s">
        <f>=HYPERLINK("https://mp39851918.megaplan.ua/deals/101049/card/","17049")</f>
      </c>
      <c r="B2957" s="3" t="inlineStr">
        <is>
          <t>111-6173921-9551406</t>
        </is>
      </c>
      <c r="C2957" s="3" t="inlineStr">
        <is>
          <t>Autodist</t>
        </is>
      </c>
    </row>
    <row collapsed="false" customFormat="false" customHeight="false" hidden="false" ht="12.1" outlineLevel="0" r="2958">
      <c r="A2958" s="3" t="s">
        <f>=HYPERLINK("https://mp39851918.megaplan.ua/deals/101050/card/","17050")</f>
      </c>
      <c r="B2958" s="3" t="inlineStr">
        <is>
          <t>112-0165099-1427419</t>
        </is>
      </c>
      <c r="C2958" s="3" t="inlineStr">
        <is>
          <t>Autodist</t>
        </is>
      </c>
    </row>
    <row collapsed="false" customFormat="false" customHeight="false" hidden="false" ht="12.1" outlineLevel="0" r="2959">
      <c r="A2959" s="3" t="s">
        <f>=HYPERLINK("https://mp39851918.megaplan.ua/deals/101051/card/","17051")</f>
      </c>
      <c r="B2959" s="3" t="inlineStr">
        <is>
          <t>114-7237239-2895405</t>
        </is>
      </c>
      <c r="C2959" s="3" t="inlineStr">
        <is>
          <t>Autodist</t>
        </is>
      </c>
    </row>
    <row collapsed="false" customFormat="false" customHeight="false" hidden="false" ht="12.1" outlineLevel="0" r="2960">
      <c r="A2960" s="3" t="s">
        <f>=HYPERLINK("https://mp39851918.megaplan.ua/deals/101053/card/","17052")</f>
      </c>
      <c r="B2960" s="3" t="inlineStr">
        <is>
          <t>112-0009294-9608267</t>
        </is>
      </c>
      <c r="C2960" s="3" t="inlineStr">
        <is>
          <t>TuckerRocky</t>
        </is>
      </c>
    </row>
    <row collapsed="false" customFormat="false" customHeight="false" hidden="false" ht="12.1" outlineLevel="0" r="2961">
      <c r="A2961" s="3" t="s">
        <f>=HYPERLINK("https://mp39851918.megaplan.ua/deals/101056/card/","17054")</f>
      </c>
      <c r="B2961" s="3" t="inlineStr">
        <is>
          <t>112-9539211-0933054</t>
        </is>
      </c>
      <c r="C2961" s="3" t="inlineStr">
        <is>
          <t>Autodist</t>
        </is>
      </c>
    </row>
    <row collapsed="false" customFormat="false" customHeight="false" hidden="false" ht="12.1" outlineLevel="0" r="2962">
      <c r="A2962" s="3" t="s">
        <f>=HYPERLINK("https://mp39851918.megaplan.ua/deals/101058/card/","17056")</f>
      </c>
      <c r="B2962" s="3" t="inlineStr">
        <is>
          <t>113-5394060-5543409</t>
        </is>
      </c>
      <c r="C2962" s="3" t="inlineStr">
        <is>
          <t>Autodist</t>
        </is>
      </c>
    </row>
    <row collapsed="false" customFormat="false" customHeight="false" hidden="false" ht="12.1" outlineLevel="0" r="2963">
      <c r="A2963" s="3" t="s">
        <f>=HYPERLINK("https://mp39851918.megaplan.ua/deals/101066/card/","17059")</f>
      </c>
      <c r="B2963" s="3" t="inlineStr">
        <is>
          <t>113-3554000-5917822</t>
        </is>
      </c>
      <c r="C2963" s="3" t="inlineStr">
        <is>
          <t>Autodist</t>
        </is>
      </c>
    </row>
    <row collapsed="false" customFormat="false" customHeight="false" hidden="false" ht="12.1" outlineLevel="0" r="2964">
      <c r="A2964" s="3" t="s">
        <f>=HYPERLINK("https://mp39851918.megaplan.ua/deals/101068/card/","17060")</f>
      </c>
      <c r="B2964" s="3" t="inlineStr">
        <is>
          <t>113-9867616-0865807</t>
        </is>
      </c>
      <c r="C2964" s="3" t="inlineStr">
        <is>
          <t>TuckerRocky</t>
        </is>
      </c>
    </row>
    <row collapsed="false" customFormat="false" customHeight="false" hidden="false" ht="12.1" outlineLevel="0" r="2965">
      <c r="A2965" s="3" t="s">
        <f>=HYPERLINK("https://mp39851918.megaplan.ua/deals/101069/card/","17061")</f>
      </c>
      <c r="B2965" s="3" t="inlineStr">
        <is>
          <t>113-7256684-1997856</t>
        </is>
      </c>
      <c r="C2965" s="3" t="inlineStr">
        <is>
          <t>TuckerRocky</t>
        </is>
      </c>
    </row>
    <row collapsed="false" customFormat="false" customHeight="false" hidden="false" ht="12.1" outlineLevel="0" r="2966">
      <c r="A2966" s="3" t="s">
        <f>=HYPERLINK("https://mp39851918.megaplan.ua/deals/101070/card/","17062")</f>
      </c>
      <c r="B2966" s="3" t="inlineStr">
        <is>
          <t>112-6203474-9683458</t>
        </is>
      </c>
      <c r="C2966" s="3" t="inlineStr">
        <is>
          <t>TuckerRocky</t>
        </is>
      </c>
    </row>
    <row collapsed="false" customFormat="false" customHeight="false" hidden="false" ht="12.1" outlineLevel="0" r="2967">
      <c r="A2967" s="3" t="s">
        <f>=HYPERLINK("https://mp39851918.megaplan.ua/deals/101071/card/","17063")</f>
      </c>
      <c r="B2967" s="3" t="inlineStr">
        <is>
          <t>112-2341820-8126606</t>
        </is>
      </c>
      <c r="C2967" s="3" t="inlineStr">
        <is>
          <t>Autodist</t>
        </is>
      </c>
    </row>
    <row collapsed="false" customFormat="false" customHeight="false" hidden="false" ht="12.1" outlineLevel="0" r="2968">
      <c r="A2968" s="3" t="s">
        <f>=HYPERLINK("https://mp39851918.megaplan.ua/deals/101072/card/","17064")</f>
      </c>
      <c r="B2968" s="3" t="inlineStr">
        <is>
          <t>112-8562282-1689040</t>
        </is>
      </c>
      <c r="C2968" s="3" t="inlineStr">
        <is>
          <t>TuckerRocky</t>
        </is>
      </c>
    </row>
    <row collapsed="false" customFormat="false" customHeight="false" hidden="false" ht="12.1" outlineLevel="0" r="2969">
      <c r="A2969" s="3" t="s">
        <f>=HYPERLINK("https://mp39851918.megaplan.ua/deals/101073/card/","17065")</f>
      </c>
      <c r="B2969" s="3" t="inlineStr">
        <is>
          <t>113-5088611-7679410</t>
        </is>
      </c>
      <c r="C2969" s="3" t="inlineStr">
        <is>
          <t>Autodist</t>
        </is>
      </c>
    </row>
    <row collapsed="false" customFormat="false" customHeight="false" hidden="false" ht="12.1" outlineLevel="0" r="2970">
      <c r="A2970" s="3" t="s">
        <f>=HYPERLINK("https://mp39851918.megaplan.ua/deals/101074/card/","17066")</f>
      </c>
      <c r="B2970" s="3" t="inlineStr">
        <is>
          <t>114-1430067-6013834</t>
        </is>
      </c>
      <c r="C2970" s="3" t="inlineStr">
        <is>
          <t>TuckerRocky</t>
        </is>
      </c>
    </row>
    <row collapsed="false" customFormat="false" customHeight="false" hidden="false" ht="12.1" outlineLevel="0" r="2971">
      <c r="A2971" s="3" t="s">
        <f>=HYPERLINK("https://mp39851918.megaplan.ua/deals/101076/card/","17067")</f>
      </c>
      <c r="B2971" s="3" t="inlineStr">
        <is>
          <t>113-8460938-0410642</t>
        </is>
      </c>
      <c r="C2971" s="3" t="inlineStr">
        <is>
          <t>TuckerRocky</t>
        </is>
      </c>
    </row>
    <row collapsed="false" customFormat="false" customHeight="false" hidden="false" ht="12.1" outlineLevel="0" r="2972">
      <c r="A2972" s="3" t="s">
        <f>=HYPERLINK("https://mp39851918.megaplan.ua/deals/101077/card/","17068")</f>
      </c>
      <c r="B2972" s="3" t="inlineStr">
        <is>
          <t>114-2157082-5993024</t>
        </is>
      </c>
      <c r="C2972" s="3" t="inlineStr">
        <is>
          <t>Autodist</t>
        </is>
      </c>
    </row>
    <row collapsed="false" customFormat="false" customHeight="false" hidden="false" ht="12.1" outlineLevel="0" r="2973">
      <c r="A2973" s="3" t="s">
        <f>=HYPERLINK("https://mp39851918.megaplan.ua/deals/101079/card/","17069")</f>
      </c>
      <c r="B2973" s="3" t="inlineStr">
        <is>
          <t>113-3952623-4623434</t>
        </is>
      </c>
      <c r="C2973" s="3" t="inlineStr">
        <is>
          <t>TuckerRocky</t>
        </is>
      </c>
    </row>
    <row collapsed="false" customFormat="false" customHeight="false" hidden="false" ht="12.1" outlineLevel="0" r="2974">
      <c r="A2974" s="3" t="s">
        <f>=HYPERLINK("https://mp39851918.megaplan.ua/deals/101080/card/","17070")</f>
      </c>
      <c r="B2974" s="3" t="inlineStr">
        <is>
          <t>112-0390510-9876265</t>
        </is>
      </c>
      <c r="C2974" s="3" t="inlineStr">
        <is>
          <t>TuckerRocky</t>
        </is>
      </c>
    </row>
    <row collapsed="false" customFormat="false" customHeight="false" hidden="false" ht="12.1" outlineLevel="0" r="2975">
      <c r="A2975" s="3" t="s">
        <f>=HYPERLINK("https://mp39851918.megaplan.ua/deals/101081/card/","17071")</f>
      </c>
      <c r="B2975" s="3" t="inlineStr">
        <is>
          <t>111-9810208-3221833</t>
        </is>
      </c>
      <c r="C2975" s="3" t="inlineStr">
        <is>
          <t>Autodist</t>
        </is>
      </c>
    </row>
    <row collapsed="false" customFormat="false" customHeight="false" hidden="false" ht="12.1" outlineLevel="0" r="2976">
      <c r="A2976" s="3" t="s">
        <f>=HYPERLINK("https://mp39851918.megaplan.ua/deals/101082/card/","17072")</f>
      </c>
      <c r="B2976" s="3" t="inlineStr">
        <is>
          <t>112-0946081-4787460</t>
        </is>
      </c>
      <c r="C2976" s="3" t="inlineStr">
        <is>
          <t>TuckerRocky</t>
        </is>
      </c>
    </row>
    <row collapsed="false" customFormat="false" customHeight="false" hidden="false" ht="12.1" outlineLevel="0" r="2977">
      <c r="A2977" s="3" t="s">
        <f>=HYPERLINK("https://mp39851918.megaplan.ua/deals/101085/card/","17073")</f>
      </c>
      <c r="B2977" s="3" t="inlineStr">
        <is>
          <t>113-9871697-7313826</t>
        </is>
      </c>
      <c r="C2977" s="3" t="inlineStr">
        <is>
          <t>RockyMountain</t>
        </is>
      </c>
    </row>
    <row collapsed="false" customFormat="false" customHeight="false" hidden="false" ht="12.1" outlineLevel="0" r="2978">
      <c r="A2978" s="3" t="s">
        <f>=HYPERLINK("https://mp39851918.megaplan.ua/deals/101086/card/","17074")</f>
      </c>
      <c r="B2978" s="3" t="inlineStr">
        <is>
          <t>114-7756002-2514623</t>
        </is>
      </c>
      <c r="C2978" s="3" t="inlineStr">
        <is>
          <t>RockyMountain</t>
        </is>
      </c>
    </row>
    <row collapsed="false" customFormat="false" customHeight="false" hidden="false" ht="12.1" outlineLevel="0" r="2979">
      <c r="A2979" s="3" t="s">
        <f>=HYPERLINK("https://mp39851918.megaplan.ua/deals/101087/card/","17075")</f>
      </c>
      <c r="B2979" s="3" t="inlineStr">
        <is>
          <t>113-9658439-2056249</t>
        </is>
      </c>
      <c r="C2979" s="3" t="inlineStr">
        <is>
          <t>RockyMountain</t>
        </is>
      </c>
    </row>
    <row collapsed="false" customFormat="false" customHeight="false" hidden="false" ht="12.1" outlineLevel="0" r="2980">
      <c r="A2980" s="3" t="s">
        <f>=HYPERLINK("https://mp39851918.megaplan.ua/deals/101088/card/","17076")</f>
      </c>
      <c r="B2980" s="3" t="inlineStr">
        <is>
          <t>113-2631637-0016205</t>
        </is>
      </c>
      <c r="C2980" s="3" t="inlineStr">
        <is>
          <t>RockyMountain</t>
        </is>
      </c>
    </row>
    <row collapsed="false" customFormat="false" customHeight="false" hidden="false" ht="12.1" outlineLevel="0" r="2981">
      <c r="A2981" s="3" t="s">
        <f>=HYPERLINK("https://mp39851918.megaplan.ua/deals/101090/card/","17078")</f>
      </c>
      <c r="B2981" s="3" t="inlineStr">
        <is>
          <t>111-3101424-8326601</t>
        </is>
      </c>
      <c r="C2981" s="3" t="inlineStr">
        <is>
          <t>RockyMountain</t>
        </is>
      </c>
    </row>
    <row collapsed="false" customFormat="false" customHeight="false" hidden="false" ht="12.1" outlineLevel="0" r="2982">
      <c r="A2982" s="3" t="s">
        <f>=HYPERLINK("https://mp39851918.megaplan.ua/deals/101109/card/","17079")</f>
      </c>
      <c r="B2982" s="3" t="inlineStr">
        <is>
          <t>113-4824370-1705053</t>
        </is>
      </c>
      <c r="C2982" s="3" t="inlineStr">
        <is>
          <t>Autodist</t>
        </is>
      </c>
    </row>
    <row collapsed="false" customFormat="false" customHeight="false" hidden="false" ht="12.1" outlineLevel="0" r="2983">
      <c r="A2983" s="3" t="s">
        <f>=HYPERLINK("https://mp39851918.megaplan.ua/deals/101171/card/","17084")</f>
      </c>
      <c r="B2983" s="3" t="inlineStr">
        <is>
          <t>114-3797413-6737060</t>
        </is>
      </c>
      <c r="C2983" s="3" t="inlineStr">
        <is>
          <t>RockyMountain</t>
        </is>
      </c>
    </row>
    <row collapsed="false" customFormat="false" customHeight="false" hidden="false" ht="12.1" outlineLevel="0" r="2984">
      <c r="A2984" s="3" t="s">
        <f>=HYPERLINK("https://mp39851918.megaplan.ua/deals/101339/card/","17091")</f>
      </c>
      <c r="B2984" s="3" t="inlineStr">
        <is>
          <t>112-8396479-0721014</t>
        </is>
      </c>
      <c r="C2984" s="3" t="inlineStr">
        <is>
          <t>PartsUnlimited</t>
        </is>
      </c>
    </row>
    <row collapsed="false" customFormat="false" customHeight="false" hidden="false" ht="12.1" outlineLevel="0" r="2985">
      <c r="A2985" s="3" t="s">
        <f>=HYPERLINK("https://mp39851918.megaplan.ua/deals/101341/card/","17093")</f>
      </c>
      <c r="B2985" s="3" t="inlineStr">
        <is>
          <t>113-0883941-5813813</t>
        </is>
      </c>
      <c r="C2985" s="3" t="inlineStr">
        <is>
          <t>TuckerRocky</t>
        </is>
      </c>
    </row>
    <row collapsed="false" customFormat="false" customHeight="false" hidden="false" ht="12.1" outlineLevel="0" r="2986">
      <c r="A2986" s="3" t="s">
        <f>=HYPERLINK("https://mp39851918.megaplan.ua/deals/101343/card/","17094")</f>
      </c>
      <c r="B2986" s="3" t="inlineStr">
        <is>
          <t>112-6189828-6375432</t>
        </is>
      </c>
      <c r="C2986" s="3" t="inlineStr">
        <is>
          <t>Autodist</t>
        </is>
      </c>
    </row>
    <row collapsed="false" customFormat="false" customHeight="false" hidden="false" ht="12.1" outlineLevel="0" r="2987">
      <c r="A2987" s="3" t="s">
        <f>=HYPERLINK("https://mp39851918.megaplan.ua/deals/101346/card/","17095")</f>
      </c>
      <c r="B2987" s="3" t="inlineStr">
        <is>
          <t>114-8970432-3089800</t>
        </is>
      </c>
      <c r="C2987" s="3" t="inlineStr">
        <is>
          <t>TuckerRocky</t>
        </is>
      </c>
    </row>
    <row collapsed="false" customFormat="false" customHeight="false" hidden="false" ht="12.1" outlineLevel="0" r="2988">
      <c r="A2988" s="3" t="s">
        <f>=HYPERLINK("https://mp39851918.megaplan.ua/deals/101348/card/","17096")</f>
      </c>
      <c r="B2988" s="3" t="inlineStr">
        <is>
          <t>114-1448770-5321009</t>
        </is>
      </c>
      <c r="C2988" s="3" t="inlineStr">
        <is>
          <t>Autodist</t>
        </is>
      </c>
    </row>
    <row collapsed="false" customFormat="false" customHeight="false" hidden="false" ht="12.1" outlineLevel="0" r="2989">
      <c r="A2989" s="3" t="s">
        <f>=HYPERLINK("https://mp39851918.megaplan.ua/deals/101351/card/","17097")</f>
      </c>
      <c r="B2989" s="3" t="inlineStr">
        <is>
          <t>111-1655924-8354669</t>
        </is>
      </c>
      <c r="C2989" s="3" t="inlineStr">
        <is>
          <t>TuckerRocky</t>
        </is>
      </c>
    </row>
    <row collapsed="false" customFormat="false" customHeight="false" hidden="false" ht="12.1" outlineLevel="0" r="2990">
      <c r="A2990" s="3" t="s">
        <f>=HYPERLINK("https://mp39851918.megaplan.ua/deals/101356/card/","17098")</f>
      </c>
      <c r="B2990" s="3" t="inlineStr">
        <is>
          <t>112-0828209-0093801</t>
        </is>
      </c>
      <c r="C2990" s="3" t="inlineStr">
        <is>
          <t>Autodist</t>
        </is>
      </c>
    </row>
    <row collapsed="false" customFormat="false" customHeight="false" hidden="false" ht="12.1" outlineLevel="0" r="2991">
      <c r="A2991" s="3" t="s">
        <f>=HYPERLINK("https://mp39851918.megaplan.ua/deals/101357/card/","17099")</f>
      </c>
      <c r="B2991" s="3" t="inlineStr">
        <is>
          <t>112-8283180-6226600</t>
        </is>
      </c>
      <c r="C2991" s="3" t="inlineStr">
        <is>
          <t>Autodist</t>
        </is>
      </c>
    </row>
    <row collapsed="false" customFormat="false" customHeight="false" hidden="false" ht="12.1" outlineLevel="0" r="2992">
      <c r="A2992" s="3" t="s">
        <f>=HYPERLINK("https://mp39851918.megaplan.ua/deals/101358/card/","17100")</f>
      </c>
      <c r="B2992" s="3" t="inlineStr">
        <is>
          <t>114-4362262-7999441</t>
        </is>
      </c>
      <c r="C2992" s="3" t="inlineStr">
        <is>
          <t>Autodist</t>
        </is>
      </c>
    </row>
    <row collapsed="false" customFormat="false" customHeight="false" hidden="false" ht="12.1" outlineLevel="0" r="2993">
      <c r="A2993" s="3" t="s">
        <f>=HYPERLINK("https://mp39851918.megaplan.ua/deals/101360/card/","17101")</f>
      </c>
      <c r="B2993" s="3" t="inlineStr">
        <is>
          <t>114-1162807-3065018</t>
        </is>
      </c>
      <c r="C2993" s="3" t="inlineStr">
        <is>
          <t>PartsUnlimited</t>
        </is>
      </c>
    </row>
    <row collapsed="false" customFormat="false" customHeight="false" hidden="false" ht="12.1" outlineLevel="0" r="2994">
      <c r="A2994" s="3" t="s">
        <f>=HYPERLINK("https://mp39851918.megaplan.ua/deals/101361/card/","17102")</f>
      </c>
      <c r="B2994" s="3" t="inlineStr">
        <is>
          <t>113-5673221-1408239</t>
        </is>
      </c>
      <c r="C2994" s="3" t="inlineStr">
        <is>
          <t>PartsUnlimited</t>
        </is>
      </c>
    </row>
    <row collapsed="false" customFormat="false" customHeight="false" hidden="false" ht="12.1" outlineLevel="0" r="2995">
      <c r="A2995" s="3" t="s">
        <f>=HYPERLINK("https://mp39851918.megaplan.ua/deals/101362/card/","17103")</f>
      </c>
      <c r="B2995" s="3" t="inlineStr">
        <is>
          <t>112-7961426-6656209</t>
        </is>
      </c>
      <c r="C2995" s="3" t="inlineStr">
        <is>
          <t>PartsUnlimited</t>
        </is>
      </c>
    </row>
    <row collapsed="false" customFormat="false" customHeight="false" hidden="false" ht="12.1" outlineLevel="0" r="2996">
      <c r="A2996" s="3" t="s">
        <f>=HYPERLINK("https://mp39851918.megaplan.ua/deals/101363/card/","17104")</f>
      </c>
      <c r="B2996" s="3" t="inlineStr">
        <is>
          <t>113-7907524-7216201</t>
        </is>
      </c>
      <c r="C2996" s="3" t="inlineStr">
        <is>
          <t>PartsUnlimited</t>
        </is>
      </c>
    </row>
    <row collapsed="false" customFormat="false" customHeight="false" hidden="false" ht="12.1" outlineLevel="0" r="2997">
      <c r="A2997" s="3" t="s">
        <f>=HYPERLINK("https://mp39851918.megaplan.ua/deals/101364/card/","17105")</f>
      </c>
      <c r="B2997" s="3" t="inlineStr">
        <is>
          <t>112-0604098-9753813</t>
        </is>
      </c>
      <c r="C2997" s="3" t="inlineStr">
        <is>
          <t>PartsUnlimited</t>
        </is>
      </c>
    </row>
    <row collapsed="false" customFormat="false" customHeight="false" hidden="false" ht="12.1" outlineLevel="0" r="2998">
      <c r="A2998" s="3" t="s">
        <f>=HYPERLINK("https://mp39851918.megaplan.ua/deals/101367/card/","17106")</f>
      </c>
      <c r="B2998" s="3" t="inlineStr">
        <is>
          <t>112-1567512-5435461</t>
        </is>
      </c>
      <c r="C2998" s="3" t="inlineStr">
        <is>
          <t>Autodist</t>
        </is>
      </c>
    </row>
    <row collapsed="false" customFormat="false" customHeight="false" hidden="false" ht="12.1" outlineLevel="0" r="2999">
      <c r="A2999" s="3" t="s">
        <f>=HYPERLINK("https://mp39851918.megaplan.ua/deals/101371/card/","17107")</f>
      </c>
      <c r="B2999" s="3" t="inlineStr">
        <is>
          <t>113-3889274-5037827</t>
        </is>
      </c>
      <c r="C2999" s="3" t="inlineStr">
        <is>
          <t>PartsUnlimited</t>
        </is>
      </c>
    </row>
    <row collapsed="false" customFormat="false" customHeight="false" hidden="false" ht="12.1" outlineLevel="0" r="3000">
      <c r="A3000" s="3" t="s">
        <f>=HYPERLINK("https://mp39851918.megaplan.ua/deals/101372/card/","17108")</f>
      </c>
      <c r="B3000" s="3" t="inlineStr">
        <is>
          <t>112-3851111-3455443</t>
        </is>
      </c>
      <c r="C3000" s="3" t="inlineStr">
        <is>
          <t>Autodist</t>
        </is>
      </c>
    </row>
    <row collapsed="false" customFormat="false" customHeight="false" hidden="false" ht="12.1" outlineLevel="0" r="3001">
      <c r="A3001" s="3" t="s">
        <f>=HYPERLINK("https://mp39851918.megaplan.ua/deals/101373/card/","17109")</f>
      </c>
      <c r="B3001" s="3" t="inlineStr">
        <is>
          <t>111-7337653-5039464</t>
        </is>
      </c>
      <c r="C3001" s="3" t="inlineStr">
        <is>
          <t>RockyMountain</t>
        </is>
      </c>
    </row>
    <row collapsed="false" customFormat="false" customHeight="false" hidden="false" ht="12.1" outlineLevel="0" r="3002">
      <c r="A3002" s="3" t="s">
        <f>=HYPERLINK("https://mp39851918.megaplan.ua/deals/101376/card/","17110")</f>
      </c>
      <c r="B3002" s="3" t="inlineStr">
        <is>
          <t>111-5813858-8838612</t>
        </is>
      </c>
      <c r="C3002" s="3" t="inlineStr">
        <is>
          <t>TuckerRocky</t>
        </is>
      </c>
    </row>
    <row collapsed="false" customFormat="false" customHeight="false" hidden="false" ht="12.1" outlineLevel="0" r="3003">
      <c r="A3003" s="3" t="s">
        <f>=HYPERLINK("https://mp39851918.megaplan.ua/deals/101380/card/","17111")</f>
      </c>
      <c r="B3003" s="3" t="inlineStr">
        <is>
          <t>114-9790566-0713856</t>
        </is>
      </c>
      <c r="C3003" s="3" t="inlineStr">
        <is>
          <t>RockyMountain</t>
        </is>
      </c>
    </row>
    <row collapsed="false" customFormat="false" customHeight="false" hidden="false" ht="12.1" outlineLevel="0" r="3004">
      <c r="A3004" s="3" t="s">
        <f>=HYPERLINK("https://mp39851918.megaplan.ua/deals/101381/card/","17112")</f>
      </c>
      <c r="B3004" s="3" t="inlineStr">
        <is>
          <t>114-8221840-3762644</t>
        </is>
      </c>
      <c r="C3004" s="3" t="inlineStr">
        <is>
          <t>TuckerRocky</t>
        </is>
      </c>
    </row>
    <row collapsed="false" customFormat="false" customHeight="false" hidden="false" ht="12.1" outlineLevel="0" r="3005">
      <c r="A3005" s="3" t="s">
        <f>=HYPERLINK("https://mp39851918.megaplan.ua/deals/101382/card/","17113")</f>
      </c>
      <c r="B3005" s="3" t="inlineStr">
        <is>
          <t>111-1004236-5973831</t>
        </is>
      </c>
      <c r="C3005" s="3" t="inlineStr">
        <is>
          <t>TuckerRocky</t>
        </is>
      </c>
    </row>
    <row collapsed="false" customFormat="false" customHeight="false" hidden="false" ht="12.1" outlineLevel="0" r="3006">
      <c r="A3006" s="3" t="s">
        <f>=HYPERLINK("https://mp39851918.megaplan.ua/deals/101384/card/","17114")</f>
      </c>
      <c r="B3006" s="3" t="inlineStr">
        <is>
          <t>111-7343343-9029810</t>
        </is>
      </c>
      <c r="C3006" s="3" t="inlineStr">
        <is>
          <t>Autodist</t>
        </is>
      </c>
    </row>
    <row collapsed="false" customFormat="false" customHeight="false" hidden="false" ht="12.1" outlineLevel="0" r="3007">
      <c r="A3007" s="3" t="s">
        <f>=HYPERLINK("https://mp39851918.megaplan.ua/deals/101398/card/","17115")</f>
      </c>
      <c r="B3007" s="3" t="inlineStr">
        <is>
          <t>111-0284321-6013023</t>
        </is>
      </c>
      <c r="C3007" s="3" t="inlineStr">
        <is>
          <t>Autodist</t>
        </is>
      </c>
    </row>
    <row collapsed="false" customFormat="false" customHeight="false" hidden="false" ht="12.1" outlineLevel="0" r="3008">
      <c r="A3008" s="3" t="s">
        <f>=HYPERLINK("https://mp39851918.megaplan.ua/deals/101401/card/","17116")</f>
      </c>
      <c r="B3008" s="3" t="inlineStr">
        <is>
          <t>114-8785177-0273835</t>
        </is>
      </c>
      <c r="C3008" s="3" t="inlineStr">
        <is>
          <t>TuckerRocky</t>
        </is>
      </c>
    </row>
    <row collapsed="false" customFormat="false" customHeight="false" hidden="false" ht="12.1" outlineLevel="0" r="3009">
      <c r="A3009" s="3" t="s">
        <f>=HYPERLINK("https://mp39851918.megaplan.ua/deals/101406/card/","17117")</f>
      </c>
      <c r="B3009" s="3" t="inlineStr">
        <is>
          <t>113-3241768-8685009</t>
        </is>
      </c>
      <c r="C3009" s="3" t="inlineStr">
        <is>
          <t>RockyMountain</t>
        </is>
      </c>
    </row>
    <row collapsed="false" customFormat="false" customHeight="false" hidden="false" ht="12.1" outlineLevel="0" r="3010">
      <c r="A3010" s="3" t="s">
        <f>=HYPERLINK("https://mp39851918.megaplan.ua/deals/101407/card/","17118")</f>
      </c>
      <c r="B3010" s="3" t="inlineStr">
        <is>
          <t>112-2686282-8871427</t>
        </is>
      </c>
      <c r="C3010" s="3" t="inlineStr">
        <is>
          <t>Autodist</t>
        </is>
      </c>
    </row>
    <row collapsed="false" customFormat="false" customHeight="false" hidden="false" ht="12.1" outlineLevel="0" r="3011">
      <c r="A3011" s="3" t="s">
        <f>=HYPERLINK("https://mp39851918.megaplan.ua/deals/101414/card/","17119")</f>
      </c>
      <c r="B3011" s="3" t="inlineStr">
        <is>
          <t>111-3774772-2557828</t>
        </is>
      </c>
      <c r="C3011" s="3" t="inlineStr">
        <is>
          <t>TuckerRocky</t>
        </is>
      </c>
    </row>
    <row collapsed="false" customFormat="false" customHeight="false" hidden="false" ht="12.1" outlineLevel="0" r="3012">
      <c r="A3012" s="3" t="s">
        <f>=HYPERLINK("https://mp39851918.megaplan.ua/deals/101418/card/","17121")</f>
      </c>
      <c r="B3012" s="3" t="inlineStr">
        <is>
          <t>113-1882354-6856213</t>
        </is>
      </c>
      <c r="C3012" s="3" t="inlineStr">
        <is>
          <t>TuckerRocky</t>
        </is>
      </c>
    </row>
    <row collapsed="false" customFormat="false" customHeight="false" hidden="false" ht="12.1" outlineLevel="0" r="3013">
      <c r="A3013" s="3" t="s">
        <f>=HYPERLINK("https://mp39851918.megaplan.ua/deals/101447/card/","17123")</f>
      </c>
      <c r="B3013" s="3" t="inlineStr">
        <is>
          <t>113-5188532-9519445</t>
        </is>
      </c>
      <c r="C3013" s="3" t="inlineStr">
        <is>
          <t>TuckerRocky</t>
        </is>
      </c>
    </row>
    <row collapsed="false" customFormat="false" customHeight="false" hidden="false" ht="12.1" outlineLevel="0" r="3014">
      <c r="A3014" s="3" t="s">
        <f>=HYPERLINK("https://mp39851918.megaplan.ua/deals/101454/card/","17124")</f>
      </c>
      <c r="B3014" s="3" t="inlineStr">
        <is>
          <t>113-5468899-2473068</t>
        </is>
      </c>
      <c r="C3014" s="3" t="inlineStr">
        <is>
          <t>PartsUnlimited</t>
        </is>
      </c>
    </row>
    <row collapsed="false" customFormat="false" customHeight="false" hidden="false" ht="12.1" outlineLevel="0" r="3015">
      <c r="A3015" s="3" t="s">
        <f>=HYPERLINK("https://mp39851918.megaplan.ua/deals/101473/card/","17126")</f>
      </c>
      <c r="B3015" s="3" t="inlineStr">
        <is>
          <t>114-0568423-7470653</t>
        </is>
      </c>
      <c r="C3015" s="3" t="inlineStr">
        <is>
          <t>Autodist</t>
        </is>
      </c>
    </row>
    <row collapsed="false" customFormat="false" customHeight="false" hidden="false" ht="12.1" outlineLevel="0" r="3016">
      <c r="A3016" s="3" t="s">
        <f>=HYPERLINK("https://mp39851918.megaplan.ua/deals/101474/card/","17127")</f>
      </c>
      <c r="B3016" s="3" t="inlineStr">
        <is>
          <t>113-6061621-0490646</t>
        </is>
      </c>
      <c r="C3016" s="3" t="inlineStr">
        <is>
          <t>RockyMountain</t>
        </is>
      </c>
    </row>
    <row collapsed="false" customFormat="false" customHeight="false" hidden="false" ht="12.1" outlineLevel="0" r="3017">
      <c r="A3017" s="3" t="s">
        <f>=HYPERLINK("https://mp39851918.megaplan.ua/deals/101477/card/","17128")</f>
      </c>
      <c r="B3017" s="3" t="inlineStr">
        <is>
          <t>113-0069949-4858605</t>
        </is>
      </c>
      <c r="C3017" s="3" t="inlineStr">
        <is>
          <t>Autodist</t>
        </is>
      </c>
    </row>
    <row collapsed="false" customFormat="false" customHeight="false" hidden="false" ht="12.1" outlineLevel="0" r="3018">
      <c r="A3018" s="3" t="s">
        <f>=HYPERLINK("https://mp39851918.megaplan.ua/deals/101478/card/","17129")</f>
      </c>
      <c r="B3018" s="3" t="inlineStr">
        <is>
          <t>112-7329778-2031422</t>
        </is>
      </c>
      <c r="C3018" s="3" t="inlineStr">
        <is>
          <t>Autodist</t>
        </is>
      </c>
    </row>
    <row collapsed="false" customFormat="false" customHeight="false" hidden="false" ht="12.1" outlineLevel="0" r="3019">
      <c r="A3019" s="3" t="s">
        <f>=HYPERLINK("https://mp39851918.megaplan.ua/deals/101500/card/","17131")</f>
      </c>
      <c r="B3019" s="3" t="inlineStr">
        <is>
          <t>111-6853490-9622608</t>
        </is>
      </c>
      <c r="C3019" s="3" t="inlineStr">
        <is>
          <t>TuckerRocky</t>
        </is>
      </c>
    </row>
    <row collapsed="false" customFormat="false" customHeight="false" hidden="false" ht="12.1" outlineLevel="0" r="3020">
      <c r="A3020" s="3" t="s">
        <f>=HYPERLINK("https://mp39851918.megaplan.ua/deals/101502/card/","17132")</f>
      </c>
      <c r="B3020" s="3" t="inlineStr">
        <is>
          <t>111-6690998-7377840</t>
        </is>
      </c>
      <c r="C3020" s="3" t="inlineStr">
        <is>
          <t>TuckerRocky</t>
        </is>
      </c>
    </row>
    <row collapsed="false" customFormat="false" customHeight="false" hidden="false" ht="12.1" outlineLevel="0" r="3021">
      <c r="A3021" s="3" t="s">
        <f>=HYPERLINK("https://mp39851918.megaplan.ua/deals/101519/card/","17133")</f>
      </c>
      <c r="B3021" s="3" t="inlineStr">
        <is>
          <t>112-1978260-2214666</t>
        </is>
      </c>
      <c r="C3021" s="3" t="inlineStr">
        <is>
          <t>RockyMountain</t>
        </is>
      </c>
    </row>
    <row collapsed="false" customFormat="false" customHeight="false" hidden="false" ht="12.1" outlineLevel="0" r="3022">
      <c r="A3022" s="3" t="s">
        <f>=HYPERLINK("https://mp39851918.megaplan.ua/deals/101520/card/","17134")</f>
      </c>
      <c r="B3022" s="3" t="inlineStr">
        <is>
          <t>111-1180497-2220269</t>
        </is>
      </c>
      <c r="C3022" s="3" t="inlineStr">
        <is>
          <t>RockyMountain</t>
        </is>
      </c>
    </row>
    <row collapsed="false" customFormat="false" customHeight="false" hidden="false" ht="12.1" outlineLevel="0" r="3023">
      <c r="A3023" s="3" t="s">
        <f>=HYPERLINK("https://mp39851918.megaplan.ua/deals/101521/card/","17135")</f>
      </c>
      <c r="B3023" s="3" t="inlineStr">
        <is>
          <t>113-6862207-7540216</t>
        </is>
      </c>
      <c r="C3023" s="3" t="inlineStr">
        <is>
          <t>Autodist</t>
        </is>
      </c>
    </row>
    <row collapsed="false" customFormat="false" customHeight="false" hidden="false" ht="12.1" outlineLevel="0" r="3024">
      <c r="A3024" s="3" t="s">
        <f>=HYPERLINK("https://mp39851918.megaplan.ua/deals/101524/card/","17136")</f>
      </c>
      <c r="B3024" s="3" t="inlineStr">
        <is>
          <t>114-3245424-1144213</t>
        </is>
      </c>
      <c r="C3024" s="3" t="inlineStr">
        <is>
          <t>Autodist</t>
        </is>
      </c>
    </row>
    <row collapsed="false" customFormat="false" customHeight="false" hidden="false" ht="12.1" outlineLevel="0" r="3025">
      <c r="A3025" s="3" t="s">
        <f>=HYPERLINK("https://mp39851918.megaplan.ua/deals/101535/card/","17137")</f>
      </c>
      <c r="B3025" s="3" t="inlineStr">
        <is>
          <t>114-6717748-6352210</t>
        </is>
      </c>
      <c r="C3025" s="3" t="inlineStr">
        <is>
          <t>PartsUnlimited</t>
        </is>
      </c>
    </row>
    <row collapsed="false" customFormat="false" customHeight="false" hidden="false" ht="12.1" outlineLevel="0" r="3026">
      <c r="A3026" s="3" t="s">
        <f>=HYPERLINK("https://mp39851918.megaplan.ua/deals/101541/card/","17138")</f>
      </c>
      <c r="B3026" s="3" t="inlineStr">
        <is>
          <t>114-3928869-1081865</t>
        </is>
      </c>
      <c r="C3026" s="3" t="inlineStr">
        <is>
          <t>TuckerRocky</t>
        </is>
      </c>
    </row>
    <row collapsed="false" customFormat="false" customHeight="false" hidden="false" ht="12.1" outlineLevel="0" r="3027">
      <c r="A3027" s="3" t="s">
        <f>=HYPERLINK("https://mp39851918.megaplan.ua/deals/101559/card/","17139")</f>
      </c>
      <c r="B3027" s="3" t="inlineStr">
        <is>
          <t>113-7986006-6396218</t>
        </is>
      </c>
      <c r="C3027" s="3" t="inlineStr">
        <is>
          <t>RockyMountain</t>
        </is>
      </c>
    </row>
    <row collapsed="false" customFormat="false" customHeight="false" hidden="false" ht="12.1" outlineLevel="0" r="3028">
      <c r="A3028" s="3" t="s">
        <f>=HYPERLINK("https://mp39851918.megaplan.ua/deals/101560/card/","17140")</f>
      </c>
      <c r="B3028" s="3" t="inlineStr">
        <is>
          <t>114-5431221-9943452</t>
        </is>
      </c>
      <c r="C3028" s="3" t="inlineStr">
        <is>
          <t>Autodist</t>
        </is>
      </c>
    </row>
    <row collapsed="false" customFormat="false" customHeight="false" hidden="false" ht="12.1" outlineLevel="0" r="3029">
      <c r="A3029" s="3" t="s">
        <f>=HYPERLINK("https://mp39851918.megaplan.ua/deals/101568/card/","17141")</f>
      </c>
      <c r="B3029" s="3" t="inlineStr">
        <is>
          <t>114-8302530-9261012</t>
        </is>
      </c>
      <c r="C3029" s="3" t="inlineStr">
        <is>
          <t>PartsUnlimited</t>
        </is>
      </c>
    </row>
    <row collapsed="false" customFormat="false" customHeight="false" hidden="false" ht="12.1" outlineLevel="0" r="3030">
      <c r="A3030" s="3" t="s">
        <f>=HYPERLINK("https://mp39851918.megaplan.ua/deals/101576/card/","17142")</f>
      </c>
      <c r="B3030" s="3" t="inlineStr">
        <is>
          <t>112-3119406-6346614</t>
        </is>
      </c>
      <c r="C3030" s="3" t="inlineStr">
        <is>
          <t>TuckerRocky</t>
        </is>
      </c>
    </row>
    <row collapsed="false" customFormat="false" customHeight="false" hidden="false" ht="12.1" outlineLevel="0" r="3031">
      <c r="A3031" s="3" t="s">
        <f>=HYPERLINK("https://mp39851918.megaplan.ua/deals/101582/card/","17143")</f>
      </c>
      <c r="B3031" s="3" t="inlineStr">
        <is>
          <t>114-8996875-2534623</t>
        </is>
      </c>
      <c r="C3031" s="3" t="inlineStr">
        <is>
          <t>TuckerRocky</t>
        </is>
      </c>
    </row>
    <row collapsed="false" customFormat="false" customHeight="false" hidden="false" ht="12.1" outlineLevel="0" r="3032">
      <c r="A3032" s="3" t="s">
        <f>=HYPERLINK("https://mp39851918.megaplan.ua/deals/101587/card/","17145")</f>
      </c>
      <c r="B3032" s="3" t="inlineStr">
        <is>
          <t>112-0136353-8394678</t>
        </is>
      </c>
      <c r="C3032" s="3" t="inlineStr">
        <is>
          <t>TuckerRocky</t>
        </is>
      </c>
    </row>
    <row collapsed="false" customFormat="false" customHeight="false" hidden="false" ht="12.1" outlineLevel="0" r="3033">
      <c r="A3033" s="3" t="s">
        <f>=HYPERLINK("https://mp39851918.megaplan.ua/deals/101588/card/","17146")</f>
      </c>
      <c r="B3033" s="3" t="inlineStr">
        <is>
          <t>112-4058408-8655436</t>
        </is>
      </c>
      <c r="C3033" s="3" t="inlineStr">
        <is>
          <t>RockyMountain</t>
        </is>
      </c>
    </row>
    <row collapsed="false" customFormat="false" customHeight="false" hidden="false" ht="12.1" outlineLevel="0" r="3034">
      <c r="A3034" s="3" t="s">
        <f>=HYPERLINK("https://mp39851918.megaplan.ua/deals/101593/card/","17148")</f>
      </c>
      <c r="B3034" s="3" t="inlineStr">
        <is>
          <t>113-4302818-2225023</t>
        </is>
      </c>
      <c r="C3034" s="3" t="inlineStr">
        <is>
          <t>TuckerRocky</t>
        </is>
      </c>
    </row>
    <row collapsed="false" customFormat="false" customHeight="false" hidden="false" ht="12.1" outlineLevel="0" r="3035">
      <c r="A3035" s="3" t="s">
        <f>=HYPERLINK("https://mp39851918.megaplan.ua/deals/101607/card/","17149")</f>
      </c>
      <c r="B3035" s="3" t="inlineStr">
        <is>
          <t>113-0739192-4953817</t>
        </is>
      </c>
      <c r="C3035" s="3" t="inlineStr">
        <is>
          <t>Autodist</t>
        </is>
      </c>
    </row>
    <row collapsed="false" customFormat="false" customHeight="false" hidden="false" ht="12.1" outlineLevel="0" r="3036">
      <c r="A3036" s="3" t="s">
        <f>=HYPERLINK("https://mp39851918.megaplan.ua/deals/101608/card/","17150")</f>
      </c>
      <c r="B3036" s="3" t="inlineStr">
        <is>
          <t>111-2785710-8084229</t>
        </is>
      </c>
      <c r="C3036" s="3" t="inlineStr">
        <is>
          <t>RockyMountain</t>
        </is>
      </c>
    </row>
    <row collapsed="false" customFormat="false" customHeight="false" hidden="false" ht="12.1" outlineLevel="0" r="3037">
      <c r="A3037" s="3" t="s">
        <f>=HYPERLINK("https://mp39851918.megaplan.ua/deals/101609/card/","17151")</f>
      </c>
      <c r="B3037" s="3" t="inlineStr">
        <is>
          <t>112-8409188-7293039</t>
        </is>
      </c>
      <c r="C3037" s="3" t="inlineStr">
        <is>
          <t>Autodist</t>
        </is>
      </c>
    </row>
    <row collapsed="false" customFormat="false" customHeight="false" hidden="false" ht="12.1" outlineLevel="0" r="3038">
      <c r="A3038" s="3" t="s">
        <f>=HYPERLINK("https://mp39851918.megaplan.ua/deals/101610/card/","17152")</f>
      </c>
      <c r="B3038" s="3" t="inlineStr">
        <is>
          <t>113-6323478-6139423</t>
        </is>
      </c>
      <c r="C3038" s="3" t="inlineStr">
        <is>
          <t>Autodist</t>
        </is>
      </c>
    </row>
    <row collapsed="false" customFormat="false" customHeight="false" hidden="false" ht="12.1" outlineLevel="0" r="3039">
      <c r="A3039" s="3" t="s">
        <f>=HYPERLINK("https://mp39851918.megaplan.ua/deals/101611/card/","17153")</f>
      </c>
      <c r="B3039" s="3" t="inlineStr">
        <is>
          <t>113-2640741-6079448</t>
        </is>
      </c>
      <c r="C3039" s="3" t="inlineStr">
        <is>
          <t>PartsUnlimited</t>
        </is>
      </c>
    </row>
    <row collapsed="false" customFormat="false" customHeight="false" hidden="false" ht="12.1" outlineLevel="0" r="3040">
      <c r="A3040" s="3" t="s">
        <f>=HYPERLINK("https://mp39851918.megaplan.ua/deals/101612/card/","17154")</f>
      </c>
      <c r="B3040" s="3" t="inlineStr">
        <is>
          <t>113-2640741-6079448</t>
        </is>
      </c>
      <c r="C3040" s="3" t="inlineStr">
        <is>
          <t>PartsUnlimited</t>
        </is>
      </c>
    </row>
    <row collapsed="false" customFormat="false" customHeight="false" hidden="false" ht="12.1" outlineLevel="0" r="3041">
      <c r="A3041" s="3" t="s">
        <f>=HYPERLINK("https://mp39851918.megaplan.ua/deals/101614/card/","17155")</f>
      </c>
      <c r="B3041" s="3" t="inlineStr">
        <is>
          <t>111-6168274-2420220</t>
        </is>
      </c>
      <c r="C3041" s="3" t="inlineStr">
        <is>
          <t>PartsUnlimited</t>
        </is>
      </c>
    </row>
    <row collapsed="false" customFormat="false" customHeight="false" hidden="false" ht="12.1" outlineLevel="0" r="3042">
      <c r="A3042" s="3" t="s">
        <f>=HYPERLINK("https://mp39851918.megaplan.ua/deals/101619/card/","17157")</f>
      </c>
      <c r="B3042" s="3" t="inlineStr">
        <is>
          <t>111-1946073-0733050</t>
        </is>
      </c>
      <c r="C3042" s="3" t="inlineStr">
        <is>
          <t>TuckerRocky</t>
        </is>
      </c>
    </row>
    <row collapsed="false" customFormat="false" customHeight="false" hidden="false" ht="12.1" outlineLevel="0" r="3043">
      <c r="A3043" s="3" t="s">
        <f>=HYPERLINK("https://mp39851918.megaplan.ua/deals/101620/card/","17158")</f>
      </c>
      <c r="B3043" s="3" t="inlineStr">
        <is>
          <t>111-6916086-3829853</t>
        </is>
      </c>
      <c r="C3043" s="3" t="inlineStr">
        <is>
          <t>Autodist</t>
        </is>
      </c>
    </row>
    <row collapsed="false" customFormat="false" customHeight="false" hidden="false" ht="12.1" outlineLevel="0" r="3044">
      <c r="A3044" s="3" t="s">
        <f>=HYPERLINK("https://mp39851918.megaplan.ua/deals/101621/card/","17159")</f>
      </c>
      <c r="B3044" s="3" t="inlineStr">
        <is>
          <t>113-9831454-4721805</t>
        </is>
      </c>
      <c r="C3044" s="3" t="inlineStr">
        <is>
          <t>RockyMountain</t>
        </is>
      </c>
    </row>
    <row collapsed="false" customFormat="false" customHeight="false" hidden="false" ht="12.1" outlineLevel="0" r="3045">
      <c r="A3045" s="3" t="s">
        <f>=HYPERLINK("https://mp39851918.megaplan.ua/deals/101624/card/","17160")</f>
      </c>
      <c r="B3045" s="3" t="inlineStr">
        <is>
          <t>112-9209430-6777052</t>
        </is>
      </c>
      <c r="C3045" s="3" t="inlineStr">
        <is>
          <t>TuckerRocky</t>
        </is>
      </c>
    </row>
    <row collapsed="false" customFormat="false" customHeight="false" hidden="false" ht="12.1" outlineLevel="0" r="3046">
      <c r="A3046" s="3" t="s">
        <f>=HYPERLINK("https://mp39851918.megaplan.ua/deals/101627/card/","17162")</f>
      </c>
      <c r="B3046" s="3" t="inlineStr">
        <is>
          <t>114-2222996-1225029</t>
        </is>
      </c>
      <c r="C3046" s="3" t="inlineStr">
        <is>
          <t>RockyMountain</t>
        </is>
      </c>
    </row>
    <row collapsed="false" customFormat="false" customHeight="false" hidden="false" ht="12.1" outlineLevel="0" r="3047">
      <c r="A3047" s="3" t="s">
        <f>=HYPERLINK("https://mp39851918.megaplan.ua/deals/101628/card/","17163")</f>
      </c>
      <c r="B3047" s="3" t="inlineStr">
        <is>
          <t>114-9457836-6817844</t>
        </is>
      </c>
      <c r="C3047" s="3" t="inlineStr">
        <is>
          <t>RockyMountain</t>
        </is>
      </c>
    </row>
    <row collapsed="false" customFormat="false" customHeight="false" hidden="false" ht="12.1" outlineLevel="0" r="3048">
      <c r="A3048" s="3" t="s">
        <f>=HYPERLINK("https://mp39851918.megaplan.ua/deals/101629/card/","17164")</f>
      </c>
      <c r="B3048" s="3" t="inlineStr">
        <is>
          <t>113-4334370-3009825</t>
        </is>
      </c>
      <c r="C3048" s="3" t="inlineStr">
        <is>
          <t>RockyMountain</t>
        </is>
      </c>
    </row>
    <row collapsed="false" customFormat="false" customHeight="false" hidden="false" ht="12.1" outlineLevel="0" r="3049">
      <c r="A3049" s="3" t="s">
        <f>=HYPERLINK("https://mp39851918.megaplan.ua/deals/101630/card/","17165")</f>
      </c>
      <c r="B3049" s="3" t="inlineStr">
        <is>
          <t>114-6714032-7852236</t>
        </is>
      </c>
      <c r="C3049" s="3" t="inlineStr">
        <is>
          <t>RockyMountain</t>
        </is>
      </c>
    </row>
    <row collapsed="false" customFormat="false" customHeight="false" hidden="false" ht="12.1" outlineLevel="0" r="3050">
      <c r="A3050" s="3" t="s">
        <f>=HYPERLINK("https://mp39851918.megaplan.ua/deals/101634/card/","17166")</f>
      </c>
      <c r="B3050" s="3" t="inlineStr">
        <is>
          <t>111-3308518-1721845</t>
        </is>
      </c>
      <c r="C3050" s="3" t="inlineStr">
        <is>
          <t>RockyMountain</t>
        </is>
      </c>
    </row>
    <row collapsed="false" customFormat="false" customHeight="false" hidden="false" ht="12.1" outlineLevel="0" r="3051">
      <c r="A3051" s="3" t="s">
        <f>=HYPERLINK("https://mp39851918.megaplan.ua/deals/101635/card/","17167")</f>
      </c>
      <c r="B3051" s="3" t="inlineStr">
        <is>
          <t>111-3742187-9515400</t>
        </is>
      </c>
      <c r="C3051" s="3" t="inlineStr">
        <is>
          <t>RockyMountain</t>
        </is>
      </c>
    </row>
    <row collapsed="false" customFormat="false" customHeight="false" hidden="false" ht="12.1" outlineLevel="0" r="3052">
      <c r="A3052" s="3" t="s">
        <f>=HYPERLINK("https://mp39851918.megaplan.ua/deals/101636/card/","17168")</f>
      </c>
      <c r="B3052" s="3" t="inlineStr">
        <is>
          <t>112-2491486-9365859</t>
        </is>
      </c>
      <c r="C3052" s="3" t="inlineStr">
        <is>
          <t>RockyMountain</t>
        </is>
      </c>
    </row>
    <row collapsed="false" customFormat="false" customHeight="false" hidden="false" ht="12.1" outlineLevel="0" r="3053">
      <c r="A3053" s="3" t="s">
        <f>=HYPERLINK("https://mp39851918.megaplan.ua/deals/101639/card/","17170")</f>
      </c>
      <c r="B3053" s="3" t="inlineStr">
        <is>
          <t>113-4198782-9465016</t>
        </is>
      </c>
      <c r="C3053" s="3" t="inlineStr">
        <is>
          <t>RockyMountain</t>
        </is>
      </c>
    </row>
    <row collapsed="false" customFormat="false" customHeight="false" hidden="false" ht="12.1" outlineLevel="0" r="3054">
      <c r="A3054" s="3" t="s">
        <f>=HYPERLINK("https://mp39851918.megaplan.ua/deals/101644/card/","17171")</f>
      </c>
      <c r="B3054" s="3" t="inlineStr">
        <is>
          <t>113-3270292-9061006</t>
        </is>
      </c>
      <c r="C3054" s="3" t="inlineStr">
        <is>
          <t>Autodist</t>
        </is>
      </c>
    </row>
    <row collapsed="false" customFormat="false" customHeight="false" hidden="false" ht="12.1" outlineLevel="0" r="3055">
      <c r="A3055" s="3" t="s">
        <f>=HYPERLINK("https://mp39851918.megaplan.ua/deals/101692/card/","17174")</f>
      </c>
      <c r="B3055" s="3" t="inlineStr">
        <is>
          <t>112-9843038-0457024</t>
        </is>
      </c>
      <c r="C3055" s="3" t="inlineStr">
        <is>
          <t>TuckerRocky</t>
        </is>
      </c>
    </row>
    <row collapsed="false" customFormat="false" customHeight="false" hidden="false" ht="12.1" outlineLevel="0" r="3056">
      <c r="A3056" s="3" t="s">
        <f>=HYPERLINK("https://mp39851918.megaplan.ua/deals/101698/card/","17175")</f>
      </c>
      <c r="B3056" s="3" t="inlineStr">
        <is>
          <t>114-2200725-7049811</t>
        </is>
      </c>
      <c r="C3056" s="3" t="inlineStr">
        <is>
          <t>Autodist</t>
        </is>
      </c>
    </row>
    <row collapsed="false" customFormat="false" customHeight="false" hidden="false" ht="12.1" outlineLevel="0" r="3057">
      <c r="A3057" s="3" t="s">
        <f>=HYPERLINK("https://mp39851918.megaplan.ua/deals/101699/card/","17176")</f>
      </c>
      <c r="B3057" s="3" t="inlineStr">
        <is>
          <t>114-3394329-9257000</t>
        </is>
      </c>
      <c r="C3057" s="3" t="inlineStr">
        <is>
          <t>Autodist</t>
        </is>
      </c>
    </row>
    <row collapsed="false" customFormat="false" customHeight="false" hidden="false" ht="12.1" outlineLevel="0" r="3058">
      <c r="A3058" s="3" t="s">
        <f>=HYPERLINK("https://mp39851918.megaplan.ua/deals/101707/card/","17177")</f>
      </c>
      <c r="B3058" s="3" t="inlineStr">
        <is>
          <t>111-9845506-8822646</t>
        </is>
      </c>
      <c r="C3058" s="3" t="inlineStr">
        <is>
          <t>PartsUnlimited</t>
        </is>
      </c>
    </row>
    <row collapsed="false" customFormat="false" customHeight="false" hidden="false" ht="12.1" outlineLevel="0" r="3059">
      <c r="A3059" s="3" t="s">
        <f>=HYPERLINK("https://mp39851918.megaplan.ua/deals/101710/card/","17178")</f>
      </c>
      <c r="B3059" s="3" t="inlineStr">
        <is>
          <t>114-8056834-4561002</t>
        </is>
      </c>
      <c r="C3059" s="3" t="inlineStr">
        <is>
          <t>RockyMountain</t>
        </is>
      </c>
    </row>
    <row collapsed="false" customFormat="false" customHeight="false" hidden="false" ht="12.1" outlineLevel="0" r="3060">
      <c r="A3060" s="3" t="s">
        <f>=HYPERLINK("https://mp39851918.megaplan.ua/deals/101720/card/","17179")</f>
      </c>
      <c r="B3060" s="3" t="inlineStr">
        <is>
          <t>114-1420658-1953835</t>
        </is>
      </c>
      <c r="C3060" s="3" t="inlineStr">
        <is>
          <t>TuckerRocky</t>
        </is>
      </c>
    </row>
    <row collapsed="false" customFormat="false" customHeight="false" hidden="false" ht="12.1" outlineLevel="0" r="3061">
      <c r="A3061" s="3" t="s">
        <f>=HYPERLINK("https://mp39851918.megaplan.ua/deals/101732/card/","17180")</f>
      </c>
      <c r="B3061" s="3" t="inlineStr">
        <is>
          <t>112-2234035-0670615</t>
        </is>
      </c>
      <c r="C3061" s="3" t="inlineStr">
        <is>
          <t>TuckerRocky</t>
        </is>
      </c>
    </row>
    <row collapsed="false" customFormat="false" customHeight="false" hidden="false" ht="12.1" outlineLevel="0" r="3062">
      <c r="A3062" s="3" t="s">
        <f>=HYPERLINK("https://mp39851918.megaplan.ua/deals/101740/card/","17181")</f>
      </c>
      <c r="B3062" s="3" t="inlineStr">
        <is>
          <t>111-5657155-6613840</t>
        </is>
      </c>
      <c r="C3062" s="3" t="inlineStr">
        <is>
          <t>RockyMountain</t>
        </is>
      </c>
    </row>
    <row collapsed="false" customFormat="false" customHeight="false" hidden="false" ht="12.1" outlineLevel="0" r="3063">
      <c r="A3063" s="3" t="s">
        <f>=HYPERLINK("https://mp39851918.megaplan.ua/deals/101748/card/","17183")</f>
      </c>
      <c r="B3063" s="3" t="inlineStr">
        <is>
          <t>114-7821276-7250615</t>
        </is>
      </c>
      <c r="C3063" s="3" t="inlineStr">
        <is>
          <t>PartsUnlimited</t>
        </is>
      </c>
    </row>
    <row collapsed="false" customFormat="false" customHeight="false" hidden="false" ht="12.1" outlineLevel="0" r="3064">
      <c r="A3064" s="3" t="s">
        <f>=HYPERLINK("https://mp39851918.megaplan.ua/deals/101754/card/","17184")</f>
      </c>
      <c r="B3064" s="3" t="inlineStr">
        <is>
          <t>113-2130194-6579420</t>
        </is>
      </c>
      <c r="C3064" s="3" t="inlineStr">
        <is>
          <t>Autodist</t>
        </is>
      </c>
    </row>
    <row collapsed="false" customFormat="false" customHeight="false" hidden="false" ht="12.1" outlineLevel="0" r="3065">
      <c r="A3065" s="3" t="s">
        <f>=HYPERLINK("https://mp39851918.megaplan.ua/deals/101756/card/","17185")</f>
      </c>
      <c r="B3065" s="3" t="inlineStr">
        <is>
          <t>114-1127115-8705804</t>
        </is>
      </c>
      <c r="C3065" s="3" t="inlineStr">
        <is>
          <t>Autodist</t>
        </is>
      </c>
    </row>
    <row collapsed="false" customFormat="false" customHeight="false" hidden="false" ht="12.1" outlineLevel="0" r="3066">
      <c r="A3066" s="3" t="s">
        <f>=HYPERLINK("https://mp39851918.megaplan.ua/deals/101762/card/","17186")</f>
      </c>
      <c r="B3066" s="3" t="inlineStr">
        <is>
          <t>114-7822411-6832254</t>
        </is>
      </c>
      <c r="C3066" s="3" t="inlineStr">
        <is>
          <t>RockyMountain</t>
        </is>
      </c>
    </row>
    <row collapsed="false" customFormat="false" customHeight="false" hidden="false" ht="12.1" outlineLevel="0" r="3067">
      <c r="A3067" s="3" t="s">
        <f>=HYPERLINK("https://mp39851918.megaplan.ua/deals/101776/card/","17187")</f>
      </c>
      <c r="B3067" s="3" t="inlineStr">
        <is>
          <t>114-0912963-3768215</t>
        </is>
      </c>
      <c r="C3067" s="3" t="inlineStr">
        <is>
          <t>TuckerRocky</t>
        </is>
      </c>
    </row>
    <row collapsed="false" customFormat="false" customHeight="false" hidden="false" ht="12.1" outlineLevel="0" r="3068">
      <c r="A3068" s="3" t="s">
        <f>=HYPERLINK("https://mp39851918.megaplan.ua/deals/101777/card/","17188")</f>
      </c>
      <c r="B3068" s="3" t="inlineStr">
        <is>
          <t>113-0862924-3990628</t>
        </is>
      </c>
      <c r="C3068" s="3" t="inlineStr">
        <is>
          <t>TuckerRocky</t>
        </is>
      </c>
    </row>
    <row collapsed="false" customFormat="false" customHeight="false" hidden="false" ht="12.1" outlineLevel="0" r="3069">
      <c r="A3069" s="3" t="s">
        <f>=HYPERLINK("https://mp39851918.megaplan.ua/deals/101779/card/","17189")</f>
      </c>
      <c r="B3069" s="3" t="inlineStr">
        <is>
          <t>113-6523897-1498643</t>
        </is>
      </c>
      <c r="C3069" s="3" t="inlineStr">
        <is>
          <t>PartsUnlimited</t>
        </is>
      </c>
    </row>
    <row collapsed="false" customFormat="false" customHeight="false" hidden="false" ht="12.1" outlineLevel="0" r="3070">
      <c r="A3070" s="3" t="s">
        <f>=HYPERLINK("https://mp39851918.megaplan.ua/deals/101781/card/","17190")</f>
      </c>
      <c r="B3070" s="3" t="inlineStr">
        <is>
          <t>114-7495890-3669800</t>
        </is>
      </c>
      <c r="C3070" s="3" t="inlineStr">
        <is>
          <t>Autodist</t>
        </is>
      </c>
    </row>
    <row collapsed="false" customFormat="false" customHeight="false" hidden="false" ht="12.1" outlineLevel="0" r="3071">
      <c r="A3071" s="3" t="s">
        <f>=HYPERLINK("https://mp39851918.megaplan.ua/deals/101782/card/","17191")</f>
      </c>
      <c r="B3071" s="3" t="inlineStr">
        <is>
          <t>114-2161197-4475450</t>
        </is>
      </c>
      <c r="C3071" s="3" t="inlineStr">
        <is>
          <t>TuckerRocky</t>
        </is>
      </c>
    </row>
    <row collapsed="false" customFormat="false" customHeight="false" hidden="false" ht="12.1" outlineLevel="0" r="3072">
      <c r="A3072" s="3" t="s">
        <f>=HYPERLINK("https://mp39851918.megaplan.ua/deals/101783/card/","17192")</f>
      </c>
      <c r="B3072" s="3" t="inlineStr">
        <is>
          <t>114-2907478-3670632</t>
        </is>
      </c>
      <c r="C3072" s="3" t="inlineStr">
        <is>
          <t>TuckerRocky</t>
        </is>
      </c>
    </row>
    <row collapsed="false" customFormat="false" customHeight="false" hidden="false" ht="12.1" outlineLevel="0" r="3073">
      <c r="A3073" s="3" t="s">
        <f>=HYPERLINK("https://mp39851918.megaplan.ua/deals/101803/card/","17193")</f>
      </c>
      <c r="B3073" s="3" t="inlineStr">
        <is>
          <t>111-3330678-4319411</t>
        </is>
      </c>
      <c r="C3073" s="3" t="inlineStr">
        <is>
          <t>RockyMountain</t>
        </is>
      </c>
    </row>
    <row collapsed="false" customFormat="false" customHeight="false" hidden="false" ht="12.1" outlineLevel="0" r="3074">
      <c r="A3074" s="3" t="s">
        <f>=HYPERLINK("https://mp39851918.megaplan.ua/deals/101811/card/","17194")</f>
      </c>
      <c r="B3074" s="3" t="inlineStr">
        <is>
          <t>113-8025380-7980212</t>
        </is>
      </c>
      <c r="C3074" s="3" t="inlineStr">
        <is>
          <t>Autodist</t>
        </is>
      </c>
    </row>
    <row collapsed="false" customFormat="false" customHeight="false" hidden="false" ht="12.1" outlineLevel="0" r="3075">
      <c r="A3075" s="3" t="s">
        <f>=HYPERLINK("https://mp39851918.megaplan.ua/deals/101829/card/","17195")</f>
      </c>
      <c r="B3075" s="3" t="inlineStr">
        <is>
          <t>113-3035286-6252264</t>
        </is>
      </c>
      <c r="C3075" s="3" t="inlineStr">
        <is>
          <t>Autodist</t>
        </is>
      </c>
    </row>
    <row collapsed="false" customFormat="false" customHeight="false" hidden="false" ht="12.1" outlineLevel="0" r="3076">
      <c r="A3076" s="3" t="s">
        <f>=HYPERLINK("https://mp39851918.megaplan.ua/deals/101834/card/","17196")</f>
      </c>
      <c r="B3076" s="3" t="inlineStr">
        <is>
          <t>113-0576501-0356246</t>
        </is>
      </c>
      <c r="C3076" s="3" t="inlineStr">
        <is>
          <t>Autodist</t>
        </is>
      </c>
    </row>
    <row collapsed="false" customFormat="false" customHeight="false" hidden="false" ht="12.1" outlineLevel="0" r="3077">
      <c r="A3077" s="3" t="s">
        <f>=HYPERLINK("https://mp39851918.megaplan.ua/deals/101841/card/","17197")</f>
      </c>
      <c r="B3077" s="3" t="inlineStr">
        <is>
          <t>114-0770800-8427408</t>
        </is>
      </c>
      <c r="C3077" s="3" t="inlineStr">
        <is>
          <t>RockyMountain</t>
        </is>
      </c>
    </row>
    <row collapsed="false" customFormat="false" customHeight="false" hidden="false" ht="12.1" outlineLevel="0" r="3078">
      <c r="A3078" s="3" t="s">
        <f>=HYPERLINK("https://mp39851918.megaplan.ua/deals/101853/card/","17200")</f>
      </c>
      <c r="B3078" s="3" t="inlineStr">
        <is>
          <t>112-4737016-2801821</t>
        </is>
      </c>
      <c r="C3078" s="3" t="inlineStr">
        <is>
          <t>Autodist</t>
        </is>
      </c>
    </row>
    <row collapsed="false" customFormat="false" customHeight="false" hidden="false" ht="12.1" outlineLevel="0" r="3079">
      <c r="A3079" s="3" t="s">
        <f>=HYPERLINK("https://mp39851918.megaplan.ua/deals/101854/card/","17201")</f>
      </c>
      <c r="B3079" s="3" t="inlineStr">
        <is>
          <t>111-1014704-9505822</t>
        </is>
      </c>
      <c r="C3079" s="3" t="inlineStr">
        <is>
          <t>TuckerRocky</t>
        </is>
      </c>
    </row>
    <row collapsed="false" customFormat="false" customHeight="false" hidden="false" ht="12.1" outlineLevel="0" r="3080">
      <c r="A3080" s="3" t="s">
        <f>=HYPERLINK("https://mp39851918.megaplan.ua/deals/101874/card/","17202")</f>
      </c>
      <c r="B3080" s="3" t="inlineStr">
        <is>
          <t>112-1336374-6328264</t>
        </is>
      </c>
      <c r="C3080" s="3" t="inlineStr">
        <is>
          <t>TuckerRocky</t>
        </is>
      </c>
    </row>
    <row collapsed="false" customFormat="false" customHeight="false" hidden="false" ht="12.1" outlineLevel="0" r="3081">
      <c r="A3081" s="3" t="s">
        <f>=HYPERLINK("https://mp39851918.megaplan.ua/deals/101879/card/","17203")</f>
      </c>
      <c r="B3081" s="3" t="inlineStr">
        <is>
          <t>111-3944445-1826656</t>
        </is>
      </c>
      <c r="C3081" s="3" t="inlineStr">
        <is>
          <t>Autodist</t>
        </is>
      </c>
    </row>
    <row collapsed="false" customFormat="false" customHeight="false" hidden="false" ht="12.1" outlineLevel="0" r="3082">
      <c r="A3082" s="3" t="s">
        <f>=HYPERLINK("https://mp39851918.megaplan.ua/deals/101882/card/","17204")</f>
      </c>
      <c r="B3082" s="3" t="inlineStr">
        <is>
          <t>114-3843287-0049047</t>
        </is>
      </c>
      <c r="C3082" s="3" t="inlineStr">
        <is>
          <t>TuckerRocky</t>
        </is>
      </c>
    </row>
    <row collapsed="false" customFormat="false" customHeight="false" hidden="false" ht="12.1" outlineLevel="0" r="3083">
      <c r="A3083" s="3" t="s">
        <f>=HYPERLINK("https://mp39851918.megaplan.ua/deals/101885/card/","17205")</f>
      </c>
      <c r="B3083" s="3" t="inlineStr">
        <is>
          <t>114-6835346-8654636</t>
        </is>
      </c>
      <c r="C3083" s="3" t="inlineStr">
        <is>
          <t>PartsUnlimited</t>
        </is>
      </c>
    </row>
    <row collapsed="false" customFormat="false" customHeight="false" hidden="false" ht="12.1" outlineLevel="0" r="3084">
      <c r="A3084" s="3" t="s">
        <f>=HYPERLINK("https://mp39851918.megaplan.ua/deals/101901/card/","17207")</f>
      </c>
      <c r="B3084" s="3" t="inlineStr">
        <is>
          <t>112-8317329-4599407</t>
        </is>
      </c>
      <c r="C3084" s="3" t="inlineStr">
        <is>
          <t>PartsUnlimited</t>
        </is>
      </c>
    </row>
    <row collapsed="false" customFormat="false" customHeight="false" hidden="false" ht="12.1" outlineLevel="0" r="3085">
      <c r="A3085" s="3" t="s">
        <f>=HYPERLINK("https://mp39851918.megaplan.ua/deals/101928/card/","17209")</f>
      </c>
      <c r="B3085" s="3" t="inlineStr">
        <is>
          <t>113-4401677-1245832</t>
        </is>
      </c>
      <c r="C3085" s="3" t="inlineStr">
        <is>
          <t>TuckerRocky</t>
        </is>
      </c>
    </row>
    <row collapsed="false" customFormat="false" customHeight="false" hidden="false" ht="12.1" outlineLevel="0" r="3086">
      <c r="A3086" s="3" t="s">
        <f>=HYPERLINK("https://mp39851918.megaplan.ua/deals/101930/card/","17210")</f>
      </c>
      <c r="B3086" s="3" t="inlineStr">
        <is>
          <t>113-7049255-4495451</t>
        </is>
      </c>
      <c r="C3086" s="3" t="inlineStr">
        <is>
          <t>PartsUnlimited</t>
        </is>
      </c>
    </row>
    <row collapsed="false" customFormat="false" customHeight="false" hidden="false" ht="12.1" outlineLevel="0" r="3087">
      <c r="A3087" s="3" t="s">
        <f>=HYPERLINK("https://mp39851918.megaplan.ua/deals/101938/card/","17211")</f>
      </c>
      <c r="B3087" s="3" t="inlineStr">
        <is>
          <t>111-2189931-7337846</t>
        </is>
      </c>
      <c r="C3087" s="3" t="inlineStr">
        <is>
          <t>TuckerRocky</t>
        </is>
      </c>
    </row>
    <row collapsed="false" customFormat="false" customHeight="false" hidden="false" ht="12.1" outlineLevel="0" r="3088">
      <c r="A3088" s="3" t="s">
        <f>=HYPERLINK("https://mp39851918.megaplan.ua/deals/101946/card/","17213")</f>
      </c>
      <c r="B3088" s="3" t="inlineStr">
        <is>
          <t>114-9095830-7686660</t>
        </is>
      </c>
      <c r="C3088" s="3" t="inlineStr">
        <is>
          <t>PartsUnlimited</t>
        </is>
      </c>
    </row>
    <row collapsed="false" customFormat="false" customHeight="false" hidden="false" ht="12.1" outlineLevel="0" r="3089">
      <c r="A3089" s="3" t="s">
        <f>=HYPERLINK("https://mp39851918.megaplan.ua/deals/101947/card/","17214")</f>
      </c>
      <c r="B3089" s="3" t="inlineStr">
        <is>
          <t>113-4286875-2748220</t>
        </is>
      </c>
      <c r="C3089" s="3" t="inlineStr">
        <is>
          <t>TuckerRocky</t>
        </is>
      </c>
    </row>
    <row collapsed="false" customFormat="false" customHeight="false" hidden="false" ht="12.1" outlineLevel="0" r="3090">
      <c r="A3090" s="3" t="s">
        <f>=HYPERLINK("https://mp39851918.megaplan.ua/deals/101948/card/","17215")</f>
      </c>
      <c r="B3090" s="3" t="inlineStr">
        <is>
          <t>114-1419143-9393851</t>
        </is>
      </c>
      <c r="C3090" s="3" t="inlineStr">
        <is>
          <t>Autodist</t>
        </is>
      </c>
    </row>
    <row collapsed="false" customFormat="false" customHeight="false" hidden="false" ht="12.1" outlineLevel="0" r="3091">
      <c r="A3091" s="3" t="s">
        <f>=HYPERLINK("https://mp39851918.megaplan.ua/deals/101949/card/","17216")</f>
      </c>
      <c r="B3091" s="3" t="inlineStr">
        <is>
          <t>113-5779364-0673855</t>
        </is>
      </c>
      <c r="C3091" s="3" t="inlineStr">
        <is>
          <t>PartsUnlimited</t>
        </is>
      </c>
    </row>
    <row collapsed="false" customFormat="false" customHeight="false" hidden="false" ht="12.1" outlineLevel="0" r="3092">
      <c r="A3092" s="3" t="s">
        <f>=HYPERLINK("https://mp39851918.megaplan.ua/deals/101977/card/","17220")</f>
      </c>
      <c r="B3092" s="3" t="inlineStr">
        <is>
          <t>112-1393009-8353842</t>
        </is>
      </c>
      <c r="C3092" s="3" t="inlineStr">
        <is>
          <t>PartsUnlimited</t>
        </is>
      </c>
    </row>
    <row collapsed="false" customFormat="false" customHeight="false" hidden="false" ht="12.1" outlineLevel="0" r="3093">
      <c r="A3093" s="3" t="s">
        <f>=HYPERLINK("https://mp39851918.megaplan.ua/deals/101982/card/","17221")</f>
      </c>
      <c r="B3093" s="3" t="inlineStr">
        <is>
          <t>111-1427350-4651462</t>
        </is>
      </c>
      <c r="C3093" s="3" t="inlineStr">
        <is>
          <t>Autodist</t>
        </is>
      </c>
    </row>
    <row collapsed="false" customFormat="false" customHeight="false" hidden="false" ht="12.1" outlineLevel="0" r="3094">
      <c r="A3094" s="3" t="s">
        <f>=HYPERLINK("https://mp39851918.megaplan.ua/deals/101990/card/","17224")</f>
      </c>
      <c r="B3094" s="3" t="inlineStr">
        <is>
          <t>113-8312877-7529812</t>
        </is>
      </c>
      <c r="C3094" s="3" t="inlineStr">
        <is>
          <t>PartsUnlimited</t>
        </is>
      </c>
    </row>
    <row collapsed="false" customFormat="false" customHeight="false" hidden="false" ht="12.1" outlineLevel="0" r="3095">
      <c r="A3095" s="3" t="s">
        <f>=HYPERLINK("https://mp39851918.megaplan.ua/deals/101991/card/","17225")</f>
      </c>
      <c r="B3095" s="3" t="inlineStr">
        <is>
          <t>111-3163674-5656239</t>
        </is>
      </c>
      <c r="C3095" s="3" t="inlineStr">
        <is>
          <t>RockyMountain</t>
        </is>
      </c>
    </row>
    <row collapsed="false" customFormat="false" customHeight="false" hidden="false" ht="12.1" outlineLevel="0" r="3096">
      <c r="A3096" s="3" t="s">
        <f>=HYPERLINK("https://mp39851918.megaplan.ua/deals/101993/card/","17226")</f>
      </c>
      <c r="B3096" s="3" t="inlineStr">
        <is>
          <t>114-7360380-1965064</t>
        </is>
      </c>
      <c r="C3096" s="3" t="inlineStr">
        <is>
          <t>PartsUnlimited</t>
        </is>
      </c>
    </row>
    <row collapsed="false" customFormat="false" customHeight="false" hidden="false" ht="12.1" outlineLevel="0" r="3097">
      <c r="A3097" s="3" t="s">
        <f>=HYPERLINK("https://mp39851918.megaplan.ua/deals/102000/card/","17227")</f>
      </c>
      <c r="B3097" s="3" t="inlineStr">
        <is>
          <t>114-9795804-4177009</t>
        </is>
      </c>
      <c r="C3097" s="3" t="inlineStr">
        <is>
          <t>PartsUnlimited</t>
        </is>
      </c>
    </row>
    <row collapsed="false" customFormat="false" customHeight="false" hidden="false" ht="12.1" outlineLevel="0" r="3098">
      <c r="A3098" s="3" t="s">
        <f>=HYPERLINK("https://mp39851918.megaplan.ua/deals/102001/card/","17228")</f>
      </c>
      <c r="B3098" s="3" t="inlineStr">
        <is>
          <t>112-6986799-3351409</t>
        </is>
      </c>
      <c r="C3098" s="3" t="inlineStr">
        <is>
          <t>RockyMountain</t>
        </is>
      </c>
    </row>
    <row collapsed="false" customFormat="false" customHeight="false" hidden="false" ht="12.1" outlineLevel="0" r="3099">
      <c r="A3099" s="3" t="s">
        <f>=HYPERLINK("https://mp39851918.megaplan.ua/deals/102012/card/","17229")</f>
      </c>
      <c r="B3099" s="3" t="inlineStr">
        <is>
          <t>113-8109532-7373066</t>
        </is>
      </c>
      <c r="C3099" s="3" t="inlineStr">
        <is>
          <t>PartsUnlimited</t>
        </is>
      </c>
    </row>
    <row collapsed="false" customFormat="false" customHeight="false" hidden="false" ht="12.1" outlineLevel="0" r="3100">
      <c r="A3100" s="3" t="s">
        <f>=HYPERLINK("https://mp39851918.megaplan.ua/deals/102014/card/","17230")</f>
      </c>
      <c r="B3100" s="3" t="inlineStr">
        <is>
          <t>112-8971188-8940243</t>
        </is>
      </c>
      <c r="C3100" s="3" t="inlineStr">
        <is>
          <t>TuckerRocky</t>
        </is>
      </c>
    </row>
    <row collapsed="false" customFormat="false" customHeight="false" hidden="false" ht="12.1" outlineLevel="0" r="3101">
      <c r="A3101" s="3" t="s">
        <f>=HYPERLINK("https://mp39851918.megaplan.ua/deals/102015/card/","17231")</f>
      </c>
      <c r="B3101" s="3" t="inlineStr">
        <is>
          <t>114-3257556-8685064</t>
        </is>
      </c>
      <c r="C3101" s="3" t="inlineStr">
        <is>
          <t>Autodist</t>
        </is>
      </c>
    </row>
    <row collapsed="false" customFormat="false" customHeight="false" hidden="false" ht="12.1" outlineLevel="0" r="3102">
      <c r="A3102" s="3" t="s">
        <f>=HYPERLINK("https://mp39851918.megaplan.ua/deals/102018/card/","17232")</f>
      </c>
      <c r="B3102" s="3" t="inlineStr">
        <is>
          <t>114-9673519-4097027</t>
        </is>
      </c>
      <c r="C3102" s="3" t="inlineStr">
        <is>
          <t>TuckerRocky</t>
        </is>
      </c>
    </row>
    <row collapsed="false" customFormat="false" customHeight="false" hidden="false" ht="12.1" outlineLevel="0" r="3103">
      <c r="A3103" s="3" t="s">
        <f>=HYPERLINK("https://mp39851918.megaplan.ua/deals/102024/card/","17233")</f>
      </c>
      <c r="B3103" s="3" t="inlineStr">
        <is>
          <t>112-3549963-1994649</t>
        </is>
      </c>
      <c r="C3103" s="3" t="inlineStr">
        <is>
          <t>TuckerRocky</t>
        </is>
      </c>
    </row>
    <row collapsed="false" customFormat="false" customHeight="false" hidden="false" ht="12.1" outlineLevel="0" r="3104">
      <c r="A3104" s="3" t="s">
        <f>=HYPERLINK("https://mp39851918.megaplan.ua/deals/102066/card/","17238")</f>
      </c>
      <c r="B3104" s="3" t="inlineStr">
        <is>
          <t>111-8673494-0190628</t>
        </is>
      </c>
      <c r="C3104" s="3" t="inlineStr">
        <is>
          <t>RockyMountain</t>
        </is>
      </c>
    </row>
    <row collapsed="false" customFormat="false" customHeight="false" hidden="false" ht="12.1" outlineLevel="0" r="3105">
      <c r="A3105" s="3" t="s">
        <f>=HYPERLINK("https://mp39851918.megaplan.ua/deals/102086/card/","17240")</f>
      </c>
      <c r="B3105" s="3" t="inlineStr">
        <is>
          <t>111-0776482-8111433</t>
        </is>
      </c>
      <c r="C3105" s="3" t="inlineStr">
        <is>
          <t>Autodist</t>
        </is>
      </c>
    </row>
    <row collapsed="false" customFormat="false" customHeight="false" hidden="false" ht="12.1" outlineLevel="0" r="3106">
      <c r="A3106" s="3" t="s">
        <f>=HYPERLINK("https://mp39851918.megaplan.ua/deals/102126/card/","17246")</f>
      </c>
      <c r="B3106" s="3" t="inlineStr">
        <is>
          <t>111-0598191-3521018</t>
        </is>
      </c>
      <c r="C3106" s="3" t="inlineStr">
        <is>
          <t>TuckerRocky</t>
        </is>
      </c>
    </row>
    <row collapsed="false" customFormat="false" customHeight="false" hidden="false" ht="12.1" outlineLevel="0" r="3107">
      <c r="A3107" s="3" t="s">
        <f>=HYPERLINK("https://mp39851918.megaplan.ua/deals/102135/card/","17247")</f>
      </c>
      <c r="B3107" s="3" t="inlineStr">
        <is>
          <t>112-1807341-7843435</t>
        </is>
      </c>
      <c r="C3107" s="3" t="inlineStr">
        <is>
          <t>PartsUnlimited</t>
        </is>
      </c>
    </row>
    <row collapsed="false" customFormat="false" customHeight="false" hidden="false" ht="12.1" outlineLevel="0" r="3108">
      <c r="A3108" s="3" t="s">
        <f>=HYPERLINK("https://mp39851918.megaplan.ua/deals/102142/card/","17248")</f>
      </c>
      <c r="B3108" s="3" t="inlineStr">
        <is>
          <t>112-7941828-2877026</t>
        </is>
      </c>
      <c r="C3108" s="3" t="inlineStr">
        <is>
          <t>Autodist</t>
        </is>
      </c>
    </row>
    <row collapsed="false" customFormat="false" customHeight="false" hidden="false" ht="12.1" outlineLevel="0" r="3109">
      <c r="A3109" s="3" t="s">
        <f>=HYPERLINK("https://mp39851918.megaplan.ua/deals/102148/card/","17249")</f>
      </c>
      <c r="B3109" s="3" t="inlineStr">
        <is>
          <t>112-1057132-5403442</t>
        </is>
      </c>
      <c r="C3109" s="3" t="inlineStr">
        <is>
          <t>Autodist</t>
        </is>
      </c>
    </row>
    <row collapsed="false" customFormat="false" customHeight="false" hidden="false" ht="12.1" outlineLevel="0" r="3110">
      <c r="A3110" s="3" t="s">
        <f>=HYPERLINK("https://mp39851918.megaplan.ua/deals/102149/card/","17250")</f>
      </c>
      <c r="B3110" s="3" t="inlineStr">
        <is>
          <t>111-1722892-0453050</t>
        </is>
      </c>
      <c r="C3110" s="3" t="inlineStr">
        <is>
          <t>Autodist</t>
        </is>
      </c>
    </row>
    <row collapsed="false" customFormat="false" customHeight="false" hidden="false" ht="12.1" outlineLevel="0" r="3111">
      <c r="A3111" s="3" t="s">
        <f>=HYPERLINK("https://mp39851918.megaplan.ua/deals/102156/card/","17252")</f>
      </c>
      <c r="B3111" s="3" t="inlineStr">
        <is>
          <t>113-9937425-6031418</t>
        </is>
      </c>
      <c r="C3111" s="3" t="inlineStr">
        <is>
          <t>PartsUnlimited</t>
        </is>
      </c>
    </row>
    <row collapsed="false" customFormat="false" customHeight="false" hidden="false" ht="12.1" outlineLevel="0" r="3112">
      <c r="A3112" s="3" t="s">
        <f>=HYPERLINK("https://mp39851918.megaplan.ua/deals/102157/card/","17253")</f>
      </c>
      <c r="B3112" s="3" t="inlineStr">
        <is>
          <t>114-3187563-7530617</t>
        </is>
      </c>
      <c r="C3112" s="3" t="inlineStr">
        <is>
          <t>PartsUnlimited</t>
        </is>
      </c>
    </row>
    <row collapsed="false" customFormat="false" customHeight="false" hidden="false" ht="12.1" outlineLevel="0" r="3113">
      <c r="A3113" s="3" t="s">
        <f>=HYPERLINK("https://mp39851918.megaplan.ua/deals/102165/card/","17255")</f>
      </c>
      <c r="B3113" s="3" t="inlineStr">
        <is>
          <t>114-1424928-3055433</t>
        </is>
      </c>
      <c r="C3113" s="3" t="inlineStr">
        <is>
          <t>TuckerRocky</t>
        </is>
      </c>
    </row>
    <row collapsed="false" customFormat="false" customHeight="false" hidden="false" ht="12.1" outlineLevel="0" r="3114">
      <c r="A3114" s="3" t="s">
        <f>=HYPERLINK("https://mp39851918.megaplan.ua/deals/102172/card/","17257")</f>
      </c>
      <c r="B3114" s="3" t="inlineStr">
        <is>
          <t>114-2507910-4104239</t>
        </is>
      </c>
      <c r="C3114" s="3" t="inlineStr">
        <is>
          <t>TuckerRocky</t>
        </is>
      </c>
    </row>
    <row collapsed="false" customFormat="false" customHeight="false" hidden="false" ht="12.1" outlineLevel="0" r="3115">
      <c r="A3115" s="3" t="s">
        <f>=HYPERLINK("https://mp39851918.megaplan.ua/deals/102182/card/","17258")</f>
      </c>
      <c r="B3115" s="3" t="inlineStr">
        <is>
          <t>111-3726762-5589869</t>
        </is>
      </c>
      <c r="C3115" s="3" t="inlineStr">
        <is>
          <t>PartsUnlimited</t>
        </is>
      </c>
    </row>
    <row collapsed="false" customFormat="false" customHeight="false" hidden="false" ht="12.1" outlineLevel="0" r="3116">
      <c r="A3116" s="3" t="s">
        <f>=HYPERLINK("https://mp39851918.megaplan.ua/deals/102183/card/","17259")</f>
      </c>
      <c r="B3116" s="3" t="inlineStr">
        <is>
          <t>114-4215444-3921024</t>
        </is>
      </c>
      <c r="C3116" s="3" t="inlineStr">
        <is>
          <t>TuckerRocky</t>
        </is>
      </c>
    </row>
    <row collapsed="false" customFormat="false" customHeight="false" hidden="false" ht="12.1" outlineLevel="0" r="3117">
      <c r="A3117" s="3" t="s">
        <f>=HYPERLINK("https://mp39851918.megaplan.ua/deals/102187/card/","17260")</f>
      </c>
      <c r="B3117" s="3" t="inlineStr">
        <is>
          <t>112-9332523-3439431</t>
        </is>
      </c>
      <c r="C3117" s="3" t="inlineStr">
        <is>
          <t>PartsUnlimited</t>
        </is>
      </c>
    </row>
    <row collapsed="false" customFormat="false" customHeight="false" hidden="false" ht="12.1" outlineLevel="0" r="3118">
      <c r="A3118" s="3" t="s">
        <f>=HYPERLINK("https://mp39851918.megaplan.ua/deals/102193/card/","17261")</f>
      </c>
      <c r="B3118" s="3" t="inlineStr">
        <is>
          <t>112-7000152-5115467</t>
        </is>
      </c>
      <c r="C3118" s="3" t="inlineStr">
        <is>
          <t>PartsUnlimited</t>
        </is>
      </c>
    </row>
    <row collapsed="false" customFormat="false" customHeight="false" hidden="false" ht="12.1" outlineLevel="0" r="3119">
      <c r="A3119" s="3" t="s">
        <f>=HYPERLINK("https://mp39851918.megaplan.ua/deals/102201/card/","17262")</f>
      </c>
      <c r="B3119" s="3" t="inlineStr">
        <is>
          <t>114-5684228-9629066</t>
        </is>
      </c>
      <c r="C3119" s="3" t="inlineStr">
        <is>
          <t>Autodist</t>
        </is>
      </c>
    </row>
    <row collapsed="false" customFormat="false" customHeight="false" hidden="false" ht="12.1" outlineLevel="0" r="3120">
      <c r="A3120" s="3" t="s">
        <f>=HYPERLINK("https://mp39851918.megaplan.ua/deals/102213/card/","17264")</f>
      </c>
      <c r="B3120" s="3" t="inlineStr">
        <is>
          <t>112-5183879-7471464</t>
        </is>
      </c>
      <c r="C3120" s="3" t="inlineStr">
        <is>
          <t>TuckerRocky</t>
        </is>
      </c>
    </row>
    <row collapsed="false" customFormat="false" customHeight="false" hidden="false" ht="12.1" outlineLevel="0" r="3121">
      <c r="A3121" s="3" t="s">
        <f>=HYPERLINK("https://mp39851918.megaplan.ua/deals/102233/card/","17266")</f>
      </c>
      <c r="B3121" s="3" t="inlineStr">
        <is>
          <t>113-9732189-0689858</t>
        </is>
      </c>
      <c r="C3121" s="3" t="inlineStr">
        <is>
          <t>Autodist</t>
        </is>
      </c>
    </row>
    <row collapsed="false" customFormat="false" customHeight="false" hidden="false" ht="12.1" outlineLevel="0" r="3122">
      <c r="A3122" s="3" t="s">
        <f>=HYPERLINK("https://mp39851918.megaplan.ua/deals/102237/card/","17267")</f>
      </c>
      <c r="B3122" s="3" t="inlineStr">
        <is>
          <t>113-0031425-6467439</t>
        </is>
      </c>
      <c r="C3122" s="3" t="inlineStr">
        <is>
          <t>TuckerRocky</t>
        </is>
      </c>
    </row>
    <row collapsed="false" customFormat="false" customHeight="false" hidden="false" ht="12.1" outlineLevel="0" r="3123">
      <c r="A3123" s="3" t="s">
        <f>=HYPERLINK("https://mp39851918.megaplan.ua/deals/102242/card/","17268")</f>
      </c>
      <c r="B3123" s="3" t="inlineStr">
        <is>
          <t>114-0353549-8978615</t>
        </is>
      </c>
      <c r="C3123" s="3" t="inlineStr">
        <is>
          <t>PartsUnlimited</t>
        </is>
      </c>
    </row>
    <row collapsed="false" customFormat="false" customHeight="false" hidden="false" ht="12.1" outlineLevel="0" r="3124">
      <c r="A3124" s="3" t="s">
        <f>=HYPERLINK("https://mp39851918.megaplan.ua/deals/102266/card/","17270")</f>
      </c>
      <c r="B3124" s="3" t="inlineStr">
        <is>
          <t>111-8152009-6385015</t>
        </is>
      </c>
      <c r="C3124" s="3" t="inlineStr">
        <is>
          <t>PartsUnlimited</t>
        </is>
      </c>
    </row>
    <row collapsed="false" customFormat="false" customHeight="false" hidden="false" ht="12.1" outlineLevel="0" r="3125">
      <c r="A3125" s="3" t="s">
        <f>=HYPERLINK("https://mp39851918.megaplan.ua/deals/102282/card/","17271")</f>
      </c>
      <c r="B3125" s="3" t="inlineStr">
        <is>
          <t>111-1068126-5172232</t>
        </is>
      </c>
      <c r="C3125" s="3" t="inlineStr">
        <is>
          <t>PartsUnlimited</t>
        </is>
      </c>
    </row>
    <row collapsed="false" customFormat="false" customHeight="false" hidden="false" ht="12.1" outlineLevel="0" r="3126">
      <c r="A3126" s="3" t="s">
        <f>=HYPERLINK("https://mp39851918.megaplan.ua/deals/102284/card/","17272")</f>
      </c>
      <c r="B3126" s="3" t="inlineStr">
        <is>
          <t>114-9361831-3773016</t>
        </is>
      </c>
      <c r="C3126" s="3" t="inlineStr">
        <is>
          <t>TuckerRocky</t>
        </is>
      </c>
    </row>
    <row collapsed="false" customFormat="false" customHeight="false" hidden="false" ht="12.1" outlineLevel="0" r="3127">
      <c r="A3127" s="3" t="s">
        <f>=HYPERLINK("https://mp39851918.megaplan.ua/deals/102296/card/","17273")</f>
      </c>
      <c r="B3127" s="3" t="inlineStr">
        <is>
          <t>113-0541999-6399411</t>
        </is>
      </c>
      <c r="C3127" s="3" t="inlineStr">
        <is>
          <t>PartsUnlimited</t>
        </is>
      </c>
    </row>
    <row collapsed="false" customFormat="false" customHeight="false" hidden="false" ht="12.1" outlineLevel="0" r="3128">
      <c r="A3128" s="3" t="s">
        <f>=HYPERLINK("https://mp39851918.megaplan.ua/deals/102301/card/","17274")</f>
      </c>
      <c r="B3128" s="3" t="inlineStr">
        <is>
          <t>113-4659475-1742644</t>
        </is>
      </c>
      <c r="C3128" s="3" t="inlineStr">
        <is>
          <t>PartsUnlimited</t>
        </is>
      </c>
    </row>
    <row collapsed="false" customFormat="false" customHeight="false" hidden="false" ht="12.1" outlineLevel="0" r="3129">
      <c r="A3129" s="3" t="s">
        <f>=HYPERLINK("https://mp39851918.megaplan.ua/deals/102302/card/","17275")</f>
      </c>
      <c r="B3129" s="3" t="inlineStr">
        <is>
          <t>113-9491057-7318659</t>
        </is>
      </c>
      <c r="C3129" s="3" t="inlineStr">
        <is>
          <t>RockyMountain</t>
        </is>
      </c>
    </row>
    <row collapsed="false" customFormat="false" customHeight="false" hidden="false" ht="12.1" outlineLevel="0" r="3130">
      <c r="A3130" s="3" t="s">
        <f>=HYPERLINK("https://mp39851918.megaplan.ua/deals/102303/card/","17276")</f>
      </c>
      <c r="B3130" s="3" t="inlineStr">
        <is>
          <t>111-3959057-7057855</t>
        </is>
      </c>
      <c r="C3130" s="3" t="inlineStr">
        <is>
          <t>RockyMountain</t>
        </is>
      </c>
    </row>
    <row collapsed="false" customFormat="false" customHeight="false" hidden="false" ht="12.1" outlineLevel="0" r="3131">
      <c r="A3131" s="3" t="s">
        <f>=HYPERLINK("https://mp39851918.megaplan.ua/deals/102304/card/","17277")</f>
      </c>
      <c r="B3131" s="3" t="inlineStr">
        <is>
          <t>113-1703081-2240262</t>
        </is>
      </c>
      <c r="C3131" s="3" t="inlineStr">
        <is>
          <t>TuckerRocky</t>
        </is>
      </c>
    </row>
    <row collapsed="false" customFormat="false" customHeight="false" hidden="false" ht="12.1" outlineLevel="0" r="3132">
      <c r="A3132" s="3" t="s">
        <f>=HYPERLINK("https://mp39851918.megaplan.ua/deals/102306/card/","17278")</f>
      </c>
      <c r="B3132" s="3" t="inlineStr">
        <is>
          <t>113-3231605-9657048</t>
        </is>
      </c>
      <c r="C3132" s="3" t="inlineStr">
        <is>
          <t>Autodist</t>
        </is>
      </c>
    </row>
    <row collapsed="false" customFormat="false" customHeight="false" hidden="false" ht="12.1" outlineLevel="0" r="3133">
      <c r="A3133" s="3" t="s">
        <f>=HYPERLINK("https://mp39851918.megaplan.ua/deals/102309/card/","17279")</f>
      </c>
      <c r="B3133" s="3" t="inlineStr">
        <is>
          <t>113-6756690-8953004</t>
        </is>
      </c>
      <c r="C3133" s="3" t="inlineStr">
        <is>
          <t>RockyMountain</t>
        </is>
      </c>
    </row>
    <row collapsed="false" customFormat="false" customHeight="false" hidden="false" ht="12.1" outlineLevel="0" r="3134">
      <c r="A3134" s="3" t="s">
        <f>=HYPERLINK("https://mp39851918.megaplan.ua/deals/102312/card/","17280")</f>
      </c>
      <c r="B3134" s="3" t="inlineStr">
        <is>
          <t>111-5889555-8723442</t>
        </is>
      </c>
      <c r="C3134" s="3" t="inlineStr">
        <is>
          <t>TuckerRocky</t>
        </is>
      </c>
    </row>
    <row collapsed="false" customFormat="false" customHeight="false" hidden="false" ht="12.1" outlineLevel="0" r="3135">
      <c r="A3135" s="3" t="s">
        <f>=HYPERLINK("https://mp39851918.megaplan.ua/deals/102313/card/","17281")</f>
      </c>
      <c r="B3135" s="3" t="inlineStr">
        <is>
          <t>114-5240255-1539430</t>
        </is>
      </c>
      <c r="C3135" s="3" t="inlineStr">
        <is>
          <t>PartsUnlimited</t>
        </is>
      </c>
    </row>
    <row collapsed="false" customFormat="false" customHeight="false" hidden="false" ht="12.1" outlineLevel="0" r="3136">
      <c r="A3136" s="3" t="s">
        <f>=HYPERLINK("https://mp39851918.megaplan.ua/deals/102316/card/","17282")</f>
      </c>
      <c r="B3136" s="3" t="inlineStr">
        <is>
          <t>112-9924686-1553037</t>
        </is>
      </c>
      <c r="C3136" s="3" t="inlineStr">
        <is>
          <t>TuckerRocky</t>
        </is>
      </c>
    </row>
    <row collapsed="false" customFormat="false" customHeight="false" hidden="false" ht="12.1" outlineLevel="0" r="3137">
      <c r="A3137" s="3" t="s">
        <f>=HYPERLINK("https://mp39851918.megaplan.ua/deals/102319/card/","17283")</f>
      </c>
      <c r="B3137" s="3" t="inlineStr">
        <is>
          <t>113-5579073-2338656</t>
        </is>
      </c>
      <c r="C3137" s="3" t="inlineStr">
        <is>
          <t>TuckerRocky</t>
        </is>
      </c>
    </row>
    <row collapsed="false" customFormat="false" customHeight="false" hidden="false" ht="12.1" outlineLevel="0" r="3138">
      <c r="A3138" s="3" t="s">
        <f>=HYPERLINK("https://mp39851918.megaplan.ua/deals/102322/card/","17284")</f>
      </c>
      <c r="B3138" s="3" t="inlineStr">
        <is>
          <t>114-9839435-6516241</t>
        </is>
      </c>
      <c r="C3138" s="3" t="inlineStr">
        <is>
          <t>TuckerRocky</t>
        </is>
      </c>
    </row>
    <row collapsed="false" customFormat="false" customHeight="false" hidden="false" ht="12.1" outlineLevel="0" r="3139">
      <c r="A3139" s="3" t="s">
        <f>=HYPERLINK("https://mp39851918.megaplan.ua/deals/102323/card/","17285")</f>
      </c>
      <c r="B3139" s="3" t="inlineStr">
        <is>
          <t>112-5227409-5753059</t>
        </is>
      </c>
      <c r="C3139" s="3" t="inlineStr">
        <is>
          <t>TuckerRocky</t>
        </is>
      </c>
    </row>
    <row collapsed="false" customFormat="false" customHeight="false" hidden="false" ht="12.1" outlineLevel="0" r="3140">
      <c r="A3140" s="3" t="s">
        <f>=HYPERLINK("https://mp39851918.megaplan.ua/deals/102324/card/","17286")</f>
      </c>
      <c r="B3140" s="3" t="inlineStr">
        <is>
          <t>113-2084519-8371453</t>
        </is>
      </c>
      <c r="C3140" s="3" t="inlineStr">
        <is>
          <t>Autodist</t>
        </is>
      </c>
    </row>
    <row collapsed="false" customFormat="false" customHeight="false" hidden="false" ht="12.1" outlineLevel="0" r="3141">
      <c r="A3141" s="3" t="s">
        <f>=HYPERLINK("https://mp39851918.megaplan.ua/deals/102328/card/","17287")</f>
      </c>
      <c r="B3141" s="3" t="inlineStr">
        <is>
          <t>112-9924686-1553037</t>
        </is>
      </c>
      <c r="C3141" s="3" t="inlineStr">
        <is>
          <t>PartsUnlimited</t>
        </is>
      </c>
    </row>
    <row collapsed="false" customFormat="false" customHeight="false" hidden="false" ht="12.1" outlineLevel="0" r="3142">
      <c r="A3142" s="3" t="s">
        <f>=HYPERLINK("https://mp39851918.megaplan.ua/deals/102330/card/","17288")</f>
      </c>
      <c r="B3142" s="3" t="inlineStr">
        <is>
          <t>112-8391951-6706635</t>
        </is>
      </c>
      <c r="C3142" s="3" t="inlineStr">
        <is>
          <t>PartsUnlimited</t>
        </is>
      </c>
    </row>
    <row collapsed="false" customFormat="false" customHeight="false" hidden="false" ht="12.1" outlineLevel="0" r="3143">
      <c r="A3143" s="3" t="s">
        <f>=HYPERLINK("https://mp39851918.megaplan.ua/deals/102331/card/","17289")</f>
      </c>
      <c r="B3143" s="3" t="inlineStr">
        <is>
          <t>113-3614005-6598642</t>
        </is>
      </c>
      <c r="C3143" s="3" t="inlineStr">
        <is>
          <t>PartsUnlimited</t>
        </is>
      </c>
    </row>
    <row collapsed="false" customFormat="false" customHeight="false" hidden="false" ht="12.1" outlineLevel="0" r="3144">
      <c r="A3144" s="3" t="s">
        <f>=HYPERLINK("https://mp39851918.megaplan.ua/deals/102363/card/","17298")</f>
      </c>
      <c r="B3144" s="3" t="inlineStr">
        <is>
          <t>114-4994808-1287403</t>
        </is>
      </c>
      <c r="C3144" s="3" t="inlineStr">
        <is>
          <t>PartsUnlimited</t>
        </is>
      </c>
    </row>
    <row collapsed="false" customFormat="false" customHeight="false" hidden="false" ht="12.1" outlineLevel="0" r="3145">
      <c r="A3145" s="3" t="s">
        <f>=HYPERLINK("https://mp39851918.megaplan.ua/deals/102374/card/","17299")</f>
      </c>
      <c r="B3145" s="3" t="inlineStr">
        <is>
          <t>111-6650335-7835437</t>
        </is>
      </c>
      <c r="C3145" s="3" t="inlineStr">
        <is>
          <t>PartsUnlimited</t>
        </is>
      </c>
    </row>
    <row collapsed="false" customFormat="false" customHeight="false" hidden="false" ht="12.1" outlineLevel="0" r="3146">
      <c r="A3146" s="3" t="s">
        <f>=HYPERLINK("https://mp39851918.megaplan.ua/deals/102383/card/","17300")</f>
      </c>
      <c r="B3146" s="3" t="inlineStr">
        <is>
          <t>111-3543889-0351406</t>
        </is>
      </c>
      <c r="C3146" s="3" t="inlineStr">
        <is>
          <t>Autodist</t>
        </is>
      </c>
    </row>
    <row collapsed="false" customFormat="false" customHeight="false" hidden="false" ht="12.1" outlineLevel="0" r="3147">
      <c r="A3147" s="3" t="s">
        <f>=HYPERLINK("https://mp39851918.megaplan.ua/deals/102422/card/","17303")</f>
      </c>
      <c r="B3147" s="3" t="inlineStr">
        <is>
          <t>113-2922926-9348268</t>
        </is>
      </c>
      <c r="C3147" s="3" t="inlineStr">
        <is>
          <t>RockyMountain</t>
        </is>
      </c>
    </row>
    <row collapsed="false" customFormat="false" customHeight="false" hidden="false" ht="12.1" outlineLevel="0" r="3148">
      <c r="A3148" s="3" t="s">
        <f>=HYPERLINK("https://mp39851918.megaplan.ua/deals/102423/card/","17304")</f>
      </c>
      <c r="B3148" s="3" t="inlineStr">
        <is>
          <t>114-6406342-6230614</t>
        </is>
      </c>
      <c r="C3148" s="3" t="inlineStr">
        <is>
          <t>Autodist</t>
        </is>
      </c>
    </row>
    <row collapsed="false" customFormat="false" customHeight="false" hidden="false" ht="12.1" outlineLevel="0" r="3149">
      <c r="A3149" s="3" t="s">
        <f>=HYPERLINK("https://mp39851918.megaplan.ua/deals/102470/card/","17306")</f>
      </c>
      <c r="B3149" s="3" t="inlineStr">
        <is>
          <t>111-8030057-9592233</t>
        </is>
      </c>
      <c r="C3149" s="3" t="inlineStr">
        <is>
          <t>Autodist</t>
        </is>
      </c>
    </row>
    <row collapsed="false" customFormat="false" customHeight="false" hidden="false" ht="12.1" outlineLevel="0" r="3150">
      <c r="A3150" s="3" t="s">
        <f>=HYPERLINK("https://mp39851918.megaplan.ua/deals/102481/card/","17308")</f>
      </c>
      <c r="B3150" s="3" t="inlineStr">
        <is>
          <t>111-0363874-8617831</t>
        </is>
      </c>
      <c r="C3150" s="3" t="inlineStr">
        <is>
          <t>PartsUnlimited</t>
        </is>
      </c>
    </row>
    <row collapsed="false" customFormat="false" customHeight="false" hidden="false" ht="12.1" outlineLevel="0" r="3151">
      <c r="A3151" s="3" t="s">
        <f>=HYPERLINK("https://mp39851918.megaplan.ua/deals/102494/card/","17309")</f>
      </c>
      <c r="B3151" s="3" t="inlineStr">
        <is>
          <t>111-2777635-4360244</t>
        </is>
      </c>
      <c r="C3151" s="3" t="inlineStr">
        <is>
          <t>RockyMountain</t>
        </is>
      </c>
    </row>
    <row collapsed="false" customFormat="false" customHeight="false" hidden="false" ht="12.1" outlineLevel="0" r="3152">
      <c r="A3152" s="3" t="s">
        <f>=HYPERLINK("https://mp39851918.megaplan.ua/deals/102505/card/","17310")</f>
      </c>
      <c r="B3152" s="3" t="inlineStr">
        <is>
          <t>112-1228769-3577049</t>
        </is>
      </c>
      <c r="C3152" s="3" t="inlineStr">
        <is>
          <t>TuckerRocky</t>
        </is>
      </c>
    </row>
    <row collapsed="false" customFormat="false" customHeight="false" hidden="false" ht="12.1" outlineLevel="0" r="3153">
      <c r="A3153" s="3" t="s">
        <f>=HYPERLINK("https://mp39851918.megaplan.ua/deals/102508/card/","17311")</f>
      </c>
      <c r="B3153" s="3" t="inlineStr">
        <is>
          <t>112-5574763-0631419</t>
        </is>
      </c>
      <c r="C3153" s="3" t="inlineStr">
        <is>
          <t>TuckerRocky</t>
        </is>
      </c>
    </row>
    <row collapsed="false" customFormat="false" customHeight="false" hidden="false" ht="12.1" outlineLevel="0" r="3154">
      <c r="A3154" s="3" t="s">
        <f>=HYPERLINK("https://mp39851918.megaplan.ua/deals/102536/card/","17313")</f>
      </c>
      <c r="B3154" s="3" t="inlineStr">
        <is>
          <t>112-1317471-4515411</t>
        </is>
      </c>
      <c r="C3154" s="3" t="inlineStr">
        <is>
          <t>PartsUnlimited</t>
        </is>
      </c>
    </row>
    <row collapsed="false" customFormat="false" customHeight="false" hidden="false" ht="12.1" outlineLevel="0" r="3155">
      <c r="A3155" s="3" t="s">
        <f>=HYPERLINK("https://mp39851918.megaplan.ua/deals/102539/card/","17314")</f>
      </c>
      <c r="B3155" s="3" t="inlineStr">
        <is>
          <t>113-9396128-7131441</t>
        </is>
      </c>
      <c r="C3155" s="3" t="inlineStr">
        <is>
          <t>Autodist</t>
        </is>
      </c>
    </row>
    <row collapsed="false" customFormat="false" customHeight="false" hidden="false" ht="12.1" outlineLevel="0" r="3156">
      <c r="A3156" s="3" t="s">
        <f>=HYPERLINK("https://mp39851918.megaplan.ua/deals/102544/card/","17315")</f>
      </c>
      <c r="B3156" s="3" t="inlineStr">
        <is>
          <t>113-1933068-7861842</t>
        </is>
      </c>
      <c r="C3156" s="3" t="inlineStr">
        <is>
          <t>Autodist</t>
        </is>
      </c>
    </row>
    <row collapsed="false" customFormat="false" customHeight="false" hidden="false" ht="12.1" outlineLevel="0" r="3157">
      <c r="A3157" s="3" t="s">
        <f>=HYPERLINK("https://mp39851918.megaplan.ua/deals/102563/card/","17319")</f>
      </c>
      <c r="B3157" s="3" t="inlineStr">
        <is>
          <t>111-3729283-5616217</t>
        </is>
      </c>
      <c r="C3157" s="3" t="inlineStr">
        <is>
          <t>RockyMountain</t>
        </is>
      </c>
    </row>
    <row collapsed="false" customFormat="false" customHeight="false" hidden="false" ht="12.1" outlineLevel="0" r="3158">
      <c r="A3158" s="3" t="s">
        <f>=HYPERLINK("https://mp39851918.megaplan.ua/deals/102571/card/","17320")</f>
      </c>
      <c r="B3158" s="3" t="inlineStr">
        <is>
          <t>112-0578742-7339400</t>
        </is>
      </c>
      <c r="C3158" s="3" t="inlineStr">
        <is>
          <t>RockyMountain</t>
        </is>
      </c>
    </row>
    <row collapsed="false" customFormat="false" customHeight="false" hidden="false" ht="12.1" outlineLevel="0" r="3159">
      <c r="A3159" s="3" t="s">
        <f>=HYPERLINK("https://mp39851918.megaplan.ua/deals/102590/card/","17322")</f>
      </c>
      <c r="B3159" s="3" t="inlineStr">
        <is>
          <t>114-7373536-0882638</t>
        </is>
      </c>
      <c r="C3159" s="3" t="inlineStr">
        <is>
          <t>Autodist</t>
        </is>
      </c>
    </row>
    <row collapsed="false" customFormat="false" customHeight="false" hidden="false" ht="12.1" outlineLevel="0" r="3160">
      <c r="A3160" s="3" t="s">
        <f>=HYPERLINK("https://mp39851918.megaplan.ua/deals/102591/card/","17323")</f>
      </c>
      <c r="B3160" s="3" t="inlineStr">
        <is>
          <t>114-7598038-8928216</t>
        </is>
      </c>
      <c r="C3160" s="3" t="inlineStr">
        <is>
          <t>Autodist</t>
        </is>
      </c>
    </row>
    <row collapsed="false" customFormat="false" customHeight="false" hidden="false" ht="12.1" outlineLevel="0" r="3161">
      <c r="A3161" s="3" t="s">
        <f>=HYPERLINK("https://mp39851918.megaplan.ua/deals/102592/card/","17324")</f>
      </c>
      <c r="B3161" s="3" t="inlineStr">
        <is>
          <t>114-4910213-4935443</t>
        </is>
      </c>
      <c r="C3161" s="3" t="inlineStr">
        <is>
          <t>RockyMountain</t>
        </is>
      </c>
    </row>
    <row collapsed="false" customFormat="false" customHeight="false" hidden="false" ht="12.1" outlineLevel="0" r="3162">
      <c r="A3162" s="3" t="s">
        <f>=HYPERLINK("https://mp39851918.megaplan.ua/deals/102602/card/","17326")</f>
      </c>
      <c r="B3162" s="3" t="inlineStr">
        <is>
          <t>113-6357482-9313010</t>
        </is>
      </c>
      <c r="C3162" s="3" t="inlineStr">
        <is>
          <t>PartsUnlimited</t>
        </is>
      </c>
    </row>
    <row collapsed="false" customFormat="false" customHeight="false" hidden="false" ht="12.1" outlineLevel="0" r="3163">
      <c r="A3163" s="3" t="s">
        <f>=HYPERLINK("https://mp39851918.megaplan.ua/deals/102608/card/","17327")</f>
      </c>
      <c r="B3163" s="3" t="inlineStr">
        <is>
          <t>111-4738625-5389018</t>
        </is>
      </c>
      <c r="C3163" s="3" t="inlineStr">
        <is>
          <t>PartsUnlimited</t>
        </is>
      </c>
    </row>
    <row collapsed="false" customFormat="false" customHeight="false" hidden="false" ht="12.1" outlineLevel="0" r="3164">
      <c r="A3164" s="3" t="s">
        <f>=HYPERLINK("https://mp39851918.megaplan.ua/deals/102615/card/","17328")</f>
      </c>
      <c r="B3164" s="3" t="inlineStr">
        <is>
          <t>114-8166176-8136254</t>
        </is>
      </c>
      <c r="C3164" s="3" t="inlineStr">
        <is>
          <t>TuckerRocky</t>
        </is>
      </c>
    </row>
    <row collapsed="false" customFormat="false" customHeight="false" hidden="false" ht="12.1" outlineLevel="0" r="3165">
      <c r="A3165" s="3" t="s">
        <f>=HYPERLINK("https://mp39851918.megaplan.ua/deals/102620/card/","17329")</f>
      </c>
      <c r="B3165" s="3" t="inlineStr">
        <is>
          <t>111-9606857-8901840</t>
        </is>
      </c>
      <c r="C3165" s="3" t="inlineStr">
        <is>
          <t>Autodist</t>
        </is>
      </c>
    </row>
    <row collapsed="false" customFormat="false" customHeight="false" hidden="false" ht="12.1" outlineLevel="0" r="3166">
      <c r="A3166" s="3" t="s">
        <f>=HYPERLINK("https://mp39851918.megaplan.ua/deals/102627/card/","17331")</f>
      </c>
      <c r="B3166" s="3" t="inlineStr">
        <is>
          <t>111-9121625-3421854</t>
        </is>
      </c>
      <c r="C3166" s="3" t="inlineStr">
        <is>
          <t>PartsUnlimited</t>
        </is>
      </c>
    </row>
    <row collapsed="false" customFormat="false" customHeight="false" hidden="false" ht="12.1" outlineLevel="0" r="3167">
      <c r="A3167" s="3" t="s">
        <f>=HYPERLINK("https://mp39851918.megaplan.ua/deals/102629/card/","17332")</f>
      </c>
      <c r="B3167" s="3" t="inlineStr">
        <is>
          <t>111-9908852-1313838</t>
        </is>
      </c>
      <c r="C3167" s="3" t="inlineStr">
        <is>
          <t>TuckerRocky</t>
        </is>
      </c>
    </row>
    <row collapsed="false" customFormat="false" customHeight="false" hidden="false" ht="12.1" outlineLevel="0" r="3168">
      <c r="A3168" s="3" t="s">
        <f>=HYPERLINK("https://mp39851918.megaplan.ua/deals/102634/card/","17333")</f>
      </c>
      <c r="B3168" s="3" t="inlineStr">
        <is>
          <t>113-3172975-5318669</t>
        </is>
      </c>
      <c r="C3168" s="3" t="inlineStr">
        <is>
          <t>TuckerRocky</t>
        </is>
      </c>
    </row>
    <row collapsed="false" customFormat="false" customHeight="false" hidden="false" ht="12.1" outlineLevel="0" r="3169">
      <c r="A3169" s="3" t="s">
        <f>=HYPERLINK("https://mp39851918.megaplan.ua/deals/102638/card/","17334")</f>
      </c>
      <c r="B3169" s="3" t="inlineStr">
        <is>
          <t>114-7731310-0350633</t>
        </is>
      </c>
      <c r="C3169" s="3" t="inlineStr">
        <is>
          <t>Autodist</t>
        </is>
      </c>
    </row>
    <row collapsed="false" customFormat="false" customHeight="false" hidden="false" ht="12.1" outlineLevel="0" r="3170">
      <c r="A3170" s="3" t="s">
        <f>=HYPERLINK("https://mp39851918.megaplan.ua/deals/102652/card/","17338")</f>
      </c>
      <c r="B3170" s="3" t="inlineStr">
        <is>
          <t>112-3817881-7072252</t>
        </is>
      </c>
      <c r="C3170" s="3" t="inlineStr">
        <is>
          <t>Autodist</t>
        </is>
      </c>
    </row>
    <row collapsed="false" customFormat="false" customHeight="false" hidden="false" ht="12.1" outlineLevel="0" r="3171">
      <c r="A3171" s="3" t="s">
        <f>=HYPERLINK("https://mp39851918.megaplan.ua/deals/102656/card/","17339")</f>
      </c>
      <c r="B3171" s="3" t="inlineStr">
        <is>
          <t>114-6556542-7778640</t>
        </is>
      </c>
      <c r="C3171" s="3" t="inlineStr">
        <is>
          <t>PartsUnlimited</t>
        </is>
      </c>
    </row>
    <row collapsed="false" customFormat="false" customHeight="false" hidden="false" ht="12.1" outlineLevel="0" r="3172">
      <c r="A3172" s="3" t="s">
        <f>=HYPERLINK("https://mp39851918.megaplan.ua/deals/102701/card/","17342")</f>
      </c>
      <c r="B3172" s="3" t="inlineStr">
        <is>
          <t>112-7786984-1057808</t>
        </is>
      </c>
      <c r="C3172" s="3" t="inlineStr">
        <is>
          <t>TuckerRocky</t>
        </is>
      </c>
    </row>
    <row collapsed="false" customFormat="false" customHeight="false" hidden="false" ht="12.1" outlineLevel="0" r="3173">
      <c r="A3173" s="3" t="s">
        <f>=HYPERLINK("https://mp39851918.megaplan.ua/deals/102727/card/","17343")</f>
      </c>
      <c r="B3173" s="3" t="inlineStr">
        <is>
          <t>113-9067816-8488264</t>
        </is>
      </c>
      <c r="C3173" s="3" t="inlineStr">
        <is>
          <t>TuckerRocky</t>
        </is>
      </c>
    </row>
    <row collapsed="false" customFormat="false" customHeight="false" hidden="false" ht="12.1" outlineLevel="0" r="3174">
      <c r="A3174" s="3" t="s">
        <f>=HYPERLINK("https://mp39851918.megaplan.ua/deals/102742/card/","17344")</f>
      </c>
      <c r="B3174" s="3" t="inlineStr">
        <is>
          <t>112-1586210-3316266</t>
        </is>
      </c>
      <c r="C3174" s="3" t="inlineStr">
        <is>
          <t>PartsUnlimited</t>
        </is>
      </c>
    </row>
    <row collapsed="false" customFormat="false" customHeight="false" hidden="false" ht="12.1" outlineLevel="0" r="3175">
      <c r="A3175" s="3" t="s">
        <f>=HYPERLINK("https://mp39851918.megaplan.ua/deals/102743/card/","17345")</f>
      </c>
      <c r="B3175" s="3" t="inlineStr">
        <is>
          <t>114-3606572-7341841</t>
        </is>
      </c>
      <c r="C3175" s="3" t="inlineStr">
        <is>
          <t>PartsUnlimited</t>
        </is>
      </c>
    </row>
    <row collapsed="false" customFormat="false" customHeight="false" hidden="false" ht="12.1" outlineLevel="0" r="3176">
      <c r="A3176" s="3" t="s">
        <f>=HYPERLINK("https://mp39851918.megaplan.ua/deals/102769/card/","17348")</f>
      </c>
      <c r="B3176" s="3" t="inlineStr">
        <is>
          <t>114-8614685-7921823</t>
        </is>
      </c>
      <c r="C3176" s="3" t="inlineStr">
        <is>
          <t>Autodist</t>
        </is>
      </c>
    </row>
    <row collapsed="false" customFormat="false" customHeight="false" hidden="false" ht="12.1" outlineLevel="0" r="3177">
      <c r="A3177" s="3" t="s">
        <f>=HYPERLINK("https://mp39851918.megaplan.ua/deals/102776/card/","17349")</f>
      </c>
      <c r="B3177" s="3" t="inlineStr">
        <is>
          <t>112-1811948-6163458</t>
        </is>
      </c>
      <c r="C3177" s="3" t="inlineStr">
        <is>
          <t>RockyMountain</t>
        </is>
      </c>
    </row>
    <row collapsed="false" customFormat="false" customHeight="false" hidden="false" ht="12.1" outlineLevel="0" r="3178">
      <c r="A3178" s="3" t="s">
        <f>=HYPERLINK("https://mp39851918.megaplan.ua/deals/102779/card/","17350")</f>
      </c>
      <c r="B3178" s="3" t="inlineStr">
        <is>
          <t>114-0060351-5304233</t>
        </is>
      </c>
      <c r="C3178" s="3" t="inlineStr">
        <is>
          <t>RockyMountain</t>
        </is>
      </c>
    </row>
    <row collapsed="false" customFormat="false" customHeight="false" hidden="false" ht="12.1" outlineLevel="0" r="3179">
      <c r="A3179" s="3" t="s">
        <f>=HYPERLINK("https://mp39851918.megaplan.ua/deals/102794/card/","17351")</f>
      </c>
      <c r="B3179" s="3" t="inlineStr">
        <is>
          <t>112-1385574-5093030</t>
        </is>
      </c>
      <c r="C3179" s="3" t="inlineStr">
        <is>
          <t>PartsUnlimited</t>
        </is>
      </c>
    </row>
    <row collapsed="false" customFormat="false" customHeight="false" hidden="false" ht="12.1" outlineLevel="0" r="3180">
      <c r="A3180" s="3" t="s">
        <f>=HYPERLINK("https://mp39851918.megaplan.ua/deals/102805/card/","17352")</f>
      </c>
      <c r="B3180" s="3" t="inlineStr">
        <is>
          <t>114-2845373-8862653</t>
        </is>
      </c>
      <c r="C3180" s="3" t="inlineStr">
        <is>
          <t>PartsUnlimited</t>
        </is>
      </c>
    </row>
    <row collapsed="false" customFormat="false" customHeight="false" hidden="false" ht="12.1" outlineLevel="0" r="3181">
      <c r="A3181" s="3" t="s">
        <f>=HYPERLINK("https://mp39851918.megaplan.ua/deals/102833/card/","17354")</f>
      </c>
      <c r="B3181" s="3" t="inlineStr">
        <is>
          <t>111-4958651-1962664</t>
        </is>
      </c>
      <c r="C3181" s="3" t="inlineStr">
        <is>
          <t>TuckerRocky</t>
        </is>
      </c>
    </row>
    <row collapsed="false" customFormat="false" customHeight="false" hidden="false" ht="12.1" outlineLevel="0" r="3182">
      <c r="A3182" s="3" t="s">
        <f>=HYPERLINK("https://mp39851918.megaplan.ua/deals/102834/card/","17355")</f>
      </c>
      <c r="B3182" s="3" t="inlineStr">
        <is>
          <t>113-8674320-2783431</t>
        </is>
      </c>
      <c r="C3182" s="3" t="inlineStr">
        <is>
          <t>TuckerRocky</t>
        </is>
      </c>
    </row>
    <row collapsed="false" customFormat="false" customHeight="false" hidden="false" ht="12.1" outlineLevel="0" r="3183">
      <c r="A3183" s="3" t="s">
        <f>=HYPERLINK("https://mp39851918.megaplan.ua/deals/102835/card/","17356")</f>
      </c>
      <c r="B3183" s="3" t="inlineStr">
        <is>
          <t>113-6134951-9249044</t>
        </is>
      </c>
      <c r="C3183" s="3" t="inlineStr">
        <is>
          <t>Autodist</t>
        </is>
      </c>
    </row>
    <row collapsed="false" customFormat="false" customHeight="false" hidden="false" ht="12.1" outlineLevel="0" r="3184">
      <c r="A3184" s="3" t="s">
        <f>=HYPERLINK("https://mp39851918.megaplan.ua/deals/102838/card/","17357")</f>
      </c>
      <c r="B3184" s="3" t="inlineStr">
        <is>
          <t>111-5965311-0705824</t>
        </is>
      </c>
      <c r="C3184" s="3" t="inlineStr">
        <is>
          <t>TuckerRocky</t>
        </is>
      </c>
    </row>
    <row collapsed="false" customFormat="false" customHeight="false" hidden="false" ht="12.1" outlineLevel="0" r="3185">
      <c r="A3185" s="3" t="s">
        <f>=HYPERLINK("https://mp39851918.megaplan.ua/deals/102850/card/","17358")</f>
      </c>
      <c r="B3185" s="3" t="inlineStr">
        <is>
          <t>113-0791300-1361043</t>
        </is>
      </c>
      <c r="C3185" s="3" t="inlineStr">
        <is>
          <t>TuckerRocky</t>
        </is>
      </c>
    </row>
    <row collapsed="false" customFormat="false" customHeight="false" hidden="false" ht="12.1" outlineLevel="0" r="3186">
      <c r="A3186" s="3" t="s">
        <f>=HYPERLINK("https://mp39851918.megaplan.ua/deals/102851/card/","17359")</f>
      </c>
      <c r="B3186" s="3" t="inlineStr">
        <is>
          <t>113-8914968-9804268</t>
        </is>
      </c>
      <c r="C3186" s="3" t="inlineStr">
        <is>
          <t>Autodist</t>
        </is>
      </c>
    </row>
    <row collapsed="false" customFormat="false" customHeight="false" hidden="false" ht="12.1" outlineLevel="0" r="3187">
      <c r="A3187" s="3" t="s">
        <f>=HYPERLINK("https://mp39851918.megaplan.ua/deals/102860/card/","17360")</f>
      </c>
      <c r="B3187" s="3" t="inlineStr">
        <is>
          <t>113-6039348-8188262</t>
        </is>
      </c>
      <c r="C3187" s="3" t="inlineStr">
        <is>
          <t>PartsUnlimited</t>
        </is>
      </c>
    </row>
    <row collapsed="false" customFormat="false" customHeight="false" hidden="false" ht="12.1" outlineLevel="0" r="3188">
      <c r="A3188" s="3" t="s">
        <f>=HYPERLINK("https://mp39851918.megaplan.ua/deals/102875/card/","17363")</f>
      </c>
      <c r="B3188" s="3" t="inlineStr">
        <is>
          <t>111-8034752-0337003</t>
        </is>
      </c>
      <c r="C3188" s="3" t="inlineStr">
        <is>
          <t>PartsUnlimited</t>
        </is>
      </c>
    </row>
    <row collapsed="false" customFormat="false" customHeight="false" hidden="false" ht="12.1" outlineLevel="0" r="3189">
      <c r="A3189" s="3" t="s">
        <f>=HYPERLINK("https://mp39851918.megaplan.ua/deals/102888/card/","17364")</f>
      </c>
      <c r="B3189" s="3" t="inlineStr">
        <is>
          <t>111-1029286-7329812</t>
        </is>
      </c>
      <c r="C3189" s="3" t="inlineStr">
        <is>
          <t>TuckerRocky</t>
        </is>
      </c>
    </row>
    <row collapsed="false" customFormat="false" customHeight="false" hidden="false" ht="12.1" outlineLevel="0" r="3190">
      <c r="A3190" s="3" t="s">
        <f>=HYPERLINK("https://mp39851918.megaplan.ua/deals/102896/card/","17365")</f>
      </c>
      <c r="B3190" s="3" t="inlineStr">
        <is>
          <t>114-6497176-8667452</t>
        </is>
      </c>
      <c r="C3190" s="3" t="inlineStr">
        <is>
          <t>Autodist</t>
        </is>
      </c>
    </row>
    <row collapsed="false" customFormat="false" customHeight="false" hidden="false" ht="12.1" outlineLevel="0" r="3191">
      <c r="A3191" s="3" t="s">
        <f>=HYPERLINK("https://mp39851918.megaplan.ua/deals/102915/card/","17367")</f>
      </c>
      <c r="B3191" s="3" t="inlineStr">
        <is>
          <t>113-2105897-6005865</t>
        </is>
      </c>
      <c r="C3191" s="3" t="inlineStr">
        <is>
          <t>TuckerRocky</t>
        </is>
      </c>
    </row>
    <row collapsed="false" customFormat="false" customHeight="false" hidden="false" ht="12.1" outlineLevel="0" r="3192">
      <c r="A3192" s="3" t="s">
        <f>=HYPERLINK("https://mp39851918.megaplan.ua/deals/102966/card/","17373")</f>
      </c>
      <c r="B3192" s="3" t="inlineStr">
        <is>
          <t>114-0807958-4845014</t>
        </is>
      </c>
      <c r="C3192" s="3" t="inlineStr">
        <is>
          <t>PartsUnlimited</t>
        </is>
      </c>
    </row>
    <row collapsed="false" customFormat="false" customHeight="false" hidden="false" ht="12.1" outlineLevel="0" r="3193">
      <c r="A3193" s="3" t="s">
        <f>=HYPERLINK("https://mp39851918.megaplan.ua/deals/102975/card/","17374")</f>
      </c>
      <c r="B3193" s="3" t="inlineStr">
        <is>
          <t>112-2673255-1589864</t>
        </is>
      </c>
      <c r="C3193" s="3" t="inlineStr">
        <is>
          <t>Autodist</t>
        </is>
      </c>
    </row>
    <row collapsed="false" customFormat="false" customHeight="false" hidden="false" ht="12.1" outlineLevel="0" r="3194">
      <c r="A3194" s="3" t="s">
        <f>=HYPERLINK("https://mp39851918.megaplan.ua/deals/102978/card/","17375")</f>
      </c>
      <c r="B3194" s="3" t="inlineStr">
        <is>
          <t>112-2552988-1274627</t>
        </is>
      </c>
      <c r="C3194" s="3" t="inlineStr">
        <is>
          <t>PartsUnlimited</t>
        </is>
      </c>
    </row>
    <row collapsed="false" customFormat="false" customHeight="false" hidden="false" ht="12.1" outlineLevel="0" r="3195">
      <c r="A3195" s="3" t="s">
        <f>=HYPERLINK("https://mp39851918.megaplan.ua/deals/102979/card/","17376")</f>
      </c>
      <c r="B3195" s="3" t="inlineStr">
        <is>
          <t>114-8931030-1501027</t>
        </is>
      </c>
      <c r="C3195" s="3" t="inlineStr">
        <is>
          <t>PartsUnlimited</t>
        </is>
      </c>
    </row>
    <row collapsed="false" customFormat="false" customHeight="false" hidden="false" ht="12.1" outlineLevel="0" r="3196">
      <c r="A3196" s="3" t="s">
        <f>=HYPERLINK("https://mp39851918.megaplan.ua/deals/102986/card/","17377")</f>
      </c>
      <c r="B3196" s="3" t="inlineStr">
        <is>
          <t>113-7120126-6099400</t>
        </is>
      </c>
      <c r="C3196" s="3" t="inlineStr">
        <is>
          <t>Autodist</t>
        </is>
      </c>
    </row>
    <row collapsed="false" customFormat="false" customHeight="false" hidden="false" ht="12.1" outlineLevel="0" r="3197">
      <c r="A3197" s="3" t="s">
        <f>=HYPERLINK("https://mp39851918.megaplan.ua/deals/102995/card/","17379")</f>
      </c>
      <c r="B3197" s="3" t="inlineStr">
        <is>
          <t>114-9370822-3718643</t>
        </is>
      </c>
      <c r="C3197" s="3" t="inlineStr">
        <is>
          <t>RockyMountain</t>
        </is>
      </c>
    </row>
    <row collapsed="false" customFormat="false" customHeight="false" hidden="false" ht="12.1" outlineLevel="0" r="3198">
      <c r="A3198" s="3" t="s">
        <f>=HYPERLINK("https://mp39851918.megaplan.ua/deals/103000/card/","17380")</f>
      </c>
      <c r="B3198" s="3" t="inlineStr">
        <is>
          <t>112-4781951-1117803</t>
        </is>
      </c>
      <c r="C3198" s="3" t="inlineStr">
        <is>
          <t>PartsUnlimited</t>
        </is>
      </c>
    </row>
    <row collapsed="false" customFormat="false" customHeight="false" hidden="false" ht="12.1" outlineLevel="0" r="3199">
      <c r="A3199" s="3" t="s">
        <f>=HYPERLINK("https://mp39851918.megaplan.ua/deals/103001/card/","17381")</f>
      </c>
      <c r="B3199" s="3" t="inlineStr">
        <is>
          <t>114-7025389-0162612</t>
        </is>
      </c>
      <c r="C3199" s="3" t="inlineStr">
        <is>
          <t>Autodist</t>
        </is>
      </c>
    </row>
    <row collapsed="false" customFormat="false" customHeight="false" hidden="false" ht="12.1" outlineLevel="0" r="3200">
      <c r="A3200" s="3" t="s">
        <f>=HYPERLINK("https://mp39851918.megaplan.ua/deals/103013/card/","17382")</f>
      </c>
      <c r="B3200" s="3" t="inlineStr">
        <is>
          <t>113-7449746-3547461</t>
        </is>
      </c>
      <c r="C3200" s="3" t="inlineStr">
        <is>
          <t>RockyMountain</t>
        </is>
      </c>
    </row>
    <row collapsed="false" customFormat="false" customHeight="false" hidden="false" ht="12.1" outlineLevel="0" r="3201">
      <c r="A3201" s="3" t="s">
        <f>=HYPERLINK("https://mp39851918.megaplan.ua/deals/103014/card/","17383")</f>
      </c>
      <c r="B3201" s="3" t="inlineStr">
        <is>
          <t>113-2396927-4985010</t>
        </is>
      </c>
      <c r="C3201" s="3" t="inlineStr">
        <is>
          <t>RockyMountain</t>
        </is>
      </c>
    </row>
    <row collapsed="false" customFormat="false" customHeight="false" hidden="false" ht="12.1" outlineLevel="0" r="3202">
      <c r="A3202" s="3" t="s">
        <f>=HYPERLINK("https://mp39851918.megaplan.ua/deals/103023/card/","17385")</f>
      </c>
      <c r="B3202" s="3" t="inlineStr">
        <is>
          <t>111-9917874-7892218</t>
        </is>
      </c>
      <c r="C3202" s="3" t="inlineStr">
        <is>
          <t>TuckerRocky</t>
        </is>
      </c>
    </row>
    <row collapsed="false" customFormat="false" customHeight="false" hidden="false" ht="12.1" outlineLevel="0" r="3203">
      <c r="A3203" s="3" t="s">
        <f>=HYPERLINK("https://mp39851918.megaplan.ua/deals/103024/card/","17386")</f>
      </c>
      <c r="B3203" s="3" t="inlineStr">
        <is>
          <t>112-2231147-5499423</t>
        </is>
      </c>
      <c r="C3203" s="3" t="inlineStr">
        <is>
          <t>Autodist</t>
        </is>
      </c>
    </row>
    <row collapsed="false" customFormat="false" customHeight="false" hidden="false" ht="12.1" outlineLevel="0" r="3204">
      <c r="A3204" s="3" t="s">
        <f>=HYPERLINK("https://mp39851918.megaplan.ua/deals/103025/card/","17387")</f>
      </c>
      <c r="B3204" s="3" t="inlineStr">
        <is>
          <t>113-6950927-9060225</t>
        </is>
      </c>
      <c r="C3204" s="3" t="inlineStr">
        <is>
          <t>TuckerRocky</t>
        </is>
      </c>
    </row>
    <row collapsed="false" customFormat="false" customHeight="false" hidden="false" ht="12.1" outlineLevel="0" r="3205">
      <c r="A3205" s="3" t="s">
        <f>=HYPERLINK("https://mp39851918.megaplan.ua/deals/103027/card/","17388")</f>
      </c>
      <c r="B3205" s="3" t="inlineStr">
        <is>
          <t>113-2631104-2369052</t>
        </is>
      </c>
      <c r="C3205" s="3" t="inlineStr">
        <is>
          <t>TuckerRocky</t>
        </is>
      </c>
    </row>
    <row collapsed="false" customFormat="false" customHeight="false" hidden="false" ht="12.1" outlineLevel="0" r="3206">
      <c r="A3206" s="3" t="s">
        <f>=HYPERLINK("https://mp39851918.megaplan.ua/deals/103034/card/","17389")</f>
      </c>
      <c r="B3206" s="3" t="inlineStr">
        <is>
          <t>111-3487849-4755444</t>
        </is>
      </c>
      <c r="C3206" s="3" t="inlineStr">
        <is>
          <t>PartsUnlimited</t>
        </is>
      </c>
    </row>
    <row collapsed="false" customFormat="false" customHeight="false" hidden="false" ht="12.1" outlineLevel="0" r="3207">
      <c r="A3207" s="3" t="s">
        <f>=HYPERLINK("https://mp39851918.megaplan.ua/deals/103043/card/","17392")</f>
      </c>
      <c r="B3207" s="3" t="inlineStr">
        <is>
          <t>112-3567866-1817860</t>
        </is>
      </c>
      <c r="C3207" s="3" t="inlineStr">
        <is>
          <t>Autodist</t>
        </is>
      </c>
    </row>
    <row collapsed="false" customFormat="false" customHeight="false" hidden="false" ht="12.1" outlineLevel="0" r="3208">
      <c r="A3208" s="3" t="s">
        <f>=HYPERLINK("https://mp39851918.megaplan.ua/deals/103054/card/","17395")</f>
      </c>
      <c r="B3208" s="3" t="inlineStr">
        <is>
          <t>112-0643711-7336202</t>
        </is>
      </c>
      <c r="C3208" s="3" t="inlineStr">
        <is>
          <t>PartsUnlimited</t>
        </is>
      </c>
    </row>
    <row collapsed="false" customFormat="false" customHeight="false" hidden="false" ht="12.1" outlineLevel="0" r="3209">
      <c r="A3209" s="3" t="s">
        <f>=HYPERLINK("https://mp39851918.megaplan.ua/deals/103055/card/","17396")</f>
      </c>
      <c r="B3209" s="3" t="inlineStr">
        <is>
          <t>112-0865368-6389002</t>
        </is>
      </c>
      <c r="C3209" s="3" t="inlineStr">
        <is>
          <t>RockyMountain</t>
        </is>
      </c>
    </row>
    <row collapsed="false" customFormat="false" customHeight="false" hidden="false" ht="12.1" outlineLevel="0" r="3210">
      <c r="A3210" s="3" t="s">
        <f>=HYPERLINK("https://mp39851918.megaplan.ua/deals/103060/card/","17397")</f>
      </c>
      <c r="B3210" s="3" t="inlineStr">
        <is>
          <t>113-0214757-4017045</t>
        </is>
      </c>
      <c r="C3210" s="3" t="inlineStr">
        <is>
          <t>TuckerRocky</t>
        </is>
      </c>
    </row>
    <row collapsed="false" customFormat="false" customHeight="false" hidden="false" ht="12.1" outlineLevel="0" r="3211">
      <c r="A3211" s="3" t="s">
        <f>=HYPERLINK("https://mp39851918.megaplan.ua/deals/103062/card/","17398")</f>
      </c>
      <c r="B3211" s="3" t="inlineStr">
        <is>
          <t>113-2432741-1413856</t>
        </is>
      </c>
      <c r="C3211" s="3" t="inlineStr">
        <is>
          <t>PartsUnlimited</t>
        </is>
      </c>
    </row>
    <row collapsed="false" customFormat="false" customHeight="false" hidden="false" ht="12.1" outlineLevel="0" r="3212">
      <c r="A3212" s="3" t="s">
        <f>=HYPERLINK("https://mp39851918.megaplan.ua/deals/103067/card/","17399")</f>
      </c>
      <c r="B3212" s="3" t="inlineStr">
        <is>
          <t>112-6658946-3038642</t>
        </is>
      </c>
      <c r="C3212" s="3" t="inlineStr">
        <is>
          <t>PartsUnlimited</t>
        </is>
      </c>
    </row>
    <row collapsed="false" customFormat="false" customHeight="false" hidden="false" ht="12.1" outlineLevel="0" r="3213">
      <c r="A3213" s="3" t="s">
        <f>=HYPERLINK("https://mp39851918.megaplan.ua/deals/103069/card/","17400")</f>
      </c>
      <c r="B3213" s="3" t="inlineStr">
        <is>
          <t>114-9296555-4957027</t>
        </is>
      </c>
      <c r="C3213" s="3" t="inlineStr">
        <is>
          <t>Autodist</t>
        </is>
      </c>
    </row>
    <row collapsed="false" customFormat="false" customHeight="false" hidden="false" ht="12.1" outlineLevel="0" r="3214">
      <c r="A3214" s="3" t="s">
        <f>=HYPERLINK("https://mp39851918.megaplan.ua/deals/103076/card/","17401")</f>
      </c>
      <c r="B3214" s="3" t="inlineStr">
        <is>
          <t>111-7530449-3332230</t>
        </is>
      </c>
      <c r="C3214" s="3" t="inlineStr">
        <is>
          <t>PartsUnlimited</t>
        </is>
      </c>
    </row>
    <row collapsed="false" customFormat="false" customHeight="false" hidden="false" ht="12.1" outlineLevel="0" r="3215">
      <c r="A3215" s="3" t="s">
        <f>=HYPERLINK("https://mp39851918.megaplan.ua/deals/103082/card/","17402")</f>
      </c>
      <c r="B3215" s="3" t="inlineStr">
        <is>
          <t>111-3383840-6702635</t>
        </is>
      </c>
      <c r="C3215" s="3" t="inlineStr">
        <is>
          <t>TuckerRocky</t>
        </is>
      </c>
    </row>
    <row collapsed="false" customFormat="false" customHeight="false" hidden="false" ht="12.1" outlineLevel="0" r="3216">
      <c r="A3216" s="3" t="s">
        <f>=HYPERLINK("https://mp39851918.megaplan.ua/deals/103083/card/","17403")</f>
      </c>
      <c r="B3216" s="3" t="inlineStr">
        <is>
          <t>114-7434274-3745028</t>
        </is>
      </c>
      <c r="C3216" s="3" t="inlineStr">
        <is>
          <t>Autodist</t>
        </is>
      </c>
    </row>
    <row collapsed="false" customFormat="false" customHeight="false" hidden="false" ht="12.1" outlineLevel="0" r="3217">
      <c r="A3217" s="3" t="s">
        <f>=HYPERLINK("https://mp39851918.megaplan.ua/deals/103084/card/","17404")</f>
      </c>
      <c r="B3217" s="3" t="inlineStr">
        <is>
          <t>113-9039166-1697038</t>
        </is>
      </c>
      <c r="C3217" s="3" t="inlineStr">
        <is>
          <t>RockyMountain</t>
        </is>
      </c>
    </row>
    <row collapsed="false" customFormat="false" customHeight="false" hidden="false" ht="12.1" outlineLevel="0" r="3218">
      <c r="A3218" s="3" t="s">
        <f>=HYPERLINK("https://mp39851918.megaplan.ua/deals/103090/card/","17405")</f>
      </c>
      <c r="B3218" s="3" t="inlineStr">
        <is>
          <t>112-9881216-0020233</t>
        </is>
      </c>
      <c r="C3218" s="3" t="inlineStr">
        <is>
          <t>RockyMountain</t>
        </is>
      </c>
    </row>
    <row collapsed="false" customFormat="false" customHeight="false" hidden="false" ht="12.1" outlineLevel="0" r="3219">
      <c r="A3219" s="3" t="s">
        <f>=HYPERLINK("https://mp39851918.megaplan.ua/deals/103104/card/","17406")</f>
      </c>
      <c r="B3219" s="3" t="inlineStr">
        <is>
          <t>113-8278112-0039439</t>
        </is>
      </c>
      <c r="C3219" s="3" t="inlineStr">
        <is>
          <t>TuckerRocky</t>
        </is>
      </c>
    </row>
    <row collapsed="false" customFormat="false" customHeight="false" hidden="false" ht="12.1" outlineLevel="0" r="3220">
      <c r="A3220" s="3" t="s">
        <f>=HYPERLINK("https://mp39851918.megaplan.ua/deals/103106/card/","17407")</f>
      </c>
      <c r="B3220" s="3" t="inlineStr">
        <is>
          <t>111-7877152-8270616</t>
        </is>
      </c>
      <c r="C3220" s="3" t="inlineStr">
        <is>
          <t>RockyMountain</t>
        </is>
      </c>
    </row>
    <row collapsed="false" customFormat="false" customHeight="false" hidden="false" ht="12.1" outlineLevel="0" r="3221">
      <c r="A3221" s="3" t="s">
        <f>=HYPERLINK("https://mp39851918.megaplan.ua/deals/103107/card/","17408")</f>
      </c>
      <c r="B3221" s="3" t="inlineStr">
        <is>
          <t>112-7265368-5661000</t>
        </is>
      </c>
      <c r="C3221" s="3" t="inlineStr">
        <is>
          <t>RockyMountain</t>
        </is>
      </c>
    </row>
    <row collapsed="false" customFormat="false" customHeight="false" hidden="false" ht="12.1" outlineLevel="0" r="3222">
      <c r="A3222" s="3" t="s">
        <f>=HYPERLINK("https://mp39851918.megaplan.ua/deals/103109/card/","17409")</f>
      </c>
      <c r="B3222" s="3" t="inlineStr">
        <is>
          <t>114-5036989-3693838</t>
        </is>
      </c>
      <c r="C3222" s="3" t="inlineStr">
        <is>
          <t>TuckerRocky</t>
        </is>
      </c>
    </row>
    <row collapsed="false" customFormat="false" customHeight="false" hidden="false" ht="12.1" outlineLevel="0" r="3223">
      <c r="A3223" s="3" t="s">
        <f>=HYPERLINK("https://mp39851918.megaplan.ua/deals/103110/card/","17410")</f>
      </c>
      <c r="B3223" s="3" t="inlineStr">
        <is>
          <t>114-7267624-4569829</t>
        </is>
      </c>
      <c r="C3223" s="3" t="inlineStr">
        <is>
          <t>TuckerRocky</t>
        </is>
      </c>
    </row>
    <row collapsed="false" customFormat="false" customHeight="false" hidden="false" ht="12.1" outlineLevel="0" r="3224">
      <c r="A3224" s="3" t="s">
        <f>=HYPERLINK("https://mp39851918.megaplan.ua/deals/103111/card/","17411")</f>
      </c>
      <c r="B3224" s="3" t="inlineStr">
        <is>
          <t>114-5245644-1806662</t>
        </is>
      </c>
      <c r="C3224" s="3" t="inlineStr">
        <is>
          <t>TuckerRocky</t>
        </is>
      </c>
    </row>
    <row collapsed="false" customFormat="false" customHeight="false" hidden="false" ht="12.1" outlineLevel="0" r="3225">
      <c r="A3225" s="3" t="s">
        <f>=HYPERLINK("https://mp39851918.megaplan.ua/deals/103117/card/","17412")</f>
      </c>
      <c r="B3225" s="3" t="inlineStr">
        <is>
          <t>114-6464241-7937848</t>
        </is>
      </c>
      <c r="C3225" s="3" t="inlineStr">
        <is>
          <t>TuckerRocky</t>
        </is>
      </c>
    </row>
    <row collapsed="false" customFormat="false" customHeight="false" hidden="false" ht="12.1" outlineLevel="0" r="3226">
      <c r="A3226" s="3" t="s">
        <f>=HYPERLINK("https://mp39851918.megaplan.ua/deals/103120/card/","17413")</f>
      </c>
      <c r="B3226" s="3" t="inlineStr">
        <is>
          <t>113-9464174-0545064</t>
        </is>
      </c>
      <c r="C3226" s="3" t="inlineStr">
        <is>
          <t>PartsUnlimited</t>
        </is>
      </c>
    </row>
    <row collapsed="false" customFormat="false" customHeight="false" hidden="false" ht="12.1" outlineLevel="0" r="3227">
      <c r="A3227" s="3" t="s">
        <f>=HYPERLINK("https://mp39851918.megaplan.ua/deals/103121/card/","17414")</f>
      </c>
      <c r="B3227" s="3" t="inlineStr">
        <is>
          <t>111-9458018-0079429</t>
        </is>
      </c>
      <c r="C3227" s="3" t="inlineStr">
        <is>
          <t>TuckerRocky</t>
        </is>
      </c>
    </row>
    <row collapsed="false" customFormat="false" customHeight="false" hidden="false" ht="12.1" outlineLevel="0" r="3228">
      <c r="A3228" s="3" t="s">
        <f>=HYPERLINK("https://mp39851918.megaplan.ua/deals/103126/card/","17415")</f>
      </c>
      <c r="B3228" s="3" t="inlineStr">
        <is>
          <t>112-6486654-8569028</t>
        </is>
      </c>
      <c r="C3228" s="3" t="inlineStr">
        <is>
          <t>TuckerRocky</t>
        </is>
      </c>
    </row>
    <row collapsed="false" customFormat="false" customHeight="false" hidden="false" ht="12.1" outlineLevel="0" r="3229">
      <c r="A3229" s="3" t="s">
        <f>=HYPERLINK("https://mp39851918.megaplan.ua/deals/103129/card/","17416")</f>
      </c>
      <c r="B3229" s="3" t="inlineStr">
        <is>
          <t>114-1136697-4960220</t>
        </is>
      </c>
      <c r="C3229" s="3" t="inlineStr">
        <is>
          <t>PartsUnlimited</t>
        </is>
      </c>
    </row>
    <row collapsed="false" customFormat="false" customHeight="false" hidden="false" ht="12.1" outlineLevel="0" r="3230">
      <c r="A3230" s="3" t="s">
        <f>=HYPERLINK("https://mp39851918.megaplan.ua/deals/103130/card/","17417")</f>
      </c>
      <c r="B3230" s="3" t="inlineStr">
        <is>
          <t>114-2742435-4566667</t>
        </is>
      </c>
      <c r="C3230" s="3" t="inlineStr">
        <is>
          <t>TuckerRocky</t>
        </is>
      </c>
    </row>
    <row collapsed="false" customFormat="false" customHeight="false" hidden="false" ht="12.1" outlineLevel="0" r="3231">
      <c r="A3231" s="3" t="s">
        <f>=HYPERLINK("https://mp39851918.megaplan.ua/deals/103131/card/","17418")</f>
      </c>
      <c r="B3231" s="3" t="inlineStr">
        <is>
          <t>111-8011101-3435448</t>
        </is>
      </c>
      <c r="C3231" s="3" t="inlineStr">
        <is>
          <t>TuckerRocky</t>
        </is>
      </c>
    </row>
    <row collapsed="false" customFormat="false" customHeight="false" hidden="false" ht="12.1" outlineLevel="0" r="3232">
      <c r="A3232" s="3" t="s">
        <f>=HYPERLINK("https://mp39851918.megaplan.ua/deals/103133/card/","17419")</f>
      </c>
      <c r="B3232" s="3" t="inlineStr">
        <is>
          <t>112-2129823-8294624</t>
        </is>
      </c>
      <c r="C3232" s="3" t="inlineStr">
        <is>
          <t>RockyMountain</t>
        </is>
      </c>
    </row>
    <row collapsed="false" customFormat="false" customHeight="false" hidden="false" ht="12.1" outlineLevel="0" r="3233">
      <c r="A3233" s="3" t="s">
        <f>=HYPERLINK("https://mp39851918.megaplan.ua/deals/103134/card/","17420")</f>
      </c>
      <c r="B3233" s="3" t="inlineStr">
        <is>
          <t>111-3790660-1577016</t>
        </is>
      </c>
      <c r="C3233" s="3" t="inlineStr">
        <is>
          <t>Autodist</t>
        </is>
      </c>
    </row>
    <row collapsed="false" customFormat="false" customHeight="false" hidden="false" ht="12.1" outlineLevel="0" r="3234">
      <c r="A3234" s="3" t="s">
        <f>=HYPERLINK("https://mp39851918.megaplan.ua/deals/103135/card/","17421")</f>
      </c>
      <c r="B3234" s="3" t="inlineStr">
        <is>
          <t>114-7481577-5688226</t>
        </is>
      </c>
      <c r="C3234" s="3" t="inlineStr">
        <is>
          <t>RockyMountain</t>
        </is>
      </c>
    </row>
    <row collapsed="false" customFormat="false" customHeight="false" hidden="false" ht="12.1" outlineLevel="0" r="3235">
      <c r="A3235" s="3" t="s">
        <f>=HYPERLINK("https://mp39851918.megaplan.ua/deals/103136/card/","17422")</f>
      </c>
      <c r="B3235" s="3" t="inlineStr">
        <is>
          <t>112-2996103-7946661</t>
        </is>
      </c>
      <c r="C3235" s="3" t="inlineStr">
        <is>
          <t>RockyMountain</t>
        </is>
      </c>
    </row>
    <row collapsed="false" customFormat="false" customHeight="false" hidden="false" ht="12.1" outlineLevel="0" r="3236">
      <c r="A3236" s="3" t="s">
        <f>=HYPERLINK("https://mp39851918.megaplan.ua/deals/103137/card/","17423")</f>
      </c>
      <c r="B3236" s="3" t="inlineStr">
        <is>
          <t>111-1984574-3895418</t>
        </is>
      </c>
      <c r="C3236" s="3" t="inlineStr">
        <is>
          <t>TuckerRocky</t>
        </is>
      </c>
    </row>
    <row collapsed="false" customFormat="false" customHeight="false" hidden="false" ht="12.1" outlineLevel="0" r="3237">
      <c r="A3237" s="3" t="s">
        <f>=HYPERLINK("https://mp39851918.megaplan.ua/deals/103138/card/","17424")</f>
      </c>
      <c r="B3237" s="3" t="inlineStr">
        <is>
          <t>113-3340021-1069064</t>
        </is>
      </c>
      <c r="C3237" s="3" t="inlineStr">
        <is>
          <t>TuckerRocky</t>
        </is>
      </c>
    </row>
    <row collapsed="false" customFormat="false" customHeight="false" hidden="false" ht="12.1" outlineLevel="0" r="3238">
      <c r="A3238" s="3" t="s">
        <f>=HYPERLINK("https://mp39851918.megaplan.ua/deals/103139/card/","17425")</f>
      </c>
      <c r="B3238" s="3" t="inlineStr">
        <is>
          <t>114-5298043-8066659</t>
        </is>
      </c>
      <c r="C3238" s="3" t="inlineStr">
        <is>
          <t>RockyMountain</t>
        </is>
      </c>
    </row>
    <row collapsed="false" customFormat="false" customHeight="false" hidden="false" ht="12.1" outlineLevel="0" r="3239">
      <c r="A3239" s="3" t="s">
        <f>=HYPERLINK("https://mp39851918.megaplan.ua/deals/103140/card/","17426")</f>
      </c>
      <c r="B3239" s="3" t="inlineStr">
        <is>
          <t>112-6227029-0632245</t>
        </is>
      </c>
      <c r="C3239" s="3" t="inlineStr">
        <is>
          <t>PartsUnlimited</t>
        </is>
      </c>
    </row>
    <row collapsed="false" customFormat="false" customHeight="false" hidden="false" ht="12.1" outlineLevel="0" r="3240">
      <c r="A3240" s="3" t="s">
        <f>=HYPERLINK("https://mp39851918.megaplan.ua/deals/103148/card/","17427")</f>
      </c>
      <c r="B3240" s="3" t="inlineStr">
        <is>
          <t>112-0481919-1324244</t>
        </is>
      </c>
      <c r="C3240" s="3" t="inlineStr">
        <is>
          <t>Autodist</t>
        </is>
      </c>
    </row>
    <row collapsed="false" customFormat="false" customHeight="false" hidden="false" ht="12.1" outlineLevel="0" r="3241">
      <c r="A3241" s="3" t="s">
        <f>=HYPERLINK("https://mp39851918.megaplan.ua/deals/103154/card/","17428")</f>
      </c>
      <c r="B3241" s="3" t="inlineStr">
        <is>
          <t>112-8360685-9289058</t>
        </is>
      </c>
      <c r="C3241" s="3" t="inlineStr">
        <is>
          <t>PartsUnlimited</t>
        </is>
      </c>
    </row>
    <row collapsed="false" customFormat="false" customHeight="false" hidden="false" ht="12.1" outlineLevel="0" r="3242">
      <c r="A3242" s="3" t="s">
        <f>=HYPERLINK("https://mp39851918.megaplan.ua/deals/103172/card/","17430")</f>
      </c>
      <c r="B3242" s="3" t="inlineStr">
        <is>
          <t>112-9570722-3454636</t>
        </is>
      </c>
      <c r="C3242" s="3" t="inlineStr">
        <is>
          <t>TuckerRocky</t>
        </is>
      </c>
    </row>
    <row collapsed="false" customFormat="false" customHeight="false" hidden="false" ht="12.1" outlineLevel="0" r="3243">
      <c r="A3243" s="3" t="s">
        <f>=HYPERLINK("https://mp39851918.megaplan.ua/deals/103176/card/","17431")</f>
      </c>
      <c r="B3243" s="3" t="inlineStr">
        <is>
          <t>114-5781662-2705062</t>
        </is>
      </c>
      <c r="C3243" s="3" t="inlineStr">
        <is>
          <t>RockyMountain</t>
        </is>
      </c>
    </row>
    <row collapsed="false" customFormat="false" customHeight="false" hidden="false" ht="12.1" outlineLevel="0" r="3244">
      <c r="A3244" s="3" t="s">
        <f>=HYPERLINK("https://mp39851918.megaplan.ua/deals/103182/card/","17432")</f>
      </c>
      <c r="B3244" s="3" t="inlineStr">
        <is>
          <t>113-2169953-8363449</t>
        </is>
      </c>
      <c r="C3244" s="3" t="inlineStr">
        <is>
          <t>RockyMountain</t>
        </is>
      </c>
    </row>
    <row collapsed="false" customFormat="false" customHeight="false" hidden="false" ht="12.1" outlineLevel="0" r="3245">
      <c r="A3245" s="3" t="s">
        <f>=HYPERLINK("https://mp39851918.megaplan.ua/deals/103187/card/","17433")</f>
      </c>
      <c r="B3245" s="3" t="inlineStr">
        <is>
          <t>114-5760572-3217810</t>
        </is>
      </c>
      <c r="C3245" s="3" t="inlineStr">
        <is>
          <t>RockyMountain</t>
        </is>
      </c>
    </row>
    <row collapsed="false" customFormat="false" customHeight="false" hidden="false" ht="12.1" outlineLevel="0" r="3246">
      <c r="A3246" s="3" t="s">
        <f>=HYPERLINK("https://mp39851918.megaplan.ua/deals/103188/card/","17434")</f>
      </c>
      <c r="B3246" s="3" t="inlineStr">
        <is>
          <t>112-0232992-6067453</t>
        </is>
      </c>
      <c r="C3246" s="3" t="inlineStr">
        <is>
          <t>RockyMountain</t>
        </is>
      </c>
    </row>
    <row collapsed="false" customFormat="false" customHeight="false" hidden="false" ht="12.1" outlineLevel="0" r="3247">
      <c r="A3247" s="3" t="s">
        <f>=HYPERLINK("https://mp39851918.megaplan.ua/deals/103189/card/","17435")</f>
      </c>
      <c r="B3247" s="3" t="inlineStr">
        <is>
          <t>111-4529001-9453065</t>
        </is>
      </c>
      <c r="C3247" s="3" t="inlineStr">
        <is>
          <t>RockyMountain</t>
        </is>
      </c>
    </row>
    <row collapsed="false" customFormat="false" customHeight="false" hidden="false" ht="12.1" outlineLevel="0" r="3248">
      <c r="A3248" s="3" t="s">
        <f>=HYPERLINK("https://mp39851918.megaplan.ua/deals/103190/card/","17436")</f>
      </c>
      <c r="B3248" s="3" t="inlineStr">
        <is>
          <t>113-0356820-6549052</t>
        </is>
      </c>
      <c r="C3248" s="3" t="inlineStr">
        <is>
          <t>RockyMountain</t>
        </is>
      </c>
    </row>
    <row collapsed="false" customFormat="false" customHeight="false" hidden="false" ht="12.1" outlineLevel="0" r="3249">
      <c r="A3249" s="3" t="s">
        <f>=HYPERLINK("https://mp39851918.megaplan.ua/deals/103191/card/","17437")</f>
      </c>
      <c r="B3249" s="3" t="inlineStr">
        <is>
          <t>112-0375938-1077845</t>
        </is>
      </c>
      <c r="C3249" s="3" t="inlineStr">
        <is>
          <t>RockyMountain</t>
        </is>
      </c>
    </row>
    <row collapsed="false" customFormat="false" customHeight="false" hidden="false" ht="12.1" outlineLevel="0" r="3250">
      <c r="A3250" s="3" t="s">
        <f>=HYPERLINK("https://mp39851918.megaplan.ua/deals/103192/card/","17438")</f>
      </c>
      <c r="B3250" s="3" t="inlineStr">
        <is>
          <t>112-0126298-0260275</t>
        </is>
      </c>
      <c r="C3250" s="3" t="inlineStr">
        <is>
          <t>RockyMountain</t>
        </is>
      </c>
    </row>
    <row collapsed="false" customFormat="false" customHeight="false" hidden="false" ht="12.1" outlineLevel="0" r="3251">
      <c r="A3251" s="3" t="s">
        <f>=HYPERLINK("https://mp39851918.megaplan.ua/deals/103193/card/","17439")</f>
      </c>
      <c r="B3251" s="3" t="inlineStr">
        <is>
          <t>112-5463577-6469822</t>
        </is>
      </c>
      <c r="C3251" s="3" t="inlineStr">
        <is>
          <t>RockyMountain</t>
        </is>
      </c>
    </row>
    <row collapsed="false" customFormat="false" customHeight="false" hidden="false" ht="12.1" outlineLevel="0" r="3252">
      <c r="A3252" s="3" t="s">
        <f>=HYPERLINK("https://mp39851918.megaplan.ua/deals/103194/card/","17440")</f>
      </c>
      <c r="B3252" s="3" t="inlineStr">
        <is>
          <t>112-5879399-4198620</t>
        </is>
      </c>
      <c r="C3252" s="3" t="inlineStr">
        <is>
          <t>RockyMountain</t>
        </is>
      </c>
    </row>
    <row collapsed="false" customFormat="false" customHeight="false" hidden="false" ht="12.1" outlineLevel="0" r="3253">
      <c r="A3253" s="3" t="s">
        <f>=HYPERLINK("https://mp39851918.megaplan.ua/deals/103195/card/","17441")</f>
      </c>
      <c r="B3253" s="3" t="inlineStr">
        <is>
          <t>114-0627971-5891430</t>
        </is>
      </c>
      <c r="C3253" s="3" t="inlineStr">
        <is>
          <t>RockyMountain</t>
        </is>
      </c>
    </row>
    <row collapsed="false" customFormat="false" customHeight="false" hidden="false" ht="12.1" outlineLevel="0" r="3254">
      <c r="A3254" s="3" t="s">
        <f>=HYPERLINK("https://mp39851918.megaplan.ua/deals/103214/card/","17443")</f>
      </c>
      <c r="B3254" s="3" t="inlineStr">
        <is>
          <t>112-7242275-3010660</t>
        </is>
      </c>
      <c r="C3254" s="3" t="inlineStr">
        <is>
          <t>TuckerRocky</t>
        </is>
      </c>
    </row>
    <row collapsed="false" customFormat="false" customHeight="false" hidden="false" ht="12.1" outlineLevel="0" r="3255">
      <c r="A3255" s="3" t="s">
        <f>=HYPERLINK("https://mp39851918.megaplan.ua/deals/103216/card/","17444")</f>
      </c>
      <c r="B3255" s="3" t="inlineStr">
        <is>
          <t>114-9623075-3704250</t>
        </is>
      </c>
      <c r="C3255" s="3" t="inlineStr">
        <is>
          <t>Autodist</t>
        </is>
      </c>
    </row>
    <row collapsed="false" customFormat="false" customHeight="false" hidden="false" ht="12.1" outlineLevel="0" r="3256">
      <c r="A3256" s="3" t="s">
        <f>=HYPERLINK("https://mp39851918.megaplan.ua/deals/103222/card/","17445")</f>
      </c>
      <c r="B3256" s="3" t="inlineStr">
        <is>
          <t>111-5800903-0970632</t>
        </is>
      </c>
      <c r="C3256" s="3" t="inlineStr">
        <is>
          <t>RockyMountain</t>
        </is>
      </c>
    </row>
    <row collapsed="false" customFormat="false" customHeight="false" hidden="false" ht="12.1" outlineLevel="0" r="3257">
      <c r="A3257" s="3" t="s">
        <f>=HYPERLINK("https://mp39851918.megaplan.ua/deals/103228/card/","17446")</f>
      </c>
      <c r="B3257" s="3" t="inlineStr">
        <is>
          <t>112-3537073-2680222</t>
        </is>
      </c>
      <c r="C3257" s="3" t="inlineStr">
        <is>
          <t>TuckerRocky</t>
        </is>
      </c>
    </row>
    <row collapsed="false" customFormat="false" customHeight="false" hidden="false" ht="12.1" outlineLevel="0" r="3258">
      <c r="A3258" s="3" t="s">
        <f>=HYPERLINK("https://mp39851918.megaplan.ua/deals/103246/card/","17448")</f>
      </c>
      <c r="B3258" s="3" t="inlineStr">
        <is>
          <t>114-1074423-4642633</t>
        </is>
      </c>
      <c r="C3258" s="3" t="inlineStr">
        <is>
          <t>Autodist</t>
        </is>
      </c>
    </row>
    <row collapsed="false" customFormat="false" customHeight="false" hidden="false" ht="12.1" outlineLevel="0" r="3259">
      <c r="A3259" s="3" t="s">
        <f>=HYPERLINK("https://mp39851918.megaplan.ua/deals/103252/card/","17449")</f>
      </c>
      <c r="B3259" s="3" t="inlineStr">
        <is>
          <t>113-8461318-0336249</t>
        </is>
      </c>
      <c r="C3259" s="3" t="inlineStr">
        <is>
          <t>PartsUnlimited</t>
        </is>
      </c>
    </row>
    <row collapsed="false" customFormat="false" customHeight="false" hidden="false" ht="12.1" outlineLevel="0" r="3260">
      <c r="A3260" s="3" t="s">
        <f>=HYPERLINK("https://mp39851918.megaplan.ua/deals/103277/card/","17450")</f>
      </c>
      <c r="B3260" s="3" t="inlineStr">
        <is>
          <t>112-4408509-9212214</t>
        </is>
      </c>
      <c r="C3260" s="3" t="inlineStr">
        <is>
          <t>TuckerRocky</t>
        </is>
      </c>
    </row>
    <row collapsed="false" customFormat="false" customHeight="false" hidden="false" ht="12.1" outlineLevel="0" r="3261">
      <c r="A3261" s="3" t="s">
        <f>=HYPERLINK("https://mp39851918.megaplan.ua/deals/103278/card/","17451")</f>
      </c>
      <c r="B3261" s="3" t="inlineStr">
        <is>
          <t>114-1129362-1585840</t>
        </is>
      </c>
      <c r="C3261" s="3" t="inlineStr">
        <is>
          <t>Autodist</t>
        </is>
      </c>
    </row>
    <row collapsed="false" customFormat="false" customHeight="false" hidden="false" ht="12.1" outlineLevel="0" r="3262">
      <c r="A3262" s="3" t="s">
        <f>=HYPERLINK("https://mp39851918.megaplan.ua/deals/103287/card/","17452")</f>
      </c>
      <c r="B3262" s="3" t="inlineStr">
        <is>
          <t>112-1477575-9469054</t>
        </is>
      </c>
      <c r="C3262" s="3" t="inlineStr">
        <is>
          <t>TuckerRocky</t>
        </is>
      </c>
    </row>
    <row collapsed="false" customFormat="false" customHeight="false" hidden="false" ht="12.1" outlineLevel="0" r="3263">
      <c r="A3263" s="3" t="s">
        <f>=HYPERLINK("https://mp39851918.megaplan.ua/deals/103294/card/","17453")</f>
      </c>
      <c r="B3263" s="3" t="inlineStr">
        <is>
          <t>113-2800695-0704248</t>
        </is>
      </c>
      <c r="C3263" s="3" t="inlineStr">
        <is>
          <t>PartsUnlimited</t>
        </is>
      </c>
    </row>
    <row collapsed="false" customFormat="false" customHeight="false" hidden="false" ht="12.1" outlineLevel="0" r="3264">
      <c r="A3264" s="3" t="s">
        <f>=HYPERLINK("https://mp39851918.megaplan.ua/deals/103317/card/","17455")</f>
      </c>
      <c r="B3264" s="3" t="inlineStr">
        <is>
          <t>114-6093353-7573025</t>
        </is>
      </c>
      <c r="C3264" s="3" t="inlineStr">
        <is>
          <t>PartsUnlimited</t>
        </is>
      </c>
    </row>
    <row collapsed="false" customFormat="false" customHeight="false" hidden="false" ht="12.1" outlineLevel="0" r="3265">
      <c r="A3265" s="3" t="s">
        <f>=HYPERLINK("https://mp39851918.megaplan.ua/deals/103318/card/","17456")</f>
      </c>
      <c r="B3265" s="3" t="inlineStr">
        <is>
          <t>114-0669110-0859464</t>
        </is>
      </c>
      <c r="C3265" s="3" t="inlineStr">
        <is>
          <t>TuckerRocky</t>
        </is>
      </c>
    </row>
    <row collapsed="false" customFormat="false" customHeight="false" hidden="false" ht="12.1" outlineLevel="0" r="3266">
      <c r="A3266" s="3" t="s">
        <f>=HYPERLINK("https://mp39851918.megaplan.ua/deals/103319/card/","17457")</f>
      </c>
      <c r="B3266" s="3" t="inlineStr">
        <is>
          <t>111-8351924-6302667</t>
        </is>
      </c>
      <c r="C3266" s="3" t="inlineStr">
        <is>
          <t>Autodist</t>
        </is>
      </c>
    </row>
    <row collapsed="false" customFormat="false" customHeight="false" hidden="false" ht="12.1" outlineLevel="0" r="3267">
      <c r="A3267" s="3" t="s">
        <f>=HYPERLINK("https://mp39851918.megaplan.ua/deals/103354/card/","17460")</f>
      </c>
      <c r="B3267" s="3" t="inlineStr">
        <is>
          <t>112-8074213-7461007</t>
        </is>
      </c>
      <c r="C3267" s="3" t="inlineStr">
        <is>
          <t>PartsUnlimited</t>
        </is>
      </c>
    </row>
    <row collapsed="false" customFormat="false" customHeight="false" hidden="false" ht="12.1" outlineLevel="0" r="3268">
      <c r="A3268" s="3" t="s">
        <f>=HYPERLINK("https://mp39851918.megaplan.ua/deals/103355/card/","17461")</f>
      </c>
      <c r="B3268" s="3" t="inlineStr">
        <is>
          <t>112-1912097-7481020</t>
        </is>
      </c>
      <c r="C3268" s="3" t="inlineStr">
        <is>
          <t>RockyMountain</t>
        </is>
      </c>
    </row>
    <row collapsed="false" customFormat="false" customHeight="false" hidden="false" ht="12.1" outlineLevel="0" r="3269">
      <c r="A3269" s="3" t="s">
        <f>=HYPERLINK("https://mp39851918.megaplan.ua/deals/103378/card/","17463")</f>
      </c>
      <c r="B3269" s="3" t="inlineStr">
        <is>
          <t>113-8568626-7559416</t>
        </is>
      </c>
      <c r="C3269" s="3" t="inlineStr">
        <is>
          <t>TuckerRocky</t>
        </is>
      </c>
    </row>
    <row collapsed="false" customFormat="false" customHeight="false" hidden="false" ht="12.1" outlineLevel="0" r="3270">
      <c r="A3270" s="3" t="s">
        <f>=HYPERLINK("https://mp39851918.megaplan.ua/deals/103393/card/","17464")</f>
      </c>
      <c r="B3270" s="3" t="inlineStr">
        <is>
          <t>111-2737550-4260242</t>
        </is>
      </c>
      <c r="C3270" s="3" t="inlineStr">
        <is>
          <t>RockyMountain</t>
        </is>
      </c>
    </row>
    <row collapsed="false" customFormat="false" customHeight="false" hidden="false" ht="12.1" outlineLevel="0" r="3271">
      <c r="A3271" s="3" t="s">
        <f>=HYPERLINK("https://mp39851918.megaplan.ua/deals/103403/card/","17466")</f>
      </c>
      <c r="B3271" s="3" t="inlineStr">
        <is>
          <t>111-8283226-4119407</t>
        </is>
      </c>
      <c r="C3271" s="3" t="inlineStr">
        <is>
          <t>PartsUnlimited</t>
        </is>
      </c>
    </row>
    <row collapsed="false" customFormat="false" customHeight="false" hidden="false" ht="12.1" outlineLevel="0" r="3272">
      <c r="A3272" s="3" t="s">
        <f>=HYPERLINK("https://mp39851918.megaplan.ua/deals/103426/card/","17467")</f>
      </c>
      <c r="B3272" s="3" t="inlineStr">
        <is>
          <t>111-2433763-1989823</t>
        </is>
      </c>
      <c r="C3272" s="3" t="inlineStr">
        <is>
          <t>TuckerRocky</t>
        </is>
      </c>
    </row>
    <row collapsed="false" customFormat="false" customHeight="false" hidden="false" ht="12.1" outlineLevel="0" r="3273">
      <c r="A3273" s="3" t="s">
        <f>=HYPERLINK("https://mp39851918.megaplan.ua/deals/103439/card/","17468")</f>
      </c>
      <c r="B3273" s="3" t="inlineStr">
        <is>
          <t>114-7570326-2687441</t>
        </is>
      </c>
      <c r="C3273" s="3" t="inlineStr">
        <is>
          <t>PartsUnlimited</t>
        </is>
      </c>
    </row>
    <row collapsed="false" customFormat="false" customHeight="false" hidden="false" ht="12.1" outlineLevel="0" r="3274">
      <c r="A3274" s="3" t="s">
        <f>=HYPERLINK("https://mp39851918.megaplan.ua/deals/103454/card/","17469")</f>
      </c>
      <c r="B3274" s="3" t="inlineStr">
        <is>
          <t>112-1554705-2167405</t>
        </is>
      </c>
      <c r="C3274" s="3" t="inlineStr">
        <is>
          <t>Autodist</t>
        </is>
      </c>
    </row>
    <row collapsed="false" customFormat="false" customHeight="false" hidden="false" ht="12.1" outlineLevel="0" r="3275">
      <c r="A3275" s="3" t="s">
        <f>=HYPERLINK("https://mp39851918.megaplan.ua/deals/103459/card/","17470")</f>
      </c>
      <c r="B3275" s="3" t="inlineStr">
        <is>
          <t>112-4594227-6918647</t>
        </is>
      </c>
      <c r="C3275" s="3" t="inlineStr">
        <is>
          <t>Autodist</t>
        </is>
      </c>
    </row>
    <row collapsed="false" customFormat="false" customHeight="false" hidden="false" ht="12.1" outlineLevel="0" r="3276">
      <c r="A3276" s="3" t="s">
        <f>=HYPERLINK("https://mp39851918.megaplan.ua/deals/103463/card/","17471")</f>
      </c>
      <c r="B3276" s="3" t="inlineStr">
        <is>
          <t>111-3866914-2087469</t>
        </is>
      </c>
      <c r="C3276" s="3" t="inlineStr">
        <is>
          <t>PartsUnlimited</t>
        </is>
      </c>
    </row>
    <row collapsed="false" customFormat="false" customHeight="false" hidden="false" ht="12.1" outlineLevel="0" r="3277">
      <c r="A3277" s="3" t="s">
        <f>=HYPERLINK("https://mp39851918.megaplan.ua/deals/103467/card/","17472")</f>
      </c>
      <c r="B3277" s="3" t="inlineStr">
        <is>
          <t>114-6508516-1823431</t>
        </is>
      </c>
      <c r="C3277" s="3" t="inlineStr">
        <is>
          <t>RockyMountain</t>
        </is>
      </c>
    </row>
    <row collapsed="false" customFormat="false" customHeight="false" hidden="false" ht="12.1" outlineLevel="0" r="3278">
      <c r="A3278" s="3" t="s">
        <f>=HYPERLINK("https://mp39851918.megaplan.ua/deals/103474/card/","17473")</f>
      </c>
      <c r="B3278" s="3" t="inlineStr">
        <is>
          <t>112-1217777-1189028</t>
        </is>
      </c>
      <c r="C3278" s="3" t="inlineStr">
        <is>
          <t>Autodist</t>
        </is>
      </c>
    </row>
    <row collapsed="false" customFormat="false" customHeight="false" hidden="false" ht="12.1" outlineLevel="0" r="3279">
      <c r="A3279" s="3" t="s">
        <f>=HYPERLINK("https://mp39851918.megaplan.ua/deals/103490/card/","17475")</f>
      </c>
      <c r="B3279" s="3" t="inlineStr">
        <is>
          <t>113-7682372-7091421</t>
        </is>
      </c>
      <c r="C3279" s="3" t="inlineStr">
        <is>
          <t>RockyMountain</t>
        </is>
      </c>
    </row>
    <row collapsed="false" customFormat="false" customHeight="false" hidden="false" ht="12.1" outlineLevel="0" r="3280">
      <c r="A3280" s="3" t="s">
        <f>=HYPERLINK("https://mp39851918.megaplan.ua/deals/103491/card/","17476")</f>
      </c>
      <c r="B3280" s="3" t="inlineStr">
        <is>
          <t>113-1967495-3499434</t>
        </is>
      </c>
      <c r="C3280" s="3" t="inlineStr">
        <is>
          <t>Autodist</t>
        </is>
      </c>
    </row>
    <row collapsed="false" customFormat="false" customHeight="false" hidden="false" ht="12.1" outlineLevel="0" r="3281">
      <c r="A3281" s="3" t="s">
        <f>=HYPERLINK("https://mp39851918.megaplan.ua/deals/103494/card/","17477")</f>
      </c>
      <c r="B3281" s="3" t="inlineStr">
        <is>
          <t>112-5667846-3766613</t>
        </is>
      </c>
      <c r="C3281" s="3" t="inlineStr">
        <is>
          <t>TuckerRocky</t>
        </is>
      </c>
    </row>
    <row collapsed="false" customFormat="false" customHeight="false" hidden="false" ht="12.1" outlineLevel="0" r="3282">
      <c r="A3282" s="3" t="s">
        <f>=HYPERLINK("https://mp39851918.megaplan.ua/deals/103496/card/","17478")</f>
      </c>
      <c r="B3282" s="3" t="inlineStr">
        <is>
          <t>112-7685208-4229030</t>
        </is>
      </c>
      <c r="C3282" s="3" t="inlineStr">
        <is>
          <t>RockyMountain</t>
        </is>
      </c>
    </row>
    <row collapsed="false" customFormat="false" customHeight="false" hidden="false" ht="12.1" outlineLevel="0" r="3283">
      <c r="A3283" s="3" t="s">
        <f>=HYPERLINK("https://mp39851918.megaplan.ua/deals/103497/card/","17479")</f>
      </c>
      <c r="B3283" s="3" t="inlineStr">
        <is>
          <t>111-0612305-4967442</t>
        </is>
      </c>
      <c r="C3283" s="3" t="inlineStr">
        <is>
          <t>TuckerRocky</t>
        </is>
      </c>
    </row>
    <row collapsed="false" customFormat="false" customHeight="false" hidden="false" ht="12.1" outlineLevel="0" r="3284">
      <c r="A3284" s="3" t="s">
        <f>=HYPERLINK("https://mp39851918.megaplan.ua/deals/103498/card/","17480")</f>
      </c>
      <c r="B3284" s="3" t="inlineStr">
        <is>
          <t>113-7137721-1850605</t>
        </is>
      </c>
      <c r="C3284" s="3" t="inlineStr">
        <is>
          <t>RockyMountain</t>
        </is>
      </c>
    </row>
    <row collapsed="false" customFormat="false" customHeight="false" hidden="false" ht="12.1" outlineLevel="0" r="3285">
      <c r="A3285" s="3" t="s">
        <f>=HYPERLINK("https://mp39851918.megaplan.ua/deals/103499/card/","17481")</f>
      </c>
      <c r="B3285" s="3" t="inlineStr">
        <is>
          <t>114-7928950-6684227</t>
        </is>
      </c>
      <c r="C3285" s="3" t="inlineStr">
        <is>
          <t>PartsUnlimited</t>
        </is>
      </c>
    </row>
    <row collapsed="false" customFormat="false" customHeight="false" hidden="false" ht="12.1" outlineLevel="0" r="3286">
      <c r="A3286" s="3" t="s">
        <f>=HYPERLINK("https://mp39851918.megaplan.ua/deals/103500/card/","17482")</f>
      </c>
      <c r="B3286" s="3" t="inlineStr">
        <is>
          <t>113-3231619-3911450</t>
        </is>
      </c>
      <c r="C3286" s="3" t="inlineStr">
        <is>
          <t>PartsUnlimited</t>
        </is>
      </c>
    </row>
    <row collapsed="false" customFormat="false" customHeight="false" hidden="false" ht="12.1" outlineLevel="0" r="3287">
      <c r="A3287" s="3" t="s">
        <f>=HYPERLINK("https://mp39851918.megaplan.ua/deals/103501/card/","17483")</f>
      </c>
      <c r="B3287" s="3" t="inlineStr">
        <is>
          <t>114-2452045-5272246</t>
        </is>
      </c>
      <c r="C3287" s="3" t="inlineStr">
        <is>
          <t>PartsUnlimited</t>
        </is>
      </c>
    </row>
    <row collapsed="false" customFormat="false" customHeight="false" hidden="false" ht="12.1" outlineLevel="0" r="3288">
      <c r="A3288" s="3" t="s">
        <f>=HYPERLINK("https://mp39851918.megaplan.ua/deals/103509/card/","17484")</f>
      </c>
      <c r="B3288" s="3" t="inlineStr">
        <is>
          <t>112-1276341-3164268</t>
        </is>
      </c>
      <c r="C3288" s="3" t="inlineStr">
        <is>
          <t>TuckerRocky</t>
        </is>
      </c>
    </row>
    <row collapsed="false" customFormat="false" customHeight="false" hidden="false" ht="12.1" outlineLevel="0" r="3289">
      <c r="A3289" s="3" t="s">
        <f>=HYPERLINK("https://mp39851918.megaplan.ua/deals/103511/card/","17485")</f>
      </c>
      <c r="B3289" s="3" t="inlineStr">
        <is>
          <t>112-7665006-4543446</t>
        </is>
      </c>
      <c r="C3289" s="3" t="inlineStr">
        <is>
          <t>Autodist</t>
        </is>
      </c>
    </row>
    <row collapsed="false" customFormat="false" customHeight="false" hidden="false" ht="12.1" outlineLevel="0" r="3290">
      <c r="A3290" s="3" t="s">
        <f>=HYPERLINK("https://mp39851918.megaplan.ua/deals/103525/card/","17489")</f>
      </c>
      <c r="B3290" s="3" t="inlineStr">
        <is>
          <t>114-3827025-2552242</t>
        </is>
      </c>
      <c r="C3290" s="3" t="inlineStr">
        <is>
          <t>TuckerRocky</t>
        </is>
      </c>
    </row>
    <row collapsed="false" customFormat="false" customHeight="false" hidden="false" ht="12.1" outlineLevel="0" r="3291">
      <c r="A3291" s="3" t="s">
        <f>=HYPERLINK("https://mp39851918.megaplan.ua/deals/103530/card/","17491")</f>
      </c>
      <c r="B3291" s="3" t="inlineStr">
        <is>
          <t>114-0985031-8784246</t>
        </is>
      </c>
      <c r="C3291" s="3" t="inlineStr">
        <is>
          <t>RockyMountain</t>
        </is>
      </c>
    </row>
    <row collapsed="false" customFormat="false" customHeight="false" hidden="false" ht="12.1" outlineLevel="0" r="3292">
      <c r="A3292" s="3" t="s">
        <f>=HYPERLINK("https://mp39851918.megaplan.ua/deals/103538/card/","17496")</f>
      </c>
      <c r="B3292" s="3" t="inlineStr">
        <is>
          <t>112-2945006-3307451</t>
        </is>
      </c>
      <c r="C3292" s="3" t="inlineStr">
        <is>
          <t>RockyMountain</t>
        </is>
      </c>
    </row>
    <row collapsed="false" customFormat="false" customHeight="false" hidden="false" ht="12.1" outlineLevel="0" r="3293">
      <c r="A3293" s="3" t="s">
        <f>=HYPERLINK("https://mp39851918.megaplan.ua/deals/103541/card/","17497")</f>
      </c>
      <c r="B3293" s="3" t="inlineStr">
        <is>
          <t>111-1505192-7504251</t>
        </is>
      </c>
      <c r="C3293" s="3" t="inlineStr">
        <is>
          <t>RockyMountain</t>
        </is>
      </c>
    </row>
    <row collapsed="false" customFormat="false" customHeight="false" hidden="false" ht="12.1" outlineLevel="0" r="3294">
      <c r="A3294" s="3" t="s">
        <f>=HYPERLINK("https://mp39851918.megaplan.ua/deals/103542/card/","17498")</f>
      </c>
      <c r="B3294" s="3" t="inlineStr">
        <is>
          <t>111-6164806-5277005</t>
        </is>
      </c>
      <c r="C3294" s="3" t="inlineStr">
        <is>
          <t>RockyMountain</t>
        </is>
      </c>
    </row>
    <row collapsed="false" customFormat="false" customHeight="false" hidden="false" ht="12.1" outlineLevel="0" r="3295">
      <c r="A3295" s="3" t="s">
        <f>=HYPERLINK("https://mp39851918.megaplan.ua/deals/103543/card/","17499")</f>
      </c>
      <c r="B3295" s="3" t="inlineStr">
        <is>
          <t>114-2780554-2887463</t>
        </is>
      </c>
      <c r="C3295" s="3" t="inlineStr">
        <is>
          <t>RockyMountain</t>
        </is>
      </c>
    </row>
    <row collapsed="false" customFormat="false" customHeight="false" hidden="false" ht="12.1" outlineLevel="0" r="3296">
      <c r="A3296" s="3" t="s">
        <f>=HYPERLINK("https://mp39851918.megaplan.ua/deals/103544/card/","17500")</f>
      </c>
      <c r="B3296" s="3" t="inlineStr">
        <is>
          <t>113-1980994-1980262</t>
        </is>
      </c>
      <c r="C3296" s="3" t="inlineStr">
        <is>
          <t>PartsUnlimited</t>
        </is>
      </c>
    </row>
    <row collapsed="false" customFormat="false" customHeight="false" hidden="false" ht="12.1" outlineLevel="0" r="3297">
      <c r="A3297" s="3" t="s">
        <f>=HYPERLINK("https://mp39851918.megaplan.ua/deals/103547/card/","17501")</f>
      </c>
      <c r="B3297" s="3" t="inlineStr">
        <is>
          <t>114-8908408-1083467</t>
        </is>
      </c>
      <c r="C3297" s="3" t="inlineStr">
        <is>
          <t>RockyMountain</t>
        </is>
      </c>
    </row>
    <row collapsed="false" customFormat="false" customHeight="false" hidden="false" ht="12.1" outlineLevel="0" r="3298">
      <c r="A3298" s="3" t="s">
        <f>=HYPERLINK("https://mp39851918.megaplan.ua/deals/103555/card/","17502")</f>
      </c>
      <c r="B3298" s="3" t="inlineStr">
        <is>
          <t>114-6703263-2053011</t>
        </is>
      </c>
      <c r="C3298" s="3" t="inlineStr">
        <is>
          <t>RockyMountain</t>
        </is>
      </c>
    </row>
    <row collapsed="false" customFormat="false" customHeight="false" hidden="false" ht="12.1" outlineLevel="0" r="3299">
      <c r="A3299" s="3" t="s">
        <f>=HYPERLINK("https://mp39851918.megaplan.ua/deals/103568/card/","17503")</f>
      </c>
      <c r="B3299" s="3" t="inlineStr">
        <is>
          <t>113-2732288-2869843</t>
        </is>
      </c>
      <c r="C3299" s="3" t="inlineStr">
        <is>
          <t>Autodist</t>
        </is>
      </c>
    </row>
    <row collapsed="false" customFormat="false" customHeight="false" hidden="false" ht="12.1" outlineLevel="0" r="3300">
      <c r="A3300" s="3" t="s">
        <f>=HYPERLINK("https://mp39851918.megaplan.ua/deals/103590/card/","17505")</f>
      </c>
      <c r="B3300" s="3" t="inlineStr">
        <is>
          <t>113-2044376-2388235</t>
        </is>
      </c>
      <c r="C3300" s="3" t="inlineStr">
        <is>
          <t>TuckerRocky</t>
        </is>
      </c>
    </row>
    <row collapsed="false" customFormat="false" customHeight="false" hidden="false" ht="12.1" outlineLevel="0" r="3301">
      <c r="A3301" s="3" t="s">
        <f>=HYPERLINK("https://mp39851918.megaplan.ua/deals/103591/card/","17506")</f>
      </c>
      <c r="B3301" s="3" t="inlineStr">
        <is>
          <t>113-3626120-0236209</t>
        </is>
      </c>
      <c r="C3301" s="3" t="inlineStr">
        <is>
          <t>TuckerRocky</t>
        </is>
      </c>
    </row>
    <row collapsed="false" customFormat="false" customHeight="false" hidden="false" ht="12.1" outlineLevel="0" r="3302">
      <c r="A3302" s="3" t="s">
        <f>=HYPERLINK("https://mp39851918.megaplan.ua/deals/103608/card/","17508")</f>
      </c>
      <c r="B3302" s="3" t="inlineStr">
        <is>
          <t>112-4573225-2746638</t>
        </is>
      </c>
      <c r="C3302" s="3" t="inlineStr">
        <is>
          <t>RockyMountain</t>
        </is>
      </c>
    </row>
    <row collapsed="false" customFormat="false" customHeight="false" hidden="false" ht="12.1" outlineLevel="0" r="3303">
      <c r="A3303" s="3" t="s">
        <f>=HYPERLINK("https://mp39851918.megaplan.ua/deals/103636/card/","17509")</f>
      </c>
      <c r="B3303" s="3" t="inlineStr">
        <is>
          <t>111-4572871-2349043</t>
        </is>
      </c>
      <c r="C3303" s="3" t="inlineStr">
        <is>
          <t>TuckerRocky</t>
        </is>
      </c>
    </row>
    <row collapsed="false" customFormat="false" customHeight="false" hidden="false" ht="12.1" outlineLevel="0" r="3304">
      <c r="A3304" s="3" t="s">
        <f>=HYPERLINK("https://mp39851918.megaplan.ua/deals/103640/card/","17510")</f>
      </c>
      <c r="B3304" s="3" t="inlineStr">
        <is>
          <t>112-5216366-3496265</t>
        </is>
      </c>
      <c r="C3304" s="3" t="inlineStr">
        <is>
          <t>TuckerRocky</t>
        </is>
      </c>
    </row>
    <row collapsed="false" customFormat="false" customHeight="false" hidden="false" ht="12.1" outlineLevel="0" r="3305">
      <c r="A3305" s="3" t="s">
        <f>=HYPERLINK("https://mp39851918.megaplan.ua/deals/103677/card/","17514")</f>
      </c>
      <c r="B3305" s="3" t="inlineStr">
        <is>
          <t>113-5550091-0016221</t>
        </is>
      </c>
      <c r="C3305" s="3" t="inlineStr">
        <is>
          <t>TuckerRocky</t>
        </is>
      </c>
    </row>
    <row collapsed="false" customFormat="false" customHeight="false" hidden="false" ht="12.1" outlineLevel="0" r="3306">
      <c r="A3306" s="3" t="s">
        <f>=HYPERLINK("https://mp39851918.megaplan.ua/deals/103681/card/","17515")</f>
      </c>
      <c r="B3306" s="3" t="inlineStr">
        <is>
          <t>111-2394411-0395419</t>
        </is>
      </c>
      <c r="C3306" s="3" t="inlineStr">
        <is>
          <t>Autodist</t>
        </is>
      </c>
    </row>
    <row collapsed="false" customFormat="false" customHeight="false" hidden="false" ht="12.1" outlineLevel="0" r="3307">
      <c r="A3307" s="3" t="s">
        <f>=HYPERLINK("https://mp39851918.megaplan.ua/deals/103683/card/","17516")</f>
      </c>
      <c r="B3307" s="3" t="inlineStr">
        <is>
          <t>113-3961056-8717037</t>
        </is>
      </c>
      <c r="C3307" s="3" t="inlineStr">
        <is>
          <t>Autodist</t>
        </is>
      </c>
    </row>
    <row collapsed="false" customFormat="false" customHeight="false" hidden="false" ht="12.1" outlineLevel="0" r="3308">
      <c r="A3308" s="3" t="s">
        <f>=HYPERLINK("https://mp39851918.megaplan.ua/deals/103684/card/","17517")</f>
      </c>
      <c r="B3308" s="3" t="inlineStr">
        <is>
          <t>114-9657125-3945020</t>
        </is>
      </c>
      <c r="C3308" s="3" t="inlineStr">
        <is>
          <t>Autodist</t>
        </is>
      </c>
    </row>
    <row collapsed="false" customFormat="false" customHeight="false" hidden="false" ht="12.1" outlineLevel="0" r="3309">
      <c r="A3309" s="3" t="s">
        <f>=HYPERLINK("https://mp39851918.megaplan.ua/deals/103685/card/","17518")</f>
      </c>
      <c r="B3309" s="3" t="inlineStr">
        <is>
          <t>114-2178588-0612242</t>
        </is>
      </c>
      <c r="C3309" s="3" t="inlineStr">
        <is>
          <t>Autodist</t>
        </is>
      </c>
    </row>
    <row collapsed="false" customFormat="false" customHeight="false" hidden="false" ht="12.1" outlineLevel="0" r="3310">
      <c r="A3310" s="3" t="s">
        <f>=HYPERLINK("https://mp39851918.megaplan.ua/deals/103689/card/","17519")</f>
      </c>
      <c r="B3310" s="3" t="inlineStr">
        <is>
          <t>113-6706076-1121843</t>
        </is>
      </c>
      <c r="C3310" s="3" t="inlineStr">
        <is>
          <t>Autodist</t>
        </is>
      </c>
    </row>
    <row collapsed="false" customFormat="false" customHeight="false" hidden="false" ht="12.1" outlineLevel="0" r="3311">
      <c r="A3311" s="3" t="s">
        <f>=HYPERLINK("https://mp39851918.megaplan.ua/deals/103695/card/","17521")</f>
      </c>
      <c r="B3311" s="3" t="inlineStr">
        <is>
          <t>111-3918001-4522637</t>
        </is>
      </c>
      <c r="C3311" s="3" t="inlineStr">
        <is>
          <t>PartsUnlimited</t>
        </is>
      </c>
    </row>
    <row collapsed="false" customFormat="false" customHeight="false" hidden="false" ht="12.1" outlineLevel="0" r="3312">
      <c r="A3312" s="3" t="s">
        <f>=HYPERLINK("https://mp39851918.megaplan.ua/deals/103698/card/","17522")</f>
      </c>
      <c r="B3312" s="3" t="inlineStr">
        <is>
          <t>112-2168293-3885841</t>
        </is>
      </c>
      <c r="C3312" s="3" t="inlineStr">
        <is>
          <t>PartsUnlimited</t>
        </is>
      </c>
    </row>
    <row collapsed="false" customFormat="false" customHeight="false" hidden="false" ht="12.1" outlineLevel="0" r="3313">
      <c r="A3313" s="3" t="s">
        <f>=HYPERLINK("https://mp39851918.megaplan.ua/deals/103721/card/","17525")</f>
      </c>
      <c r="B3313" s="3" t="inlineStr">
        <is>
          <t>114-5653778-0922636</t>
        </is>
      </c>
      <c r="C3313" s="3" t="inlineStr">
        <is>
          <t>TuckerRocky</t>
        </is>
      </c>
    </row>
    <row collapsed="false" customFormat="false" customHeight="false" hidden="false" ht="12.1" outlineLevel="0" r="3314">
      <c r="A3314" s="3" t="s">
        <f>=HYPERLINK("https://mp39851918.megaplan.ua/deals/103740/card/","17526")</f>
      </c>
      <c r="B3314" s="3" t="inlineStr">
        <is>
          <t>113-8846489-8098632</t>
        </is>
      </c>
      <c r="C3314" s="3" t="inlineStr">
        <is>
          <t>TuckerRocky</t>
        </is>
      </c>
    </row>
    <row collapsed="false" customFormat="false" customHeight="false" hidden="false" ht="12.1" outlineLevel="0" r="3315">
      <c r="A3315" s="3" t="s">
        <f>=HYPERLINK("https://mp39851918.megaplan.ua/deals/103751/card/","17528")</f>
      </c>
      <c r="B3315" s="3" t="inlineStr">
        <is>
          <t>112-6612482-0076219</t>
        </is>
      </c>
      <c r="C3315" s="3" t="inlineStr">
        <is>
          <t>TuckerRocky</t>
        </is>
      </c>
    </row>
    <row collapsed="false" customFormat="false" customHeight="false" hidden="false" ht="12.1" outlineLevel="0" r="3316">
      <c r="A3316" s="3" t="s">
        <f>=HYPERLINK("https://mp39851918.megaplan.ua/deals/103753/card/","17529")</f>
      </c>
      <c r="B3316" s="3" t="inlineStr">
        <is>
          <t>114-5426292-9568258</t>
        </is>
      </c>
      <c r="C3316" s="3" t="inlineStr">
        <is>
          <t>TuckerRocky</t>
        </is>
      </c>
    </row>
    <row collapsed="false" customFormat="false" customHeight="false" hidden="false" ht="12.1" outlineLevel="0" r="3317">
      <c r="A3317" s="3" t="s">
        <f>=HYPERLINK("https://mp39851918.megaplan.ua/deals/103772/card/","17531")</f>
      </c>
      <c r="B3317" s="3" t="inlineStr">
        <is>
          <t>113-4277166-2465030</t>
        </is>
      </c>
      <c r="C3317" s="3" t="inlineStr">
        <is>
          <t>Autodist</t>
        </is>
      </c>
    </row>
    <row collapsed="false" customFormat="false" customHeight="false" hidden="false" ht="12.1" outlineLevel="0" r="3318">
      <c r="A3318" s="3" t="s">
        <f>=HYPERLINK("https://mp39851918.megaplan.ua/deals/103776/card/","17532")</f>
      </c>
      <c r="B3318" s="3" t="inlineStr">
        <is>
          <t>111-7241945-7673839</t>
        </is>
      </c>
      <c r="C3318" s="3" t="inlineStr">
        <is>
          <t>Autodist</t>
        </is>
      </c>
    </row>
    <row collapsed="false" customFormat="false" customHeight="false" hidden="false" ht="12.1" outlineLevel="0" r="3319">
      <c r="A3319" s="3" t="s">
        <f>=HYPERLINK("https://mp39851918.megaplan.ua/deals/103779/card/","17533")</f>
      </c>
      <c r="B3319" s="3" t="inlineStr">
        <is>
          <t>113-0125575-4886609</t>
        </is>
      </c>
      <c r="C3319" s="3" t="inlineStr">
        <is>
          <t>TuckerRocky</t>
        </is>
      </c>
    </row>
    <row collapsed="false" customFormat="false" customHeight="false" hidden="false" ht="12.1" outlineLevel="0" r="3320">
      <c r="A3320" s="3" t="s">
        <f>=HYPERLINK("https://mp39851918.megaplan.ua/deals/103787/card/","17534")</f>
      </c>
      <c r="B3320" s="3" t="inlineStr">
        <is>
          <t>112-2732785-4600208</t>
        </is>
      </c>
      <c r="C3320" s="3" t="inlineStr">
        <is>
          <t>RockyMountain</t>
        </is>
      </c>
    </row>
    <row collapsed="false" customFormat="false" customHeight="false" hidden="false" ht="12.1" outlineLevel="0" r="3321">
      <c r="A3321" s="3" t="s">
        <f>=HYPERLINK("https://mp39851918.megaplan.ua/deals/103794/card/","17535")</f>
      </c>
      <c r="B3321" s="3" t="inlineStr">
        <is>
          <t>111-0796648-5895437</t>
        </is>
      </c>
      <c r="C3321" s="3" t="inlineStr">
        <is>
          <t>TuckerRocky</t>
        </is>
      </c>
    </row>
    <row collapsed="false" customFormat="false" customHeight="false" hidden="false" ht="12.1" outlineLevel="0" r="3322">
      <c r="A3322" s="3" t="s">
        <f>=HYPERLINK("https://mp39851918.megaplan.ua/deals/103795/card/","17536")</f>
      </c>
      <c r="B3322" s="3" t="inlineStr">
        <is>
          <t>114-8093163-2716218</t>
        </is>
      </c>
      <c r="C3322" s="3" t="inlineStr">
        <is>
          <t>TuckerRocky</t>
        </is>
      </c>
    </row>
    <row collapsed="false" customFormat="false" customHeight="false" hidden="false" ht="12.1" outlineLevel="0" r="3323">
      <c r="A3323" s="3" t="s">
        <f>=HYPERLINK("https://mp39851918.megaplan.ua/deals/103808/card/","17537")</f>
      </c>
      <c r="B3323" s="3" t="inlineStr">
        <is>
          <t>113-0289419-6753876</t>
        </is>
      </c>
      <c r="C3323" s="3" t="inlineStr">
        <is>
          <t>Autodist</t>
        </is>
      </c>
    </row>
    <row collapsed="false" customFormat="false" customHeight="false" hidden="false" ht="12.1" outlineLevel="0" r="3324">
      <c r="A3324" s="3" t="s">
        <f>=HYPERLINK("https://mp39851918.megaplan.ua/deals/103809/card/","17538")</f>
      </c>
      <c r="B3324" s="3" t="inlineStr">
        <is>
          <t>114-5623208-5739404</t>
        </is>
      </c>
      <c r="C3324" s="3" t="inlineStr">
        <is>
          <t>Autodist</t>
        </is>
      </c>
    </row>
    <row collapsed="false" customFormat="false" customHeight="false" hidden="false" ht="12.1" outlineLevel="0" r="3325">
      <c r="A3325" s="3" t="s">
        <f>=HYPERLINK("https://mp39851918.megaplan.ua/deals/103821/card/","17539")</f>
      </c>
      <c r="B3325" s="3" t="inlineStr">
        <is>
          <t>112-1837553-3153004</t>
        </is>
      </c>
      <c r="C3325" s="3" t="inlineStr">
        <is>
          <t>TuckerRocky</t>
        </is>
      </c>
    </row>
    <row collapsed="false" customFormat="false" customHeight="false" hidden="false" ht="12.1" outlineLevel="0" r="3326">
      <c r="A3326" s="3" t="s">
        <f>=HYPERLINK("https://mp39851918.megaplan.ua/deals/103828/card/","17540")</f>
      </c>
      <c r="B3326" s="3" t="inlineStr">
        <is>
          <t>113-6880846-5325015</t>
        </is>
      </c>
      <c r="C3326" s="3" t="inlineStr">
        <is>
          <t>TuckerRocky</t>
        </is>
      </c>
    </row>
    <row collapsed="false" customFormat="false" customHeight="false" hidden="false" ht="12.1" outlineLevel="0" r="3327">
      <c r="A3327" s="3" t="s">
        <f>=HYPERLINK("https://mp39851918.megaplan.ua/deals/103836/card/","17542")</f>
      </c>
      <c r="B3327" s="3" t="inlineStr">
        <is>
          <t>112-5303368-1750646</t>
        </is>
      </c>
      <c r="C3327" s="3" t="inlineStr">
        <is>
          <t>TuckerRocky</t>
        </is>
      </c>
    </row>
    <row collapsed="false" customFormat="false" customHeight="false" hidden="false" ht="12.1" outlineLevel="0" r="3328">
      <c r="A3328" s="3" t="s">
        <f>=HYPERLINK("https://mp39851918.megaplan.ua/deals/103837/card/","17543")</f>
      </c>
      <c r="B3328" s="3" t="inlineStr">
        <is>
          <t>114-1638984-1112254</t>
        </is>
      </c>
      <c r="C3328" s="3" t="inlineStr">
        <is>
          <t>PartsUnlimited</t>
        </is>
      </c>
    </row>
    <row collapsed="false" customFormat="false" customHeight="false" hidden="false" ht="12.1" outlineLevel="0" r="3329">
      <c r="A3329" s="3" t="s">
        <f>=HYPERLINK("https://mp39851918.megaplan.ua/deals/103850/card/","17545")</f>
      </c>
      <c r="B3329" s="3" t="inlineStr">
        <is>
          <t>111-1611377-2892234</t>
        </is>
      </c>
      <c r="C3329" s="3" t="inlineStr">
        <is>
          <t>Autodist</t>
        </is>
      </c>
    </row>
    <row collapsed="false" customFormat="false" customHeight="false" hidden="false" ht="12.1" outlineLevel="0" r="3330">
      <c r="A3330" s="3" t="s">
        <f>=HYPERLINK("https://mp39851918.megaplan.ua/deals/103853/card/","17547")</f>
      </c>
      <c r="B3330" s="3" t="inlineStr">
        <is>
          <t>111-8168849-1474658</t>
        </is>
      </c>
      <c r="C3330" s="3" t="inlineStr">
        <is>
          <t>Autodist</t>
        </is>
      </c>
    </row>
    <row collapsed="false" customFormat="false" customHeight="false" hidden="false" ht="12.1" outlineLevel="0" r="3331">
      <c r="A3331" s="3" t="s">
        <f>=HYPERLINK("https://mp39851918.megaplan.ua/deals/103858/card/","17548")</f>
      </c>
      <c r="B3331" s="3" t="inlineStr">
        <is>
          <t>113-2185072-0582606</t>
        </is>
      </c>
      <c r="C3331" s="3" t="inlineStr">
        <is>
          <t>TuckerRocky</t>
        </is>
      </c>
    </row>
    <row collapsed="false" customFormat="false" customHeight="false" hidden="false" ht="12.1" outlineLevel="0" r="3332">
      <c r="A3332" s="3" t="s">
        <f>=HYPERLINK("https://mp39851918.megaplan.ua/deals/103872/card/","17550")</f>
      </c>
      <c r="B3332" s="3" t="inlineStr">
        <is>
          <t>111-2946912-0529068</t>
        </is>
      </c>
      <c r="C3332" s="3" t="inlineStr">
        <is>
          <t>TuckerRocky</t>
        </is>
      </c>
    </row>
    <row collapsed="false" customFormat="false" customHeight="false" hidden="false" ht="12.1" outlineLevel="0" r="3333">
      <c r="A3333" s="3" t="s">
        <f>=HYPERLINK("https://mp39851918.megaplan.ua/deals/103877/card/","17551")</f>
      </c>
      <c r="B3333" s="3" t="inlineStr">
        <is>
          <t>113-6461644-5958608</t>
        </is>
      </c>
      <c r="C3333" s="3" t="inlineStr">
        <is>
          <t>RockyMountain</t>
        </is>
      </c>
    </row>
    <row collapsed="false" customFormat="false" customHeight="false" hidden="false" ht="12.1" outlineLevel="0" r="3334">
      <c r="A3334" s="3" t="s">
        <f>=HYPERLINK("https://mp39851918.megaplan.ua/deals/103883/card/","17552")</f>
      </c>
      <c r="B3334" s="3" t="inlineStr">
        <is>
          <t>112-1793260-0799451</t>
        </is>
      </c>
      <c r="C3334" s="3" t="inlineStr">
        <is>
          <t>Autodist</t>
        </is>
      </c>
    </row>
    <row collapsed="false" customFormat="false" customHeight="false" hidden="false" ht="12.1" outlineLevel="0" r="3335">
      <c r="A3335" s="3" t="s">
        <f>=HYPERLINK("https://mp39851918.megaplan.ua/deals/103885/card/","17553")</f>
      </c>
      <c r="B3335" s="3" t="inlineStr">
        <is>
          <t>111-0469635-6209814</t>
        </is>
      </c>
      <c r="C3335" s="3" t="inlineStr">
        <is>
          <t>RockyMountain</t>
        </is>
      </c>
    </row>
    <row collapsed="false" customFormat="false" customHeight="false" hidden="false" ht="12.1" outlineLevel="0" r="3336">
      <c r="A3336" s="3" t="s">
        <f>=HYPERLINK("https://mp39851918.megaplan.ua/deals/103886/card/","17554")</f>
      </c>
      <c r="B3336" s="3" t="inlineStr">
        <is>
          <t>113-6219642-7407437</t>
        </is>
      </c>
      <c r="C3336" s="3" t="inlineStr">
        <is>
          <t>RockyMountain</t>
        </is>
      </c>
    </row>
    <row collapsed="false" customFormat="false" customHeight="false" hidden="false" ht="12.1" outlineLevel="0" r="3337">
      <c r="A3337" s="3" t="s">
        <f>=HYPERLINK("https://mp39851918.megaplan.ua/deals/103887/card/","17555")</f>
      </c>
      <c r="B3337" s="3" t="inlineStr">
        <is>
          <t>114-7951749-6383444</t>
        </is>
      </c>
      <c r="C3337" s="3" t="inlineStr">
        <is>
          <t>RockyMountain</t>
        </is>
      </c>
    </row>
    <row collapsed="false" customFormat="false" customHeight="false" hidden="false" ht="12.1" outlineLevel="0" r="3338">
      <c r="A3338" s="3" t="s">
        <f>=HYPERLINK("https://mp39851918.megaplan.ua/deals/103888/card/","17556")</f>
      </c>
      <c r="B3338" s="3" t="inlineStr">
        <is>
          <t>114-8289135-3662664</t>
        </is>
      </c>
      <c r="C3338" s="3" t="inlineStr">
        <is>
          <t>RockyMountain</t>
        </is>
      </c>
    </row>
    <row collapsed="false" customFormat="false" customHeight="false" hidden="false" ht="12.1" outlineLevel="0" r="3339">
      <c r="A3339" s="3" t="s">
        <f>=HYPERLINK("https://mp39851918.megaplan.ua/deals/103894/card/","17557")</f>
      </c>
      <c r="B3339" s="3" t="inlineStr">
        <is>
          <t>114-1606894-3662620</t>
        </is>
      </c>
      <c r="C3339" s="3" t="inlineStr">
        <is>
          <t>Autodist</t>
        </is>
      </c>
    </row>
    <row collapsed="false" customFormat="false" customHeight="false" hidden="false" ht="12.1" outlineLevel="0" r="3340">
      <c r="A3340" s="3" t="s">
        <f>=HYPERLINK("https://mp39851918.megaplan.ua/deals/103896/card/","17558")</f>
      </c>
      <c r="B3340" s="3" t="inlineStr">
        <is>
          <t>111-2266223-5864208</t>
        </is>
      </c>
      <c r="C3340" s="3" t="inlineStr">
        <is>
          <t>TuckerRocky</t>
        </is>
      </c>
    </row>
    <row collapsed="false" customFormat="false" customHeight="false" hidden="false" ht="12.1" outlineLevel="0" r="3341">
      <c r="A3341" s="3" t="s">
        <f>=HYPERLINK("https://mp39851918.megaplan.ua/deals/103897/card/","17559")</f>
      </c>
      <c r="B3341" s="3" t="inlineStr">
        <is>
          <t>113-2338452-4427464</t>
        </is>
      </c>
      <c r="C3341" s="3" t="inlineStr">
        <is>
          <t>PartsUnlimited</t>
        </is>
      </c>
    </row>
    <row collapsed="false" customFormat="false" customHeight="false" hidden="false" ht="12.1" outlineLevel="0" r="3342">
      <c r="A3342" s="3" t="s">
        <f>=HYPERLINK("https://mp39851918.megaplan.ua/deals/103898/card/","17560")</f>
      </c>
      <c r="B3342" s="3" t="inlineStr">
        <is>
          <t>114-0402877-6145044</t>
        </is>
      </c>
      <c r="C3342" s="3" t="inlineStr">
        <is>
          <t>PartsUnlimited</t>
        </is>
      </c>
    </row>
    <row collapsed="false" customFormat="false" customHeight="false" hidden="false" ht="12.1" outlineLevel="0" r="3343">
      <c r="A3343" s="3" t="s">
        <f>=HYPERLINK("https://mp39851918.megaplan.ua/deals/103899/card/","17561")</f>
      </c>
      <c r="B3343" s="3" t="inlineStr">
        <is>
          <t>113-7833293-2329002</t>
        </is>
      </c>
      <c r="C3343" s="3" t="inlineStr">
        <is>
          <t>TuckerRocky</t>
        </is>
      </c>
    </row>
    <row collapsed="false" customFormat="false" customHeight="false" hidden="false" ht="12.1" outlineLevel="0" r="3344">
      <c r="A3344" s="3" t="s">
        <f>=HYPERLINK("https://mp39851918.megaplan.ua/deals/103900/card/","17562")</f>
      </c>
      <c r="B3344" s="3" t="inlineStr">
        <is>
          <t>112-6938491-9461856</t>
        </is>
      </c>
      <c r="C3344" s="3" t="inlineStr">
        <is>
          <t>TuckerRocky</t>
        </is>
      </c>
    </row>
    <row collapsed="false" customFormat="false" customHeight="false" hidden="false" ht="12.1" outlineLevel="0" r="3345">
      <c r="A3345" s="3" t="s">
        <f>=HYPERLINK("https://mp39851918.megaplan.ua/deals/103933/card/","17565")</f>
      </c>
      <c r="B3345" s="3" t="inlineStr">
        <is>
          <t>112-0125727-5954654</t>
        </is>
      </c>
      <c r="C3345" s="3" t="inlineStr">
        <is>
          <t>TuckerRocky</t>
        </is>
      </c>
    </row>
    <row collapsed="false" customFormat="false" customHeight="false" hidden="false" ht="12.1" outlineLevel="0" r="3346">
      <c r="A3346" s="3" t="s">
        <f>=HYPERLINK("https://mp39851918.megaplan.ua/deals/103949/card/","17567")</f>
      </c>
      <c r="B3346" s="3" t="inlineStr">
        <is>
          <t>113-5664832-4655463</t>
        </is>
      </c>
      <c r="C3346" s="3" t="inlineStr">
        <is>
          <t>RockyMountain</t>
        </is>
      </c>
    </row>
    <row collapsed="false" customFormat="false" customHeight="false" hidden="false" ht="12.1" outlineLevel="0" r="3347">
      <c r="A3347" s="3" t="s">
        <f>=HYPERLINK("https://mp39851918.megaplan.ua/deals/103951/card/","17568")</f>
      </c>
      <c r="B3347" s="3" t="inlineStr">
        <is>
          <t>114-4179238-0462657</t>
        </is>
      </c>
      <c r="C3347" s="3" t="inlineStr">
        <is>
          <t>RockyMountain</t>
        </is>
      </c>
    </row>
    <row collapsed="false" customFormat="false" customHeight="false" hidden="false" ht="12.1" outlineLevel="0" r="3348">
      <c r="A3348" s="3" t="s">
        <f>=HYPERLINK("https://mp39851918.megaplan.ua/deals/103953/card/","17569")</f>
      </c>
      <c r="B3348" s="3" t="inlineStr">
        <is>
          <t>112-8149270-0904203</t>
        </is>
      </c>
      <c r="C3348" s="3" t="inlineStr">
        <is>
          <t>Autodist</t>
        </is>
      </c>
    </row>
    <row collapsed="false" customFormat="false" customHeight="false" hidden="false" ht="12.1" outlineLevel="0" r="3349">
      <c r="A3349" s="3" t="s">
        <f>=HYPERLINK("https://mp39851918.megaplan.ua/deals/103954/card/","17570")</f>
      </c>
      <c r="B3349" s="3" t="inlineStr">
        <is>
          <t>113-2961808-3424223</t>
        </is>
      </c>
      <c r="C3349" s="3" t="inlineStr">
        <is>
          <t>Autodist</t>
        </is>
      </c>
    </row>
    <row collapsed="false" customFormat="false" customHeight="false" hidden="false" ht="12.1" outlineLevel="0" r="3350">
      <c r="A3350" s="3" t="s">
        <f>=HYPERLINK("https://mp39851918.megaplan.ua/deals/103955/card/","17571")</f>
      </c>
      <c r="B3350" s="3" t="inlineStr">
        <is>
          <t>114-9776485-5657852</t>
        </is>
      </c>
      <c r="C3350" s="3" t="inlineStr">
        <is>
          <t>RockyMountain</t>
        </is>
      </c>
    </row>
    <row collapsed="false" customFormat="false" customHeight="false" hidden="false" ht="12.1" outlineLevel="0" r="3351">
      <c r="A3351" s="3" t="s">
        <f>=HYPERLINK("https://mp39851918.megaplan.ua/deals/103956/card/","17572")</f>
      </c>
      <c r="B3351" s="3" t="inlineStr">
        <is>
          <t>113-0264693-6507438</t>
        </is>
      </c>
      <c r="C3351" s="3" t="inlineStr">
        <is>
          <t>TuckerRocky</t>
        </is>
      </c>
    </row>
    <row collapsed="false" customFormat="false" customHeight="false" hidden="false" ht="12.1" outlineLevel="0" r="3352">
      <c r="A3352" s="3" t="s">
        <f>=HYPERLINK("https://mp39851918.megaplan.ua/deals/103959/card/","17573")</f>
      </c>
      <c r="B3352" s="3" t="inlineStr">
        <is>
          <t>114-4611289-0487455</t>
        </is>
      </c>
      <c r="C3352" s="3" t="inlineStr">
        <is>
          <t>TuckerRocky</t>
        </is>
      </c>
    </row>
    <row collapsed="false" customFormat="false" customHeight="false" hidden="false" ht="12.1" outlineLevel="0" r="3353">
      <c r="A3353" s="3" t="s">
        <f>=HYPERLINK("https://mp39851918.megaplan.ua/deals/103972/card/","17574")</f>
      </c>
      <c r="B3353" s="3" t="inlineStr">
        <is>
          <t>112-2168173-9565861</t>
        </is>
      </c>
      <c r="C3353" s="3" t="inlineStr">
        <is>
          <t>TuckerRocky</t>
        </is>
      </c>
    </row>
    <row collapsed="false" customFormat="false" customHeight="false" hidden="false" ht="12.1" outlineLevel="0" r="3354">
      <c r="A3354" s="3" t="s">
        <f>=HYPERLINK("https://mp39851918.megaplan.ua/deals/103981/card/","17576")</f>
      </c>
      <c r="B3354" s="3" t="inlineStr">
        <is>
          <t>113-3384604-2216206</t>
        </is>
      </c>
      <c r="C3354" s="3" t="inlineStr">
        <is>
          <t>TuckerRocky</t>
        </is>
      </c>
    </row>
    <row collapsed="false" customFormat="false" customHeight="false" hidden="false" ht="12.1" outlineLevel="0" r="3355">
      <c r="A3355" s="3" t="s">
        <f>=HYPERLINK("https://mp39851918.megaplan.ua/deals/103986/card/","17577")</f>
      </c>
      <c r="B3355" s="3" t="inlineStr">
        <is>
          <t>111-2151536-3497830</t>
        </is>
      </c>
      <c r="C3355" s="3" t="inlineStr">
        <is>
          <t>Autodist</t>
        </is>
      </c>
    </row>
    <row collapsed="false" customFormat="false" customHeight="false" hidden="false" ht="12.1" outlineLevel="0" r="3356">
      <c r="A3356" s="3" t="s">
        <f>=HYPERLINK("https://mp39851918.megaplan.ua/deals/103987/card/","17578")</f>
      </c>
      <c r="B3356" s="3" t="inlineStr">
        <is>
          <t>114-4202616-5373049</t>
        </is>
      </c>
      <c r="C3356" s="3" t="inlineStr">
        <is>
          <t>PartsUnlimited</t>
        </is>
      </c>
    </row>
    <row collapsed="false" customFormat="false" customHeight="false" hidden="false" ht="12.1" outlineLevel="0" r="3357">
      <c r="A3357" s="3" t="s">
        <f>=HYPERLINK("https://mp39851918.megaplan.ua/deals/103990/card/","17579")</f>
      </c>
      <c r="B3357" s="3" t="inlineStr">
        <is>
          <t>114-7316907-5857066</t>
        </is>
      </c>
      <c r="C3357" s="3" t="inlineStr">
        <is>
          <t>Autodist</t>
        </is>
      </c>
    </row>
    <row collapsed="false" customFormat="false" customHeight="false" hidden="false" ht="12.1" outlineLevel="0" r="3358">
      <c r="A3358" s="3" t="s">
        <f>=HYPERLINK("https://mp39851918.megaplan.ua/deals/103998/card/","17581")</f>
      </c>
      <c r="B3358" s="3" t="inlineStr">
        <is>
          <t>111-1083073-8197017</t>
        </is>
      </c>
      <c r="C3358" s="3" t="inlineStr">
        <is>
          <t>TuckerRocky</t>
        </is>
      </c>
    </row>
    <row collapsed="false" customFormat="false" customHeight="false" hidden="false" ht="12.1" outlineLevel="0" r="3359">
      <c r="A3359" s="3" t="s">
        <f>=HYPERLINK("https://mp39851918.megaplan.ua/deals/103999/card/","17582")</f>
      </c>
      <c r="B3359" s="3" t="inlineStr">
        <is>
          <t>111-2913322-7409802</t>
        </is>
      </c>
      <c r="C3359" s="3" t="inlineStr">
        <is>
          <t>RockyMountain</t>
        </is>
      </c>
    </row>
    <row collapsed="false" customFormat="false" customHeight="false" hidden="false" ht="12.1" outlineLevel="0" r="3360">
      <c r="A3360" s="3" t="s">
        <f>=HYPERLINK("https://mp39851918.megaplan.ua/deals/104000/card/","17583")</f>
      </c>
      <c r="B3360" s="3" t="inlineStr">
        <is>
          <t>113-0452365-4805009</t>
        </is>
      </c>
      <c r="C3360" s="3" t="inlineStr">
        <is>
          <t>TuckerRocky</t>
        </is>
      </c>
    </row>
    <row collapsed="false" customFormat="false" customHeight="false" hidden="false" ht="12.1" outlineLevel="0" r="3361">
      <c r="A3361" s="3" t="s">
        <f>=HYPERLINK("https://mp39851918.megaplan.ua/deals/104013/card/","17584")</f>
      </c>
      <c r="B3361" s="3" t="inlineStr">
        <is>
          <t>114-7963963-6644258</t>
        </is>
      </c>
      <c r="C3361" s="3" t="inlineStr">
        <is>
          <t>PartsUnlimited</t>
        </is>
      </c>
    </row>
    <row collapsed="false" customFormat="false" customHeight="false" hidden="false" ht="12.1" outlineLevel="0" r="3362">
      <c r="A3362" s="3" t="s">
        <f>=HYPERLINK("https://mp39851918.megaplan.ua/deals/104022/card/","17585")</f>
      </c>
      <c r="B3362" s="3" t="inlineStr">
        <is>
          <t>112-9742470-1457058</t>
        </is>
      </c>
      <c r="C3362" s="3" t="inlineStr">
        <is>
          <t>Autodist</t>
        </is>
      </c>
    </row>
    <row collapsed="false" customFormat="false" customHeight="false" hidden="false" ht="12.1" outlineLevel="0" r="3363">
      <c r="A3363" s="3" t="s">
        <f>=HYPERLINK("https://mp39851918.megaplan.ua/deals/104032/card/","17587")</f>
      </c>
      <c r="B3363" s="3" t="inlineStr">
        <is>
          <t>112-7481952-4297035</t>
        </is>
      </c>
      <c r="C3363" s="3" t="inlineStr">
        <is>
          <t>PartsUnlimited</t>
        </is>
      </c>
    </row>
    <row collapsed="false" customFormat="false" customHeight="false" hidden="false" ht="12.1" outlineLevel="0" r="3364">
      <c r="A3364" s="3" t="s">
        <f>=HYPERLINK("https://mp39851918.megaplan.ua/deals/104041/card/","17588")</f>
      </c>
      <c r="B3364" s="3" t="inlineStr">
        <is>
          <t>114-1053537-9137860</t>
        </is>
      </c>
      <c r="C3364" s="3" t="inlineStr">
        <is>
          <t>Autodist</t>
        </is>
      </c>
    </row>
    <row collapsed="false" customFormat="false" customHeight="false" hidden="false" ht="12.1" outlineLevel="0" r="3365">
      <c r="A3365" s="3" t="s">
        <f>=HYPERLINK("https://mp39851918.megaplan.ua/deals/104051/card/","17591")</f>
      </c>
      <c r="B3365" s="3" t="inlineStr">
        <is>
          <t>111-9266602-2528268</t>
        </is>
      </c>
      <c r="C3365" s="3" t="inlineStr">
        <is>
          <t>Autodist</t>
        </is>
      </c>
    </row>
    <row collapsed="false" customFormat="false" customHeight="false" hidden="false" ht="12.1" outlineLevel="0" r="3366">
      <c r="A3366" s="3" t="s">
        <f>=HYPERLINK("https://mp39851918.megaplan.ua/deals/104064/card/","17592")</f>
      </c>
      <c r="B3366" s="3" t="inlineStr">
        <is>
          <t>113-0439173-3539428</t>
        </is>
      </c>
      <c r="C3366" s="3" t="inlineStr">
        <is>
          <t>PartsUnlimited</t>
        </is>
      </c>
    </row>
    <row collapsed="false" customFormat="false" customHeight="false" hidden="false" ht="12.1" outlineLevel="0" r="3367">
      <c r="A3367" s="3" t="s">
        <f>=HYPERLINK("https://mp39851918.megaplan.ua/deals/104083/card/","17594")</f>
      </c>
      <c r="B3367" s="3" t="inlineStr">
        <is>
          <t>112-8653263-0873030</t>
        </is>
      </c>
      <c r="C3367" s="3" t="inlineStr">
        <is>
          <t>Autodist</t>
        </is>
      </c>
    </row>
    <row collapsed="false" customFormat="false" customHeight="false" hidden="false" ht="12.1" outlineLevel="0" r="3368">
      <c r="A3368" s="3" t="s">
        <f>=HYPERLINK("https://mp39851918.megaplan.ua/deals/104097/card/","17596")</f>
      </c>
      <c r="B3368" s="3" t="inlineStr">
        <is>
          <t>113-4946155-9666619</t>
        </is>
      </c>
      <c r="C3368" s="3" t="inlineStr">
        <is>
          <t>Autodist</t>
        </is>
      </c>
    </row>
    <row collapsed="false" customFormat="false" customHeight="false" hidden="false" ht="12.1" outlineLevel="0" r="3369">
      <c r="A3369" s="3" t="s">
        <f>=HYPERLINK("https://mp39851918.megaplan.ua/deals/104098/card/","17597")</f>
      </c>
      <c r="B3369" s="3" t="inlineStr">
        <is>
          <t>114-6844971-7733822</t>
        </is>
      </c>
      <c r="C3369" s="3" t="inlineStr">
        <is>
          <t>Autodist</t>
        </is>
      </c>
    </row>
    <row collapsed="false" customFormat="false" customHeight="false" hidden="false" ht="12.1" outlineLevel="0" r="3370">
      <c r="A3370" s="3" t="s">
        <f>=HYPERLINK("https://mp39851918.megaplan.ua/deals/104107/card/","17599")</f>
      </c>
      <c r="B3370" s="3" t="inlineStr">
        <is>
          <t>111-8979712-6250638</t>
        </is>
      </c>
      <c r="C3370" s="3" t="inlineStr">
        <is>
          <t>TuckerRocky</t>
        </is>
      </c>
    </row>
    <row collapsed="false" customFormat="false" customHeight="false" hidden="false" ht="12.1" outlineLevel="0" r="3371">
      <c r="A3371" s="3" t="s">
        <f>=HYPERLINK("https://mp39851918.megaplan.ua/deals/104108/card/","17600")</f>
      </c>
      <c r="B3371" s="3" t="inlineStr">
        <is>
          <t>111-4335765-6193803</t>
        </is>
      </c>
      <c r="C3371" s="3" t="inlineStr">
        <is>
          <t>RockyMountain</t>
        </is>
      </c>
    </row>
    <row collapsed="false" customFormat="false" customHeight="false" hidden="false" ht="12.1" outlineLevel="0" r="3372">
      <c r="A3372" s="3" t="s">
        <f>=HYPERLINK("https://mp39851918.megaplan.ua/deals/104110/card/","17601")</f>
      </c>
      <c r="B3372" s="3" t="inlineStr">
        <is>
          <t>113-9359408-8793031</t>
        </is>
      </c>
      <c r="C3372" s="3" t="inlineStr">
        <is>
          <t>Autodist</t>
        </is>
      </c>
    </row>
    <row collapsed="false" customFormat="false" customHeight="false" hidden="false" ht="12.1" outlineLevel="0" r="3373">
      <c r="A3373" s="3" t="s">
        <f>=HYPERLINK("https://mp39851918.megaplan.ua/deals/104121/card/","17602")</f>
      </c>
      <c r="B3373" s="3" t="inlineStr">
        <is>
          <t>114-0239995-2282622</t>
        </is>
      </c>
      <c r="C3373" s="3" t="inlineStr">
        <is>
          <t>TuckerRocky</t>
        </is>
      </c>
    </row>
    <row collapsed="false" customFormat="false" customHeight="false" hidden="false" ht="12.1" outlineLevel="0" r="3374">
      <c r="A3374" s="3" t="s">
        <f>=HYPERLINK("https://mp39851918.megaplan.ua/deals/104131/card/","17603")</f>
      </c>
      <c r="B3374" s="3" t="inlineStr">
        <is>
          <t>111-7434892-8332254</t>
        </is>
      </c>
      <c r="C3374" s="3" t="inlineStr">
        <is>
          <t>Autodist</t>
        </is>
      </c>
    </row>
    <row collapsed="false" customFormat="false" customHeight="false" hidden="false" ht="12.1" outlineLevel="0" r="3375">
      <c r="A3375" s="3" t="s">
        <f>=HYPERLINK("https://mp39851918.megaplan.ua/deals/104132/card/","17604")</f>
      </c>
      <c r="B3375" s="3" t="inlineStr">
        <is>
          <t>113-4336319-7596232</t>
        </is>
      </c>
      <c r="C3375" s="3" t="inlineStr">
        <is>
          <t>Autodist</t>
        </is>
      </c>
    </row>
    <row collapsed="false" customFormat="false" customHeight="false" hidden="false" ht="12.1" outlineLevel="0" r="3376">
      <c r="A3376" s="3" t="s">
        <f>=HYPERLINK("https://mp39851918.megaplan.ua/deals/104137/card/","17605")</f>
      </c>
      <c r="B3376" s="3" t="inlineStr">
        <is>
          <t>113-8630276-0446656</t>
        </is>
      </c>
      <c r="C3376" s="3" t="inlineStr">
        <is>
          <t>TuckerRocky</t>
        </is>
      </c>
    </row>
    <row collapsed="false" customFormat="false" customHeight="false" hidden="false" ht="12.1" outlineLevel="0" r="3377">
      <c r="A3377" s="3" t="s">
        <f>=HYPERLINK("https://mp39851918.megaplan.ua/deals/104142/card/","17608")</f>
      </c>
      <c r="B3377" s="3" t="inlineStr">
        <is>
          <t>112-1884596-4133006</t>
        </is>
      </c>
      <c r="C3377" s="3" t="inlineStr">
        <is>
          <t>Autodist</t>
        </is>
      </c>
    </row>
    <row collapsed="false" customFormat="false" customHeight="false" hidden="false" ht="12.1" outlineLevel="0" r="3378">
      <c r="A3378" s="3" t="s">
        <f>=HYPERLINK("https://mp39851918.megaplan.ua/deals/104145/card/","17609")</f>
      </c>
      <c r="B3378" s="3" t="inlineStr">
        <is>
          <t>111-2002193-4227425</t>
        </is>
      </c>
      <c r="C3378" s="3" t="inlineStr">
        <is>
          <t>TuckerRocky</t>
        </is>
      </c>
    </row>
    <row collapsed="false" customFormat="false" customHeight="false" hidden="false" ht="12.1" outlineLevel="0" r="3379">
      <c r="A3379" s="3" t="s">
        <f>=HYPERLINK("https://mp39851918.megaplan.ua/deals/104146/card/","17610")</f>
      </c>
      <c r="B3379" s="3" t="inlineStr">
        <is>
          <t>111-2343857-8625834</t>
        </is>
      </c>
      <c r="C3379" s="3" t="inlineStr">
        <is>
          <t>TuckerRocky</t>
        </is>
      </c>
    </row>
    <row collapsed="false" customFormat="false" customHeight="false" hidden="false" ht="12.1" outlineLevel="0" r="3380">
      <c r="A3380" s="3" t="s">
        <f>=HYPERLINK("https://mp39851918.megaplan.ua/deals/104151/card/","17611")</f>
      </c>
      <c r="B3380" s="3" t="inlineStr">
        <is>
          <t>113-7405683-3588203</t>
        </is>
      </c>
      <c r="C3380" s="3" t="inlineStr">
        <is>
          <t>Autodist</t>
        </is>
      </c>
    </row>
    <row collapsed="false" customFormat="false" customHeight="false" hidden="false" ht="12.1" outlineLevel="0" r="3381">
      <c r="A3381" s="3" t="s">
        <f>=HYPERLINK("https://mp39851918.megaplan.ua/deals/104160/card/","17613")</f>
      </c>
      <c r="B3381" s="3" t="inlineStr">
        <is>
          <t>112-6262573-2571402</t>
        </is>
      </c>
      <c r="C3381" s="3" t="inlineStr">
        <is>
          <t>Autodist</t>
        </is>
      </c>
    </row>
    <row collapsed="false" customFormat="false" customHeight="false" hidden="false" ht="12.1" outlineLevel="0" r="3382">
      <c r="A3382" s="3" t="s">
        <f>=HYPERLINK("https://mp39851918.megaplan.ua/deals/104161/card/","17614")</f>
      </c>
      <c r="B3382" s="3" t="inlineStr">
        <is>
          <t>112-5396628-4477040</t>
        </is>
      </c>
      <c r="C3382" s="3" t="inlineStr">
        <is>
          <t>TuckerRocky</t>
        </is>
      </c>
    </row>
    <row collapsed="false" customFormat="false" customHeight="false" hidden="false" ht="12.1" outlineLevel="0" r="3383">
      <c r="A3383" s="3" t="s">
        <f>=HYPERLINK("https://mp39851918.megaplan.ua/deals/104167/card/","17615")</f>
      </c>
      <c r="B3383" s="3" t="inlineStr">
        <is>
          <t>112-5176942-2222669</t>
        </is>
      </c>
      <c r="C3383" s="3" t="inlineStr">
        <is>
          <t>Autodist</t>
        </is>
      </c>
    </row>
    <row collapsed="false" customFormat="false" customHeight="false" hidden="false" ht="12.1" outlineLevel="0" r="3384">
      <c r="A3384" s="3" t="s">
        <f>=HYPERLINK("https://mp39851918.megaplan.ua/deals/104168/card/","17616")</f>
      </c>
      <c r="B3384" s="3" t="inlineStr">
        <is>
          <t>113-8009360-6449018</t>
        </is>
      </c>
      <c r="C3384" s="3" t="inlineStr">
        <is>
          <t>Autodist</t>
        </is>
      </c>
    </row>
    <row collapsed="false" customFormat="false" customHeight="false" hidden="false" ht="12.1" outlineLevel="0" r="3385">
      <c r="A3385" s="3" t="s">
        <f>=HYPERLINK("https://mp39851918.megaplan.ua/deals/104184/card/","17617")</f>
      </c>
      <c r="B3385" s="3" t="inlineStr">
        <is>
          <t>112-0489466-1170656</t>
        </is>
      </c>
      <c r="C3385" s="3" t="inlineStr">
        <is>
          <t>Autodist</t>
        </is>
      </c>
    </row>
    <row collapsed="false" customFormat="false" customHeight="false" hidden="false" ht="12.1" outlineLevel="0" r="3386">
      <c r="A3386" s="3" t="s">
        <f>=HYPERLINK("https://mp39851918.megaplan.ua/deals/104186/card/","17618")</f>
      </c>
      <c r="B3386" s="3" t="inlineStr">
        <is>
          <t>114-4296103-0427435</t>
        </is>
      </c>
      <c r="C3386" s="3" t="inlineStr">
        <is>
          <t>Autodist</t>
        </is>
      </c>
    </row>
    <row collapsed="false" customFormat="false" customHeight="false" hidden="false" ht="12.1" outlineLevel="0" r="3387">
      <c r="A3387" s="3" t="s">
        <f>=HYPERLINK("https://mp39851918.megaplan.ua/deals/104201/card/","17619")</f>
      </c>
      <c r="B3387" s="3" t="inlineStr">
        <is>
          <t>112-9411104-4839441</t>
        </is>
      </c>
      <c r="C3387" s="3" t="inlineStr">
        <is>
          <t>TuckerRocky</t>
        </is>
      </c>
    </row>
    <row collapsed="false" customFormat="false" customHeight="false" hidden="false" ht="12.1" outlineLevel="0" r="3388">
      <c r="A3388" s="3" t="s">
        <f>=HYPERLINK("https://mp39851918.megaplan.ua/deals/104205/card/","17620")</f>
      </c>
      <c r="B3388" s="3" t="inlineStr">
        <is>
          <t>112-3362213-9167430</t>
        </is>
      </c>
      <c r="C3388" s="3" t="inlineStr">
        <is>
          <t>Autodist</t>
        </is>
      </c>
    </row>
    <row collapsed="false" customFormat="false" customHeight="false" hidden="false" ht="12.1" outlineLevel="0" r="3389">
      <c r="A3389" s="3" t="s">
        <f>=HYPERLINK("https://mp39851918.megaplan.ua/deals/104207/card/","17621")</f>
      </c>
      <c r="B3389" s="3" t="inlineStr">
        <is>
          <t>112-9804066-9326636</t>
        </is>
      </c>
      <c r="C3389" s="3" t="inlineStr">
        <is>
          <t>PartsUnlimited</t>
        </is>
      </c>
    </row>
    <row collapsed="false" customFormat="false" customHeight="false" hidden="false" ht="12.1" outlineLevel="0" r="3390">
      <c r="A3390" s="3" t="s">
        <f>=HYPERLINK("https://mp39851918.megaplan.ua/deals/104211/card/","17622")</f>
      </c>
      <c r="B3390" s="3" t="inlineStr">
        <is>
          <t>114-7208536-8195430</t>
        </is>
      </c>
      <c r="C3390" s="3" t="inlineStr">
        <is>
          <t>Autodist</t>
        </is>
      </c>
    </row>
    <row collapsed="false" customFormat="false" customHeight="false" hidden="false" ht="12.1" outlineLevel="0" r="3391">
      <c r="A3391" s="3" t="s">
        <f>=HYPERLINK("https://mp39851918.megaplan.ua/deals/104225/card/","17625")</f>
      </c>
      <c r="B3391" s="3" t="inlineStr">
        <is>
          <t>111-5448261-4189002</t>
        </is>
      </c>
      <c r="C3391" s="3" t="inlineStr">
        <is>
          <t>Autodist</t>
        </is>
      </c>
    </row>
    <row collapsed="false" customFormat="false" customHeight="false" hidden="false" ht="12.1" outlineLevel="0" r="3392">
      <c r="A3392" s="3" t="s">
        <f>=HYPERLINK("https://mp39851918.megaplan.ua/deals/104243/card/","17626")</f>
      </c>
      <c r="B3392" s="3" t="inlineStr">
        <is>
          <t>113-1838762-9668231</t>
        </is>
      </c>
      <c r="C3392" s="3" t="inlineStr">
        <is>
          <t>PartsUnlimited</t>
        </is>
      </c>
    </row>
    <row collapsed="false" customFormat="false" customHeight="false" hidden="false" ht="12.1" outlineLevel="0" r="3393">
      <c r="A3393" s="3" t="s">
        <f>=HYPERLINK("https://mp39851918.megaplan.ua/deals/104244/card/","17627")</f>
      </c>
      <c r="B3393" s="3" t="inlineStr">
        <is>
          <t>112-9667590-5382603</t>
        </is>
      </c>
      <c r="C3393" s="3" t="inlineStr">
        <is>
          <t>TuckerRocky</t>
        </is>
      </c>
    </row>
    <row collapsed="false" customFormat="false" customHeight="false" hidden="false" ht="12.1" outlineLevel="0" r="3394">
      <c r="A3394" s="3" t="s">
        <f>=HYPERLINK("https://mp39851918.megaplan.ua/deals/104263/card/","17629")</f>
      </c>
      <c r="B3394" s="3" t="inlineStr">
        <is>
          <t>113-9364620-3414653</t>
        </is>
      </c>
      <c r="C3394" s="3" t="inlineStr">
        <is>
          <t>PartsUnlimited</t>
        </is>
      </c>
    </row>
    <row collapsed="false" customFormat="false" customHeight="false" hidden="false" ht="12.1" outlineLevel="0" r="3395">
      <c r="A3395" s="3" t="s">
        <f>=HYPERLINK("https://mp39851918.megaplan.ua/deals/104272/card/","17630")</f>
      </c>
      <c r="B3395" s="3" t="inlineStr">
        <is>
          <t>114-5400629-9836215</t>
        </is>
      </c>
      <c r="C3395" s="3" t="inlineStr">
        <is>
          <t>Autodist</t>
        </is>
      </c>
    </row>
    <row collapsed="false" customFormat="false" customHeight="false" hidden="false" ht="12.1" outlineLevel="0" r="3396">
      <c r="A3396" s="3" t="s">
        <f>=HYPERLINK("https://mp39851918.megaplan.ua/deals/104273/card/","17631")</f>
      </c>
      <c r="B3396" s="3" t="inlineStr">
        <is>
          <t>111-5144134-8022618</t>
        </is>
      </c>
      <c r="C3396" s="3" t="inlineStr">
        <is>
          <t>Autodist</t>
        </is>
      </c>
    </row>
    <row collapsed="false" customFormat="false" customHeight="false" hidden="false" ht="12.1" outlineLevel="0" r="3397">
      <c r="A3397" s="3" t="s">
        <f>=HYPERLINK("https://mp39851918.megaplan.ua/deals/104280/card/","17632")</f>
      </c>
      <c r="B3397" s="3" t="inlineStr">
        <is>
          <t>111-2378321-7245831</t>
        </is>
      </c>
      <c r="C3397" s="3" t="inlineStr">
        <is>
          <t>Autodist</t>
        </is>
      </c>
    </row>
    <row collapsed="false" customFormat="false" customHeight="false" hidden="false" ht="12.1" outlineLevel="0" r="3398">
      <c r="A3398" s="3" t="s">
        <f>=HYPERLINK("https://mp39851918.megaplan.ua/deals/104292/card/","17633")</f>
      </c>
      <c r="B3398" s="3" t="inlineStr">
        <is>
          <t>113-5462280-6805802</t>
        </is>
      </c>
      <c r="C3398" s="3" t="inlineStr">
        <is>
          <t>Autodist</t>
        </is>
      </c>
    </row>
    <row collapsed="false" customFormat="false" customHeight="false" hidden="false" ht="12.1" outlineLevel="0" r="3399">
      <c r="A3399" s="3" t="s">
        <f>=HYPERLINK("https://mp39851918.megaplan.ua/deals/104294/card/","17634")</f>
      </c>
      <c r="B3399" s="3" t="inlineStr">
        <is>
          <t>111-9373077-6026628</t>
        </is>
      </c>
      <c r="C3399" s="3" t="inlineStr">
        <is>
          <t>TuckerRocky</t>
        </is>
      </c>
    </row>
    <row collapsed="false" customFormat="false" customHeight="false" hidden="false" ht="12.1" outlineLevel="0" r="3400">
      <c r="A3400" s="3" t="s">
        <f>=HYPERLINK("https://mp39851918.megaplan.ua/deals/104297/card/","17635")</f>
      </c>
      <c r="B3400" s="3" t="inlineStr">
        <is>
          <t>114-7859065-2990612</t>
        </is>
      </c>
      <c r="C3400" s="3" t="inlineStr">
        <is>
          <t>Autodist</t>
        </is>
      </c>
    </row>
    <row collapsed="false" customFormat="false" customHeight="false" hidden="false" ht="12.1" outlineLevel="0" r="3401">
      <c r="A3401" s="3" t="s">
        <f>=HYPERLINK("https://mp39851918.megaplan.ua/deals/104303/card/","17636")</f>
      </c>
      <c r="B3401" s="3" t="inlineStr">
        <is>
          <t>114-8122476-5557840</t>
        </is>
      </c>
      <c r="C3401" s="3" t="inlineStr">
        <is>
          <t>Autodist</t>
        </is>
      </c>
    </row>
    <row collapsed="false" customFormat="false" customHeight="false" hidden="false" ht="12.1" outlineLevel="0" r="3402">
      <c r="A3402" s="3" t="s">
        <f>=HYPERLINK("https://mp39851918.megaplan.ua/deals/104309/card/","17637")</f>
      </c>
      <c r="B3402" s="3" t="inlineStr">
        <is>
          <t>112-0693284-2711449</t>
        </is>
      </c>
      <c r="C3402" s="3" t="inlineStr">
        <is>
          <t>TuckerRocky</t>
        </is>
      </c>
    </row>
    <row collapsed="false" customFormat="false" customHeight="false" hidden="false" ht="12.1" outlineLevel="0" r="3403">
      <c r="A3403" s="3" t="s">
        <f>=HYPERLINK("https://mp39851918.megaplan.ua/deals/104312/card/","17638")</f>
      </c>
      <c r="B3403" s="3" t="inlineStr">
        <is>
          <t>111-5212416-5370656</t>
        </is>
      </c>
      <c r="C3403" s="3" t="inlineStr">
        <is>
          <t>TuckerRocky</t>
        </is>
      </c>
    </row>
    <row collapsed="false" customFormat="false" customHeight="false" hidden="false" ht="12.1" outlineLevel="0" r="3404">
      <c r="A3404" s="3" t="s">
        <f>=HYPERLINK("https://mp39851918.megaplan.ua/deals/104319/card/","17639")</f>
      </c>
      <c r="B3404" s="3" t="inlineStr">
        <is>
          <t>112-3436343-8678646</t>
        </is>
      </c>
      <c r="C3404" s="3" t="inlineStr">
        <is>
          <t>RockyMountain</t>
        </is>
      </c>
    </row>
    <row collapsed="false" customFormat="false" customHeight="false" hidden="false" ht="12.1" outlineLevel="0" r="3405">
      <c r="A3405" s="3" t="s">
        <f>=HYPERLINK("https://mp39851918.megaplan.ua/deals/104320/card/","17640")</f>
      </c>
      <c r="B3405" s="3" t="inlineStr">
        <is>
          <t>113-9951749-0864240</t>
        </is>
      </c>
      <c r="C3405" s="3" t="inlineStr">
        <is>
          <t>TuckerRocky</t>
        </is>
      </c>
    </row>
    <row collapsed="false" customFormat="false" customHeight="false" hidden="false" ht="12.1" outlineLevel="0" r="3406">
      <c r="A3406" s="3" t="s">
        <f>=HYPERLINK("https://mp39851918.megaplan.ua/deals/104327/card/","17643")</f>
      </c>
      <c r="B3406" s="3" t="inlineStr">
        <is>
          <t>112-4151072-0886668</t>
        </is>
      </c>
      <c r="C3406" s="3" t="inlineStr">
        <is>
          <t>TuckerRocky</t>
        </is>
      </c>
    </row>
    <row collapsed="false" customFormat="false" customHeight="false" hidden="false" ht="12.1" outlineLevel="0" r="3407">
      <c r="A3407" s="3" t="s">
        <f>=HYPERLINK("https://mp39851918.megaplan.ua/deals/104328/card/","17644")</f>
      </c>
      <c r="B3407" s="3" t="inlineStr">
        <is>
          <t>113-2185892-4605856</t>
        </is>
      </c>
      <c r="C3407" s="3" t="inlineStr">
        <is>
          <t>RockyMountain</t>
        </is>
      </c>
    </row>
    <row collapsed="false" customFormat="false" customHeight="false" hidden="false" ht="12.1" outlineLevel="0" r="3408">
      <c r="A3408" s="3" t="s">
        <f>=HYPERLINK("https://mp39851918.megaplan.ua/deals/104331/card/","17645")</f>
      </c>
      <c r="B3408" s="3" t="inlineStr">
        <is>
          <t>113-9222234-4873865</t>
        </is>
      </c>
      <c r="C3408" s="3" t="inlineStr">
        <is>
          <t>RockyMountain</t>
        </is>
      </c>
    </row>
    <row collapsed="false" customFormat="false" customHeight="false" hidden="false" ht="12.1" outlineLevel="0" r="3409">
      <c r="A3409" s="3" t="s">
        <f>=HYPERLINK("https://mp39851918.megaplan.ua/deals/104332/card/","17646")</f>
      </c>
      <c r="B3409" s="3" t="inlineStr">
        <is>
          <t>112-0157402-2264273</t>
        </is>
      </c>
      <c r="C3409" s="3" t="inlineStr">
        <is>
          <t>Autodist</t>
        </is>
      </c>
    </row>
    <row collapsed="false" customFormat="false" customHeight="false" hidden="false" ht="12.1" outlineLevel="0" r="3410">
      <c r="A3410" s="3" t="s">
        <f>=HYPERLINK("https://mp39851918.megaplan.ua/deals/104337/card/","17647")</f>
      </c>
      <c r="B3410" s="3" t="inlineStr">
        <is>
          <t>112-0018144-3208222</t>
        </is>
      </c>
      <c r="C3410" s="3" t="inlineStr">
        <is>
          <t>PartsUnlimited</t>
        </is>
      </c>
    </row>
    <row collapsed="false" customFormat="false" customHeight="false" hidden="false" ht="12.1" outlineLevel="0" r="3411">
      <c r="A3411" s="3" t="s">
        <f>=HYPERLINK("https://mp39851918.megaplan.ua/deals/104338/card/","17648")</f>
      </c>
      <c r="B3411" s="3" t="inlineStr">
        <is>
          <t>113-1554139-1687466</t>
        </is>
      </c>
      <c r="C3411" s="3" t="inlineStr">
        <is>
          <t>RockyMountain</t>
        </is>
      </c>
    </row>
    <row collapsed="false" customFormat="false" customHeight="false" hidden="false" ht="12.1" outlineLevel="0" r="3412">
      <c r="A3412" s="3" t="s">
        <f>=HYPERLINK("https://mp39851918.megaplan.ua/deals/104339/card/","17649")</f>
      </c>
      <c r="B3412" s="3" t="inlineStr">
        <is>
          <t>111-3979181-7772211</t>
        </is>
      </c>
      <c r="C3412" s="3" t="inlineStr">
        <is>
          <t>TuckerRocky</t>
        </is>
      </c>
    </row>
    <row collapsed="false" customFormat="false" customHeight="false" hidden="false" ht="12.1" outlineLevel="0" r="3413">
      <c r="A3413" s="3" t="s">
        <f>=HYPERLINK("https://mp39851918.megaplan.ua/deals/104340/card/","17650")</f>
      </c>
      <c r="B3413" s="3" t="inlineStr">
        <is>
          <t>113-9582292-9566657</t>
        </is>
      </c>
      <c r="C3413" s="3" t="inlineStr">
        <is>
          <t>RockyMountain</t>
        </is>
      </c>
    </row>
    <row collapsed="false" customFormat="false" customHeight="false" hidden="false" ht="12.1" outlineLevel="0" r="3414">
      <c r="A3414" s="3" t="s">
        <f>=HYPERLINK("https://mp39851918.megaplan.ua/deals/104341/card/","17651")</f>
      </c>
      <c r="B3414" s="3" t="inlineStr">
        <is>
          <t>113-0234020-4772260</t>
        </is>
      </c>
      <c r="C3414" s="3" t="inlineStr">
        <is>
          <t>PartsUnlimited</t>
        </is>
      </c>
    </row>
    <row collapsed="false" customFormat="false" customHeight="false" hidden="false" ht="12.1" outlineLevel="0" r="3415">
      <c r="A3415" s="3" t="s">
        <f>=HYPERLINK("https://mp39851918.megaplan.ua/deals/104342/card/","17652")</f>
      </c>
      <c r="B3415" s="3" t="inlineStr">
        <is>
          <t>114-4576350-2650617</t>
        </is>
      </c>
      <c r="C3415" s="3" t="inlineStr">
        <is>
          <t>TuckerRocky</t>
        </is>
      </c>
    </row>
    <row collapsed="false" customFormat="false" customHeight="false" hidden="false" ht="12.1" outlineLevel="0" r="3416">
      <c r="A3416" s="3" t="s">
        <f>=HYPERLINK("https://mp39851918.megaplan.ua/deals/104343/card/","17653")</f>
      </c>
      <c r="B3416" s="3" t="inlineStr">
        <is>
          <t>111-1107750-8407404</t>
        </is>
      </c>
      <c r="C3416" s="3" t="inlineStr">
        <is>
          <t>PartsUnlimited</t>
        </is>
      </c>
    </row>
    <row collapsed="false" customFormat="false" customHeight="false" hidden="false" ht="12.1" outlineLevel="0" r="3417">
      <c r="A3417" s="3" t="s">
        <f>=HYPERLINK("https://mp39851918.megaplan.ua/deals/104344/card/","17654")</f>
      </c>
      <c r="B3417" s="3" t="inlineStr">
        <is>
          <t>111-1592635-4206600</t>
        </is>
      </c>
      <c r="C3417" s="3" t="inlineStr">
        <is>
          <t>RockyMountain</t>
        </is>
      </c>
    </row>
    <row collapsed="false" customFormat="false" customHeight="false" hidden="false" ht="12.1" outlineLevel="0" r="3418">
      <c r="A3418" s="3" t="s">
        <f>=HYPERLINK("https://mp39851918.megaplan.ua/deals/104345/card/","17655")</f>
      </c>
      <c r="B3418" s="3" t="inlineStr">
        <is>
          <t>114-2857458-4522632</t>
        </is>
      </c>
      <c r="C3418" s="3" t="inlineStr">
        <is>
          <t>PartsUnlimited</t>
        </is>
      </c>
    </row>
    <row collapsed="false" customFormat="false" customHeight="false" hidden="false" ht="12.1" outlineLevel="0" r="3419">
      <c r="A3419" s="3" t="s">
        <f>=HYPERLINK("https://mp39851918.megaplan.ua/deals/104346/card/","17656")</f>
      </c>
      <c r="B3419" s="3" t="inlineStr">
        <is>
          <t>111-9673274-8355443</t>
        </is>
      </c>
      <c r="C3419" s="3" t="inlineStr">
        <is>
          <t>PartsUnlimited</t>
        </is>
      </c>
    </row>
    <row collapsed="false" customFormat="false" customHeight="false" hidden="false" ht="12.1" outlineLevel="0" r="3420">
      <c r="A3420" s="3" t="s">
        <f>=HYPERLINK("https://mp39851918.megaplan.ua/deals/104347/card/","17657")</f>
      </c>
      <c r="B3420" s="3" t="inlineStr">
        <is>
          <t>112-3541697-7085858</t>
        </is>
      </c>
      <c r="C3420" s="3" t="inlineStr">
        <is>
          <t>TuckerRocky</t>
        </is>
      </c>
    </row>
    <row collapsed="false" customFormat="false" customHeight="false" hidden="false" ht="12.1" outlineLevel="0" r="3421">
      <c r="A3421" s="3" t="s">
        <f>=HYPERLINK("https://mp39851918.megaplan.ua/deals/104354/card/","17659")</f>
      </c>
      <c r="B3421" s="3" t="inlineStr">
        <is>
          <t>112-8626778-9997061</t>
        </is>
      </c>
      <c r="C3421" s="3" t="inlineStr">
        <is>
          <t>TuckerRocky</t>
        </is>
      </c>
    </row>
    <row collapsed="false" customFormat="false" customHeight="false" hidden="false" ht="12.1" outlineLevel="0" r="3422">
      <c r="A3422" s="3" t="s">
        <f>=HYPERLINK("https://mp39851918.megaplan.ua/deals/104364/card/","17660")</f>
      </c>
      <c r="B3422" s="3" t="inlineStr">
        <is>
          <t>113-4501718-2757012</t>
        </is>
      </c>
      <c r="C3422" s="3" t="inlineStr">
        <is>
          <t>Autodist</t>
        </is>
      </c>
    </row>
    <row collapsed="false" customFormat="false" customHeight="false" hidden="false" ht="12.1" outlineLevel="0" r="3423">
      <c r="A3423" s="3" t="s">
        <f>=HYPERLINK("https://mp39851918.megaplan.ua/deals/104373/card/","17661")</f>
      </c>
      <c r="B3423" s="3" t="inlineStr">
        <is>
          <t>112-2896477-0364221</t>
        </is>
      </c>
      <c r="C3423" s="3" t="inlineStr">
        <is>
          <t>Autodist</t>
        </is>
      </c>
    </row>
    <row collapsed="false" customFormat="false" customHeight="false" hidden="false" ht="12.1" outlineLevel="0" r="3424">
      <c r="A3424" s="3" t="s">
        <f>=HYPERLINK("https://mp39851918.megaplan.ua/deals/104394/card/","17665")</f>
      </c>
      <c r="B3424" s="3" t="inlineStr">
        <is>
          <t>114-3474610-4617807</t>
        </is>
      </c>
      <c r="C3424" s="3" t="inlineStr">
        <is>
          <t>Autodist</t>
        </is>
      </c>
    </row>
    <row collapsed="false" customFormat="false" customHeight="false" hidden="false" ht="12.1" outlineLevel="0" r="3425">
      <c r="A3425" s="3" t="s">
        <f>=HYPERLINK("https://mp39851918.megaplan.ua/deals/104396/card/","17666")</f>
      </c>
      <c r="B3425" s="3" t="inlineStr">
        <is>
          <t>114-1385858-8680219</t>
        </is>
      </c>
      <c r="C3425" s="3" t="inlineStr">
        <is>
          <t>RockyMountain</t>
        </is>
      </c>
    </row>
    <row collapsed="false" customFormat="false" customHeight="false" hidden="false" ht="12.1" outlineLevel="0" r="3426">
      <c r="A3426" s="3" t="s">
        <f>=HYPERLINK("https://mp39851918.megaplan.ua/deals/104398/card/","17667")</f>
      </c>
      <c r="B3426" s="3" t="inlineStr">
        <is>
          <t>112-9163890-1033018</t>
        </is>
      </c>
      <c r="C3426" s="3" t="inlineStr">
        <is>
          <t>Autodist</t>
        </is>
      </c>
    </row>
    <row collapsed="false" customFormat="false" customHeight="false" hidden="false" ht="12.1" outlineLevel="0" r="3427">
      <c r="A3427" s="3" t="s">
        <f>=HYPERLINK("https://mp39851918.megaplan.ua/deals/104401/card/","17668")</f>
      </c>
      <c r="B3427" s="3" t="inlineStr">
        <is>
          <t>113-6865941-8677820</t>
        </is>
      </c>
      <c r="C3427" s="3" t="inlineStr">
        <is>
          <t>TuckerRocky</t>
        </is>
      </c>
    </row>
    <row collapsed="false" customFormat="false" customHeight="false" hidden="false" ht="12.1" outlineLevel="0" r="3428">
      <c r="A3428" s="3" t="s">
        <f>=HYPERLINK("https://mp39851918.megaplan.ua/deals/104403/card/","17669")</f>
      </c>
      <c r="B3428" s="3" t="inlineStr">
        <is>
          <t>113-9917978-9365006</t>
        </is>
      </c>
      <c r="C3428" s="3" t="inlineStr">
        <is>
          <t>RockyMountain</t>
        </is>
      </c>
    </row>
    <row collapsed="false" customFormat="false" customHeight="false" hidden="false" ht="12.1" outlineLevel="0" r="3429">
      <c r="A3429" s="3" t="s">
        <f>=HYPERLINK("https://mp39851918.megaplan.ua/deals/104405/card/","17670")</f>
      </c>
      <c r="B3429" s="3" t="inlineStr">
        <is>
          <t>113-8827623-0051417</t>
        </is>
      </c>
      <c r="C3429" s="3" t="inlineStr">
        <is>
          <t>RockyMountain</t>
        </is>
      </c>
    </row>
    <row collapsed="false" customFormat="false" customHeight="false" hidden="false" ht="12.1" outlineLevel="0" r="3430">
      <c r="A3430" s="3" t="s">
        <f>=HYPERLINK("https://mp39851918.megaplan.ua/deals/104407/card/","17671")</f>
      </c>
      <c r="B3430" s="3" t="inlineStr">
        <is>
          <t>113-2291716-5674659</t>
        </is>
      </c>
      <c r="C3430" s="3" t="inlineStr">
        <is>
          <t>PartsUnlimited</t>
        </is>
      </c>
    </row>
    <row collapsed="false" customFormat="false" customHeight="false" hidden="false" ht="12.1" outlineLevel="0" r="3431">
      <c r="A3431" s="3" t="s">
        <f>=HYPERLINK("https://mp39851918.megaplan.ua/deals/104410/card/","17672")</f>
      </c>
      <c r="B3431" s="3" t="inlineStr">
        <is>
          <t>113-6518077-8373060</t>
        </is>
      </c>
      <c r="C3431" s="3" t="inlineStr">
        <is>
          <t>TuckerRocky</t>
        </is>
      </c>
    </row>
    <row collapsed="false" customFormat="false" customHeight="false" hidden="false" ht="12.1" outlineLevel="0" r="3432">
      <c r="A3432" s="3" t="s">
        <f>=HYPERLINK("https://mp39851918.megaplan.ua/deals/104413/card/","17673")</f>
      </c>
      <c r="B3432" s="3" t="inlineStr">
        <is>
          <t>114-3134179-8833015</t>
        </is>
      </c>
      <c r="C3432" s="3" t="inlineStr">
        <is>
          <t>TuckerRocky</t>
        </is>
      </c>
    </row>
    <row collapsed="false" customFormat="false" customHeight="false" hidden="false" ht="12.1" outlineLevel="0" r="3433">
      <c r="A3433" s="3" t="s">
        <f>=HYPERLINK("https://mp39851918.megaplan.ua/deals/104414/card/","17674")</f>
      </c>
      <c r="B3433" s="3" t="inlineStr">
        <is>
          <t>114-4133745-3468208</t>
        </is>
      </c>
      <c r="C3433" s="3" t="inlineStr">
        <is>
          <t>RockyMountain</t>
        </is>
      </c>
    </row>
    <row collapsed="false" customFormat="false" customHeight="false" hidden="false" ht="12.1" outlineLevel="0" r="3434">
      <c r="A3434" s="3" t="s">
        <f>=HYPERLINK("https://mp39851918.megaplan.ua/deals/104415/card/","17675")</f>
      </c>
      <c r="B3434" s="3" t="inlineStr">
        <is>
          <t>111-6172509-1889851</t>
        </is>
      </c>
      <c r="C3434" s="3" t="inlineStr">
        <is>
          <t>PartsUnlimited</t>
        </is>
      </c>
    </row>
    <row collapsed="false" customFormat="false" customHeight="false" hidden="false" ht="12.1" outlineLevel="0" r="3435">
      <c r="A3435" s="3" t="s">
        <f>=HYPERLINK("https://mp39851918.megaplan.ua/deals/104416/card/","17676")</f>
      </c>
      <c r="B3435" s="3" t="inlineStr">
        <is>
          <t>112-7114844-0487445</t>
        </is>
      </c>
      <c r="C3435" s="3" t="inlineStr">
        <is>
          <t>TuckerRocky</t>
        </is>
      </c>
    </row>
    <row collapsed="false" customFormat="false" customHeight="false" hidden="false" ht="12.1" outlineLevel="0" r="3436">
      <c r="A3436" s="3" t="s">
        <f>=HYPERLINK("https://mp39851918.megaplan.ua/deals/104442/card/","17677")</f>
      </c>
      <c r="B3436" s="3" t="inlineStr">
        <is>
          <t>114-7590650-4228209</t>
        </is>
      </c>
      <c r="C3436" s="3" t="inlineStr">
        <is>
          <t>TuckerRocky</t>
        </is>
      </c>
    </row>
    <row collapsed="false" customFormat="false" customHeight="false" hidden="false" ht="12.1" outlineLevel="0" r="3437">
      <c r="A3437" s="3" t="s">
        <f>=HYPERLINK("https://mp39851918.megaplan.ua/deals/104455/card/","17678")</f>
      </c>
      <c r="B3437" s="3" t="inlineStr">
        <is>
          <t>113-9301205-2361861</t>
        </is>
      </c>
      <c r="C3437" s="3" t="inlineStr">
        <is>
          <t>TuckerRocky</t>
        </is>
      </c>
    </row>
    <row collapsed="false" customFormat="false" customHeight="false" hidden="false" ht="12.1" outlineLevel="0" r="3438">
      <c r="A3438" s="3" t="s">
        <f>=HYPERLINK("https://mp39851918.megaplan.ua/deals/104458/card/","17679")</f>
      </c>
      <c r="B3438" s="3" t="inlineStr">
        <is>
          <t>113-4504704-0065842</t>
        </is>
      </c>
      <c r="C3438" s="3" t="inlineStr">
        <is>
          <t>TuckerRocky</t>
        </is>
      </c>
    </row>
    <row collapsed="false" customFormat="false" customHeight="false" hidden="false" ht="12.1" outlineLevel="0" r="3439">
      <c r="A3439" s="3" t="s">
        <f>=HYPERLINK("https://mp39851918.megaplan.ua/deals/104482/card/","17680")</f>
      </c>
      <c r="B3439" s="3" t="inlineStr">
        <is>
          <t>114-3927507-2033010</t>
        </is>
      </c>
      <c r="C3439" s="3" t="inlineStr">
        <is>
          <t>Autodist</t>
        </is>
      </c>
    </row>
    <row collapsed="false" customFormat="false" customHeight="false" hidden="false" ht="12.1" outlineLevel="0" r="3440">
      <c r="A3440" s="3" t="s">
        <f>=HYPERLINK("https://mp39851918.megaplan.ua/deals/104483/card/","17681")</f>
      </c>
      <c r="B3440" s="3" t="inlineStr">
        <is>
          <t>111-3514565-5158609</t>
        </is>
      </c>
      <c r="C3440" s="3" t="inlineStr">
        <is>
          <t>RockyMountain</t>
        </is>
      </c>
    </row>
    <row collapsed="false" customFormat="false" customHeight="false" hidden="false" ht="12.1" outlineLevel="0" r="3441">
      <c r="A3441" s="3" t="s">
        <f>=HYPERLINK("https://mp39851918.megaplan.ua/deals/104484/card/","17682")</f>
      </c>
      <c r="B3441" s="3" t="inlineStr">
        <is>
          <t>114-1981440-0335456</t>
        </is>
      </c>
      <c r="C3441" s="3" t="inlineStr">
        <is>
          <t>Autodist</t>
        </is>
      </c>
    </row>
    <row collapsed="false" customFormat="false" customHeight="false" hidden="false" ht="12.1" outlineLevel="0" r="3442">
      <c r="A3442" s="3" t="s">
        <f>=HYPERLINK("https://mp39851918.megaplan.ua/deals/104491/card/","17683")</f>
      </c>
      <c r="B3442" s="3" t="inlineStr">
        <is>
          <t>114-5834851-7477015</t>
        </is>
      </c>
      <c r="C3442" s="3" t="inlineStr">
        <is>
          <t>PartsUnlimited</t>
        </is>
      </c>
    </row>
    <row collapsed="false" customFormat="false" customHeight="false" hidden="false" ht="12.1" outlineLevel="0" r="3443">
      <c r="A3443" s="3" t="s">
        <f>=HYPERLINK("https://mp39851918.megaplan.ua/deals/104492/card/","17684")</f>
      </c>
      <c r="B3443" s="3" t="inlineStr">
        <is>
          <t>111-7472876-9535427</t>
        </is>
      </c>
      <c r="C3443" s="3" t="inlineStr">
        <is>
          <t>TuckerRocky</t>
        </is>
      </c>
    </row>
    <row collapsed="false" customFormat="false" customHeight="false" hidden="false" ht="12.1" outlineLevel="0" r="3444">
      <c r="A3444" s="3" t="s">
        <f>=HYPERLINK("https://mp39851918.megaplan.ua/deals/104503/card/","17685")</f>
      </c>
      <c r="B3444" s="3" t="inlineStr">
        <is>
          <t>112-7610192-7149042</t>
        </is>
      </c>
      <c r="C3444" s="3" t="inlineStr">
        <is>
          <t>Autodist</t>
        </is>
      </c>
    </row>
    <row collapsed="false" customFormat="false" customHeight="false" hidden="false" ht="12.1" outlineLevel="0" r="3445">
      <c r="A3445" s="3" t="s">
        <f>=HYPERLINK("https://mp39851918.megaplan.ua/deals/104506/card/","17686")</f>
      </c>
      <c r="B3445" s="3" t="inlineStr">
        <is>
          <t>112-8879521-4285824</t>
        </is>
      </c>
      <c r="C3445" s="3" t="inlineStr">
        <is>
          <t>PartsUnlimited</t>
        </is>
      </c>
    </row>
    <row collapsed="false" customFormat="false" customHeight="false" hidden="false" ht="12.1" outlineLevel="0" r="3446">
      <c r="A3446" s="3" t="s">
        <f>=HYPERLINK("https://mp39851918.megaplan.ua/deals/104507/card/","17687")</f>
      </c>
      <c r="B3446" s="3" t="inlineStr">
        <is>
          <t>112-5380400-6207461</t>
        </is>
      </c>
      <c r="C3446" s="3" t="inlineStr">
        <is>
          <t>RockyMountain</t>
        </is>
      </c>
    </row>
    <row collapsed="false" customFormat="false" customHeight="false" hidden="false" ht="12.1" outlineLevel="0" r="3447">
      <c r="A3447" s="3" t="s">
        <f>=HYPERLINK("https://mp39851918.megaplan.ua/deals/104519/card/","17688")</f>
      </c>
      <c r="B3447" s="3" t="inlineStr">
        <is>
          <t>114-7496040-6522642</t>
        </is>
      </c>
      <c r="C3447" s="3" t="inlineStr">
        <is>
          <t>RockyMountain</t>
        </is>
      </c>
    </row>
    <row collapsed="false" customFormat="false" customHeight="false" hidden="false" ht="12.1" outlineLevel="0" r="3448">
      <c r="A3448" s="3" t="s">
        <f>=HYPERLINK("https://mp39851918.megaplan.ua/deals/104526/card/","17689")</f>
      </c>
      <c r="B3448" s="3" t="inlineStr">
        <is>
          <t>114-1327960-4379464</t>
        </is>
      </c>
      <c r="C3448" s="3" t="inlineStr">
        <is>
          <t>Autodist</t>
        </is>
      </c>
    </row>
    <row collapsed="false" customFormat="false" customHeight="false" hidden="false" ht="12.1" outlineLevel="0" r="3449">
      <c r="A3449" s="3" t="s">
        <f>=HYPERLINK("https://mp39851918.megaplan.ua/deals/104553/card/","17691")</f>
      </c>
      <c r="B3449" s="3" t="inlineStr">
        <is>
          <t>114-9201280-2575425</t>
        </is>
      </c>
      <c r="C3449" s="3" t="inlineStr">
        <is>
          <t>TuckerRocky</t>
        </is>
      </c>
    </row>
    <row collapsed="false" customFormat="false" customHeight="false" hidden="false" ht="12.1" outlineLevel="0" r="3450">
      <c r="A3450" s="3" t="s">
        <f>=HYPERLINK("https://mp39851918.megaplan.ua/deals/104561/card/","17692")</f>
      </c>
      <c r="B3450" s="3" t="inlineStr">
        <is>
          <t>112-9045439-1376229</t>
        </is>
      </c>
      <c r="C3450" s="3" t="inlineStr">
        <is>
          <t>PartsUnlimited</t>
        </is>
      </c>
    </row>
    <row collapsed="false" customFormat="false" customHeight="false" hidden="false" ht="12.1" outlineLevel="0" r="3451">
      <c r="A3451" s="3" t="s">
        <f>=HYPERLINK("https://mp39851918.megaplan.ua/deals/104574/card/","17693")</f>
      </c>
      <c r="B3451" s="3" t="inlineStr">
        <is>
          <t>112-6289944-4614664</t>
        </is>
      </c>
      <c r="C3451" s="3" t="inlineStr">
        <is>
          <t>TuckerRocky</t>
        </is>
      </c>
    </row>
    <row collapsed="false" customFormat="false" customHeight="false" hidden="false" ht="12.1" outlineLevel="0" r="3452">
      <c r="A3452" s="3" t="s">
        <f>=HYPERLINK("https://mp39851918.megaplan.ua/deals/104578/card/","17694")</f>
      </c>
      <c r="B3452" s="3" t="inlineStr">
        <is>
          <t>111-9385653-4405808</t>
        </is>
      </c>
      <c r="C3452" s="3" t="inlineStr">
        <is>
          <t>Autodist</t>
        </is>
      </c>
    </row>
    <row collapsed="false" customFormat="false" customHeight="false" hidden="false" ht="12.1" outlineLevel="0" r="3453">
      <c r="A3453" s="3" t="s">
        <f>=HYPERLINK("https://mp39851918.megaplan.ua/deals/104580/card/","17695")</f>
      </c>
      <c r="B3453" s="3" t="inlineStr">
        <is>
          <t>114-0014086-7041043</t>
        </is>
      </c>
      <c r="C3453" s="3" t="inlineStr">
        <is>
          <t>Autodist</t>
        </is>
      </c>
    </row>
    <row collapsed="false" customFormat="false" customHeight="false" hidden="false" ht="12.1" outlineLevel="0" r="3454">
      <c r="A3454" s="3" t="s">
        <f>=HYPERLINK("https://mp39851918.megaplan.ua/deals/104592/card/","17696")</f>
      </c>
      <c r="B3454" s="3" t="inlineStr">
        <is>
          <t>112-2529081-4474623</t>
        </is>
      </c>
      <c r="C3454" s="3" t="inlineStr">
        <is>
          <t>TuckerRocky</t>
        </is>
      </c>
    </row>
    <row collapsed="false" customFormat="false" customHeight="false" hidden="false" ht="12.1" outlineLevel="0" r="3455">
      <c r="A3455" s="3" t="s">
        <f>=HYPERLINK("https://mp39851918.megaplan.ua/deals/104596/card/","17697")</f>
      </c>
      <c r="B3455" s="3" t="inlineStr">
        <is>
          <t>111-2611576-5837015</t>
        </is>
      </c>
      <c r="C3455" s="3" t="inlineStr">
        <is>
          <t>TuckerRocky</t>
        </is>
      </c>
    </row>
    <row collapsed="false" customFormat="false" customHeight="false" hidden="false" ht="12.1" outlineLevel="0" r="3456">
      <c r="A3456" s="3" t="s">
        <f>=HYPERLINK("https://mp39851918.megaplan.ua/deals/104607/card/","17698")</f>
      </c>
      <c r="B3456" s="3" t="inlineStr">
        <is>
          <t>113-9666575-1367461</t>
        </is>
      </c>
      <c r="C3456" s="3" t="inlineStr">
        <is>
          <t>TuckerRocky</t>
        </is>
      </c>
    </row>
    <row collapsed="false" customFormat="false" customHeight="false" hidden="false" ht="12.1" outlineLevel="0" r="3457">
      <c r="A3457" s="3" t="s">
        <f>=HYPERLINK("https://mp39851918.megaplan.ua/deals/104614/card/","17700")</f>
      </c>
      <c r="B3457" s="3" t="inlineStr">
        <is>
          <t>112-6553800-9134665</t>
        </is>
      </c>
      <c r="C3457" s="3" t="inlineStr">
        <is>
          <t>TuckerRocky</t>
        </is>
      </c>
    </row>
    <row collapsed="false" customFormat="false" customHeight="false" hidden="false" ht="12.1" outlineLevel="0" r="3458">
      <c r="A3458" s="3" t="s">
        <f>=HYPERLINK("https://mp39851918.megaplan.ua/deals/104633/card/","17701")</f>
      </c>
      <c r="B3458" s="3" t="inlineStr">
        <is>
          <t>112-6235752-9411450</t>
        </is>
      </c>
      <c r="C3458" s="3" t="inlineStr">
        <is>
          <t>TuckerRocky</t>
        </is>
      </c>
    </row>
    <row collapsed="false" customFormat="false" customHeight="false" hidden="false" ht="12.1" outlineLevel="0" r="3459">
      <c r="A3459" s="3" t="s">
        <f>=HYPERLINK("https://mp39851918.megaplan.ua/deals/104634/card/","17702")</f>
      </c>
      <c r="B3459" s="3" t="inlineStr">
        <is>
          <t>112-4331342-4445805</t>
        </is>
      </c>
      <c r="C3459" s="3" t="inlineStr">
        <is>
          <t>TuckerRocky</t>
        </is>
      </c>
    </row>
    <row collapsed="false" customFormat="false" customHeight="false" hidden="false" ht="12.1" outlineLevel="0" r="3460">
      <c r="A3460" s="3" t="s">
        <f>=HYPERLINK("https://mp39851918.megaplan.ua/deals/104641/card/","17703")</f>
      </c>
      <c r="B3460" s="3" t="inlineStr">
        <is>
          <t>113-2426551-2488237</t>
        </is>
      </c>
      <c r="C3460" s="3" t="inlineStr">
        <is>
          <t>TuckerRocky</t>
        </is>
      </c>
    </row>
    <row collapsed="false" customFormat="false" customHeight="false" hidden="false" ht="12.1" outlineLevel="0" r="3461">
      <c r="A3461" s="3" t="s">
        <f>=HYPERLINK("https://mp39851918.megaplan.ua/deals/104653/card/","17704")</f>
      </c>
      <c r="B3461" s="3" t="inlineStr">
        <is>
          <t>112-8980945-9314620</t>
        </is>
      </c>
      <c r="C3461" s="3" t="inlineStr">
        <is>
          <t>PartsUnlimited</t>
        </is>
      </c>
    </row>
    <row collapsed="false" customFormat="false" customHeight="false" hidden="false" ht="12.1" outlineLevel="0" r="3462">
      <c r="A3462" s="3" t="s">
        <f>=HYPERLINK("https://mp39851918.megaplan.ua/deals/104654/card/","17705")</f>
      </c>
      <c r="B3462" s="3" t="inlineStr">
        <is>
          <t>114-7022141-0014665</t>
        </is>
      </c>
      <c r="C3462" s="3" t="inlineStr">
        <is>
          <t>Autodist</t>
        </is>
      </c>
    </row>
    <row collapsed="false" customFormat="false" customHeight="false" hidden="false" ht="12.1" outlineLevel="0" r="3463">
      <c r="A3463" s="3" t="s">
        <f>=HYPERLINK("https://mp39851918.megaplan.ua/deals/104675/card/","17707")</f>
      </c>
      <c r="B3463" s="3" t="inlineStr">
        <is>
          <t>114-4616602-2799439</t>
        </is>
      </c>
      <c r="C3463" s="3" t="inlineStr">
        <is>
          <t>Autodist</t>
        </is>
      </c>
    </row>
    <row collapsed="false" customFormat="false" customHeight="false" hidden="false" ht="12.1" outlineLevel="0" r="3464">
      <c r="A3464" s="3" t="s">
        <f>=HYPERLINK("https://mp39851918.megaplan.ua/deals/104681/card/","17708")</f>
      </c>
      <c r="B3464" s="3" t="inlineStr">
        <is>
          <t>111-1789987-9250627</t>
        </is>
      </c>
      <c r="C3464" s="3" t="inlineStr">
        <is>
          <t>Autodist</t>
        </is>
      </c>
    </row>
    <row collapsed="false" customFormat="false" customHeight="false" hidden="false" ht="12.1" outlineLevel="0" r="3465">
      <c r="A3465" s="3" t="s">
        <f>=HYPERLINK("https://mp39851918.megaplan.ua/deals/104686/card/","17710")</f>
      </c>
      <c r="B3465" s="3" t="inlineStr">
        <is>
          <t>111-9382414-0127435</t>
        </is>
      </c>
      <c r="C3465" s="3" t="inlineStr">
        <is>
          <t>TuckerRocky</t>
        </is>
      </c>
    </row>
    <row collapsed="false" customFormat="false" customHeight="false" hidden="false" ht="12.1" outlineLevel="0" r="3466">
      <c r="A3466" s="3" t="s">
        <f>=HYPERLINK("https://mp39851918.megaplan.ua/deals/104695/card/","17711")</f>
      </c>
      <c r="B3466" s="3" t="inlineStr">
        <is>
          <t>113-4321060-3848264</t>
        </is>
      </c>
      <c r="C3466" s="3" t="inlineStr">
        <is>
          <t>Autodist</t>
        </is>
      </c>
    </row>
    <row collapsed="false" customFormat="false" customHeight="false" hidden="false" ht="12.1" outlineLevel="0" r="3467">
      <c r="A3467" s="3" t="s">
        <f>=HYPERLINK("https://mp39851918.megaplan.ua/deals/104696/card/","17712")</f>
      </c>
      <c r="B3467" s="3" t="inlineStr">
        <is>
          <t>111-2735466-6821036</t>
        </is>
      </c>
      <c r="C3467" s="3" t="inlineStr">
        <is>
          <t>Autodist</t>
        </is>
      </c>
    </row>
    <row collapsed="false" customFormat="false" customHeight="false" hidden="false" ht="12.1" outlineLevel="0" r="3468">
      <c r="A3468" s="3" t="s">
        <f>=HYPERLINK("https://mp39851918.megaplan.ua/deals/104698/card/","17713")</f>
      </c>
      <c r="B3468" s="3" t="inlineStr">
        <is>
          <t>113-9568482-3785823</t>
        </is>
      </c>
      <c r="C3468" s="3" t="inlineStr">
        <is>
          <t>Autodist</t>
        </is>
      </c>
    </row>
    <row collapsed="false" customFormat="false" customHeight="false" hidden="false" ht="12.1" outlineLevel="0" r="3469">
      <c r="A3469" s="3" t="s">
        <f>=HYPERLINK("https://mp39851918.megaplan.ua/deals/104721/card/","17714")</f>
      </c>
      <c r="B3469" s="3" t="inlineStr">
        <is>
          <t>112-8341180-3628264</t>
        </is>
      </c>
      <c r="C3469" s="3" t="inlineStr">
        <is>
          <t>PartsUnlimited</t>
        </is>
      </c>
    </row>
    <row collapsed="false" customFormat="false" customHeight="false" hidden="false" ht="12.1" outlineLevel="0" r="3470">
      <c r="A3470" s="3" t="s">
        <f>=HYPERLINK("https://mp39851918.megaplan.ua/deals/104727/card/","17716")</f>
      </c>
      <c r="B3470" s="3" t="inlineStr">
        <is>
          <t>114-9811177-8222636</t>
        </is>
      </c>
      <c r="C3470" s="3" t="inlineStr">
        <is>
          <t>RockyMountain</t>
        </is>
      </c>
    </row>
    <row collapsed="false" customFormat="false" customHeight="false" hidden="false" ht="12.1" outlineLevel="0" r="3471">
      <c r="A3471" s="3" t="s">
        <f>=HYPERLINK("https://mp39851918.megaplan.ua/deals/104728/card/","17717")</f>
      </c>
      <c r="B3471" s="3" t="inlineStr">
        <is>
          <t>114-4639442-2141835</t>
        </is>
      </c>
      <c r="C3471" s="3" t="inlineStr">
        <is>
          <t>TuckerRocky</t>
        </is>
      </c>
    </row>
    <row collapsed="false" customFormat="false" customHeight="false" hidden="false" ht="12.1" outlineLevel="0" r="3472">
      <c r="A3472" s="3" t="s">
        <f>=HYPERLINK("https://mp39851918.megaplan.ua/deals/104730/card/","17718")</f>
      </c>
      <c r="B3472" s="3" t="inlineStr">
        <is>
          <t>112-7946355-9077806</t>
        </is>
      </c>
      <c r="C3472" s="3" t="inlineStr">
        <is>
          <t>RockyMountain</t>
        </is>
      </c>
    </row>
    <row collapsed="false" customFormat="false" customHeight="false" hidden="false" ht="12.1" outlineLevel="0" r="3473">
      <c r="A3473" s="3" t="s">
        <f>=HYPERLINK("https://mp39851918.megaplan.ua/deals/104732/card/","17719")</f>
      </c>
      <c r="B3473" s="3" t="inlineStr">
        <is>
          <t>114-7404928-5921804</t>
        </is>
      </c>
      <c r="C3473" s="3" t="inlineStr">
        <is>
          <t>TuckerRocky</t>
        </is>
      </c>
    </row>
    <row collapsed="false" customFormat="false" customHeight="false" hidden="false" ht="12.1" outlineLevel="0" r="3474">
      <c r="A3474" s="3" t="s">
        <f>=HYPERLINK("https://mp39851918.megaplan.ua/deals/104740/card/","17720")</f>
      </c>
      <c r="B3474" s="3" t="inlineStr">
        <is>
          <t>111-1487186-2706629</t>
        </is>
      </c>
      <c r="C3474" s="3" t="inlineStr">
        <is>
          <t>RockyMountain</t>
        </is>
      </c>
    </row>
    <row collapsed="false" customFormat="false" customHeight="false" hidden="false" ht="12.1" outlineLevel="0" r="3475">
      <c r="A3475" s="3" t="s">
        <f>=HYPERLINK("https://mp39851918.megaplan.ua/deals/104741/card/","17721")</f>
      </c>
      <c r="B3475" s="3" t="inlineStr">
        <is>
          <t>114-0400978-3469004</t>
        </is>
      </c>
      <c r="C3475" s="3" t="inlineStr">
        <is>
          <t>Autodist</t>
        </is>
      </c>
    </row>
    <row collapsed="false" customFormat="false" customHeight="false" hidden="false" ht="12.1" outlineLevel="0" r="3476">
      <c r="A3476" s="3" t="s">
        <f>=HYPERLINK("https://mp39851918.megaplan.ua/deals/104750/card/","17722")</f>
      </c>
      <c r="B3476" s="3" t="inlineStr">
        <is>
          <t>111-2060250-8803426</t>
        </is>
      </c>
      <c r="C3476" s="3" t="inlineStr">
        <is>
          <t>Autodist</t>
        </is>
      </c>
    </row>
    <row collapsed="false" customFormat="false" customHeight="false" hidden="false" ht="12.1" outlineLevel="0" r="3477">
      <c r="A3477" s="3" t="s">
        <f>=HYPERLINK("https://mp39851918.megaplan.ua/deals/104758/card/","17724")</f>
      </c>
      <c r="B3477" s="3" t="inlineStr">
        <is>
          <t>112-2726629-5408242</t>
        </is>
      </c>
      <c r="C3477" s="3" t="inlineStr">
        <is>
          <t>Autodist</t>
        </is>
      </c>
    </row>
    <row collapsed="false" customFormat="false" customHeight="false" hidden="false" ht="12.1" outlineLevel="0" r="3478">
      <c r="A3478" s="3" t="s">
        <f>=HYPERLINK("https://mp39851918.megaplan.ua/deals/104770/card/","17726")</f>
      </c>
      <c r="B3478" s="3" t="inlineStr">
        <is>
          <t>111-7006853-6526636</t>
        </is>
      </c>
      <c r="C3478" s="3" t="inlineStr">
        <is>
          <t>PartsUnlimited</t>
        </is>
      </c>
    </row>
    <row collapsed="false" customFormat="false" customHeight="false" hidden="false" ht="12.1" outlineLevel="0" r="3479">
      <c r="A3479" s="3" t="s">
        <f>=HYPERLINK("https://mp39851918.megaplan.ua/deals/104773/card/","17728")</f>
      </c>
      <c r="B3479" s="3" t="inlineStr">
        <is>
          <t>111-3592978-4186636</t>
        </is>
      </c>
      <c r="C3479" s="3" t="inlineStr">
        <is>
          <t>Autodist</t>
        </is>
      </c>
    </row>
    <row collapsed="false" customFormat="false" customHeight="false" hidden="false" ht="12.1" outlineLevel="0" r="3480">
      <c r="A3480" s="3" t="s">
        <f>=HYPERLINK("https://mp39851918.megaplan.ua/deals/104774/card/","17729")</f>
      </c>
      <c r="B3480" s="3" t="inlineStr">
        <is>
          <t>113-7863343-1354603</t>
        </is>
      </c>
      <c r="C3480" s="3" t="inlineStr">
        <is>
          <t>TuckerRocky</t>
        </is>
      </c>
    </row>
    <row collapsed="false" customFormat="false" customHeight="false" hidden="false" ht="12.1" outlineLevel="0" r="3481">
      <c r="A3481" s="3" t="s">
        <f>=HYPERLINK("https://mp39851918.megaplan.ua/deals/104775/card/","17730")</f>
      </c>
      <c r="B3481" s="3" t="inlineStr">
        <is>
          <t>114-1429111-4866605</t>
        </is>
      </c>
      <c r="C3481" s="3" t="inlineStr">
        <is>
          <t>TuckerRocky</t>
        </is>
      </c>
    </row>
    <row collapsed="false" customFormat="false" customHeight="false" hidden="false" ht="12.1" outlineLevel="0" r="3482">
      <c r="A3482" s="3" t="s">
        <f>=HYPERLINK("https://mp39851918.megaplan.ua/deals/104776/card/","17731")</f>
      </c>
      <c r="B3482" s="3" t="inlineStr">
        <is>
          <t>112-5687122-7639448</t>
        </is>
      </c>
      <c r="C3482" s="3" t="inlineStr">
        <is>
          <t>TuckerRocky</t>
        </is>
      </c>
    </row>
    <row collapsed="false" customFormat="false" customHeight="false" hidden="false" ht="12.1" outlineLevel="0" r="3483">
      <c r="A3483" s="3" t="s">
        <f>=HYPERLINK("https://mp39851918.megaplan.ua/deals/104777/card/","17732")</f>
      </c>
      <c r="B3483" s="3" t="inlineStr">
        <is>
          <t>114-3097349-4960251</t>
        </is>
      </c>
      <c r="C3483" s="3" t="inlineStr">
        <is>
          <t>TuckerRocky</t>
        </is>
      </c>
    </row>
    <row collapsed="false" customFormat="false" customHeight="false" hidden="false" ht="12.1" outlineLevel="0" r="3484">
      <c r="A3484" s="3" t="s">
        <f>=HYPERLINK("https://mp39851918.megaplan.ua/deals/104779/card/","17733")</f>
      </c>
      <c r="B3484" s="3" t="inlineStr">
        <is>
          <t>111-8336008-5882637</t>
        </is>
      </c>
      <c r="C3484" s="3" t="inlineStr">
        <is>
          <t>TuckerRocky</t>
        </is>
      </c>
    </row>
    <row collapsed="false" customFormat="false" customHeight="false" hidden="false" ht="12.1" outlineLevel="0" r="3485">
      <c r="A3485" s="3" t="s">
        <f>=HYPERLINK("https://mp39851918.megaplan.ua/deals/104793/card/","17735")</f>
      </c>
      <c r="B3485" s="3" t="inlineStr">
        <is>
          <t>112-0713619-7504226</t>
        </is>
      </c>
      <c r="C3485" s="3" t="inlineStr">
        <is>
          <t>RockyMountain</t>
        </is>
      </c>
    </row>
    <row collapsed="false" customFormat="false" customHeight="false" hidden="false" ht="12.1" outlineLevel="0" r="3486">
      <c r="A3486" s="3" t="s">
        <f>=HYPERLINK("https://mp39851918.megaplan.ua/deals/104819/card/","17740")</f>
      </c>
      <c r="B3486" s="3" t="inlineStr">
        <is>
          <t>111-4597289-1695467</t>
        </is>
      </c>
      <c r="C3486" s="3" t="inlineStr">
        <is>
          <t>RockyMountain</t>
        </is>
      </c>
    </row>
    <row collapsed="false" customFormat="false" customHeight="false" hidden="false" ht="12.1" outlineLevel="0" r="3487">
      <c r="A3487" s="3" t="s">
        <f>=HYPERLINK("https://mp39851918.megaplan.ua/deals/104823/card/","17741")</f>
      </c>
      <c r="B3487" s="3" t="inlineStr">
        <is>
          <t>114-7710975-2421064</t>
        </is>
      </c>
      <c r="C3487" s="3" t="inlineStr">
        <is>
          <t>Autodist</t>
        </is>
      </c>
    </row>
    <row collapsed="false" customFormat="false" customHeight="false" hidden="false" ht="12.1" outlineLevel="0" r="3488">
      <c r="A3488" s="3" t="s">
        <f>=HYPERLINK("https://mp39851918.megaplan.ua/deals/104824/card/","17742")</f>
      </c>
      <c r="B3488" s="3" t="inlineStr">
        <is>
          <t>111-0717188-7069816</t>
        </is>
      </c>
      <c r="C3488" s="3" t="inlineStr">
        <is>
          <t>Autodist</t>
        </is>
      </c>
    </row>
    <row collapsed="false" customFormat="false" customHeight="false" hidden="false" ht="12.1" outlineLevel="0" r="3489">
      <c r="A3489" s="3" t="s">
        <f>=HYPERLINK("https://mp39851918.megaplan.ua/deals/104828/card/","17743")</f>
      </c>
      <c r="B3489" s="3" t="inlineStr">
        <is>
          <t>113-4435090-7799427</t>
        </is>
      </c>
      <c r="C3489" s="3" t="inlineStr">
        <is>
          <t>Autodist</t>
        </is>
      </c>
    </row>
    <row collapsed="false" customFormat="false" customHeight="false" hidden="false" ht="12.1" outlineLevel="0" r="3490">
      <c r="A3490" s="3" t="s">
        <f>=HYPERLINK("https://mp39851918.megaplan.ua/deals/104830/card/","17744")</f>
      </c>
      <c r="B3490" s="3" t="inlineStr">
        <is>
          <t>112-9769678-3645805</t>
        </is>
      </c>
      <c r="C3490" s="3" t="inlineStr">
        <is>
          <t>TuckerRocky</t>
        </is>
      </c>
    </row>
    <row collapsed="false" customFormat="false" customHeight="false" hidden="false" ht="12.1" outlineLevel="0" r="3491">
      <c r="A3491" s="3" t="s">
        <f>=HYPERLINK("https://mp39851918.megaplan.ua/deals/104832/card/","17745")</f>
      </c>
      <c r="B3491" s="3" t="inlineStr">
        <is>
          <t>113-2248481-4662603</t>
        </is>
      </c>
      <c r="C3491" s="3" t="inlineStr">
        <is>
          <t>Autodist</t>
        </is>
      </c>
    </row>
    <row collapsed="false" customFormat="false" customHeight="false" hidden="false" ht="12.1" outlineLevel="0" r="3492">
      <c r="A3492" s="3" t="s">
        <f>=HYPERLINK("https://mp39851918.megaplan.ua/deals/104833/card/","17746")</f>
      </c>
      <c r="B3492" s="3" t="inlineStr">
        <is>
          <t>112-0743030-0869829</t>
        </is>
      </c>
      <c r="C3492" s="3" t="inlineStr">
        <is>
          <t>PartsUnlimited</t>
        </is>
      </c>
    </row>
    <row collapsed="false" customFormat="false" customHeight="false" hidden="false" ht="12.1" outlineLevel="0" r="3493">
      <c r="A3493" s="3" t="s">
        <f>=HYPERLINK("https://mp39851918.megaplan.ua/deals/104834/card/","17747")</f>
      </c>
      <c r="B3493" s="3" t="inlineStr">
        <is>
          <t>114-4669546-1609849</t>
        </is>
      </c>
      <c r="C3493" s="3" t="inlineStr">
        <is>
          <t>PartsUnlimited</t>
        </is>
      </c>
    </row>
    <row collapsed="false" customFormat="false" customHeight="false" hidden="false" ht="12.1" outlineLevel="0" r="3494">
      <c r="A3494" s="3" t="s">
        <f>=HYPERLINK("https://mp39851918.megaplan.ua/deals/104835/card/","17748")</f>
      </c>
      <c r="B3494" s="3" t="inlineStr">
        <is>
          <t>112-8846668-4485022</t>
        </is>
      </c>
      <c r="C3494" s="3" t="inlineStr">
        <is>
          <t>Autodist</t>
        </is>
      </c>
    </row>
    <row collapsed="false" customFormat="false" customHeight="false" hidden="false" ht="12.1" outlineLevel="0" r="3495">
      <c r="A3495" s="3" t="s">
        <f>=HYPERLINK("https://mp39851918.megaplan.ua/deals/104836/card/","17749")</f>
      </c>
      <c r="B3495" s="3" t="inlineStr">
        <is>
          <t>111-8090280-7603462</t>
        </is>
      </c>
      <c r="C3495" s="3" t="inlineStr">
        <is>
          <t>Autodist</t>
        </is>
      </c>
    </row>
    <row collapsed="false" customFormat="false" customHeight="false" hidden="false" ht="12.1" outlineLevel="0" r="3496">
      <c r="A3496" s="3" t="s">
        <f>=HYPERLINK("https://mp39851918.megaplan.ua/deals/104852/card/","17750")</f>
      </c>
      <c r="B3496" s="3" t="inlineStr">
        <is>
          <t>113-7278557-0221867</t>
        </is>
      </c>
      <c r="C3496" s="3" t="inlineStr">
        <is>
          <t>Autodist</t>
        </is>
      </c>
    </row>
    <row collapsed="false" customFormat="false" customHeight="false" hidden="false" ht="12.1" outlineLevel="0" r="3497">
      <c r="A3497" s="3" t="s">
        <f>=HYPERLINK("https://mp39851918.megaplan.ua/deals/104854/card/","17751")</f>
      </c>
      <c r="B3497" s="3" t="inlineStr">
        <is>
          <t>112-8417430-2355417</t>
        </is>
      </c>
      <c r="C3497" s="3" t="inlineStr">
        <is>
          <t>TuckerRocky</t>
        </is>
      </c>
    </row>
    <row collapsed="false" customFormat="false" customHeight="false" hidden="false" ht="12.1" outlineLevel="0" r="3498">
      <c r="A3498" s="3" t="s">
        <f>=HYPERLINK("https://mp39851918.megaplan.ua/deals/104855/card/","17752")</f>
      </c>
      <c r="B3498" s="3" t="inlineStr">
        <is>
          <t>113-6651499-3619453</t>
        </is>
      </c>
      <c r="C3498" s="3" t="inlineStr">
        <is>
          <t>Autodist</t>
        </is>
      </c>
    </row>
    <row collapsed="false" customFormat="false" customHeight="false" hidden="false" ht="12.1" outlineLevel="0" r="3499">
      <c r="A3499" s="3" t="s">
        <f>=HYPERLINK("https://mp39851918.megaplan.ua/deals/104869/card/","17754")</f>
      </c>
      <c r="B3499" s="3" t="inlineStr">
        <is>
          <t>112-6093396-0611467</t>
        </is>
      </c>
      <c r="C3499" s="3" t="inlineStr">
        <is>
          <t>PartsUnlimited</t>
        </is>
      </c>
    </row>
    <row collapsed="false" customFormat="false" customHeight="false" hidden="false" ht="12.1" outlineLevel="0" r="3500">
      <c r="A3500" s="3" t="s">
        <f>=HYPERLINK("https://mp39851918.megaplan.ua/deals/104890/card/","17755")</f>
      </c>
      <c r="B3500" s="3" t="inlineStr">
        <is>
          <t>111-3602512-4065828</t>
        </is>
      </c>
      <c r="C3500" s="3" t="inlineStr">
        <is>
          <t>TuckerRocky</t>
        </is>
      </c>
    </row>
    <row collapsed="false" customFormat="false" customHeight="false" hidden="false" ht="12.1" outlineLevel="0" r="3501">
      <c r="A3501" s="3" t="s">
        <f>=HYPERLINK("https://mp39851918.megaplan.ua/deals/104892/card/","17756")</f>
      </c>
      <c r="B3501" s="3" t="inlineStr">
        <is>
          <t>111-8426421-3716234</t>
        </is>
      </c>
      <c r="C3501" s="3" t="inlineStr">
        <is>
          <t>Autodist</t>
        </is>
      </c>
    </row>
    <row collapsed="false" customFormat="false" customHeight="false" hidden="false" ht="12.1" outlineLevel="0" r="3502">
      <c r="A3502" s="3" t="s">
        <f>=HYPERLINK("https://mp39851918.megaplan.ua/deals/104899/card/","17757")</f>
      </c>
      <c r="B3502" s="3" t="inlineStr">
        <is>
          <t>112-6615026-5330651</t>
        </is>
      </c>
      <c r="C3502" s="3" t="inlineStr">
        <is>
          <t>RockyMountain</t>
        </is>
      </c>
    </row>
    <row collapsed="false" customFormat="false" customHeight="false" hidden="false" ht="12.1" outlineLevel="0" r="3503">
      <c r="A3503" s="3" t="s">
        <f>=HYPERLINK("https://mp39851918.megaplan.ua/deals/104900/card/","17758")</f>
      </c>
      <c r="B3503" s="3" t="inlineStr">
        <is>
          <t>112-7129171-1649017</t>
        </is>
      </c>
      <c r="C3503" s="3" t="inlineStr">
        <is>
          <t>Autodist</t>
        </is>
      </c>
    </row>
    <row collapsed="false" customFormat="false" customHeight="false" hidden="false" ht="12.1" outlineLevel="0" r="3504">
      <c r="A3504" s="3" t="s">
        <f>=HYPERLINK("https://mp39851918.megaplan.ua/deals/104909/card/","17759")</f>
      </c>
      <c r="B3504" s="3" t="inlineStr">
        <is>
          <t>113-4331861-0297808</t>
        </is>
      </c>
      <c r="C3504" s="3" t="inlineStr">
        <is>
          <t>PartsUnlimited</t>
        </is>
      </c>
    </row>
    <row collapsed="false" customFormat="false" customHeight="false" hidden="false" ht="12.1" outlineLevel="0" r="3505">
      <c r="A3505" s="3" t="s">
        <f>=HYPERLINK("https://mp39851918.megaplan.ua/deals/104915/card/","17761")</f>
      </c>
      <c r="B3505" s="3" t="inlineStr">
        <is>
          <t>113-4049386-6978603</t>
        </is>
      </c>
      <c r="C3505" s="3" t="inlineStr">
        <is>
          <t>Autodist</t>
        </is>
      </c>
    </row>
    <row collapsed="false" customFormat="false" customHeight="false" hidden="false" ht="12.1" outlineLevel="0" r="3506">
      <c r="A3506" s="3" t="s">
        <f>=HYPERLINK("https://mp39851918.megaplan.ua/deals/104927/card/","17762")</f>
      </c>
      <c r="B3506" s="3" t="inlineStr">
        <is>
          <t>112-6452245-5095464</t>
        </is>
      </c>
      <c r="C3506" s="3" t="inlineStr">
        <is>
          <t>TuckerRocky</t>
        </is>
      </c>
    </row>
    <row collapsed="false" customFormat="false" customHeight="false" hidden="false" ht="12.1" outlineLevel="0" r="3507">
      <c r="A3507" s="3" t="s">
        <f>=HYPERLINK("https://mp39851918.megaplan.ua/deals/104931/card/","17763")</f>
      </c>
      <c r="B3507" s="3" t="inlineStr">
        <is>
          <t>114-5443261-4789861</t>
        </is>
      </c>
      <c r="C3507" s="3" t="inlineStr">
        <is>
          <t>TuckerRocky</t>
        </is>
      </c>
    </row>
    <row collapsed="false" customFormat="false" customHeight="false" hidden="false" ht="12.1" outlineLevel="0" r="3508">
      <c r="A3508" s="3" t="s">
        <f>=HYPERLINK("https://mp39851918.megaplan.ua/deals/104945/card/","17764")</f>
      </c>
      <c r="B3508" s="3" t="inlineStr">
        <is>
          <t>114-5893732-0141013</t>
        </is>
      </c>
      <c r="C3508" s="3" t="inlineStr">
        <is>
          <t>PartsUnlimited</t>
        </is>
      </c>
    </row>
    <row collapsed="false" customFormat="false" customHeight="false" hidden="false" ht="12.1" outlineLevel="0" r="3509">
      <c r="A3509" s="3" t="s">
        <f>=HYPERLINK("https://mp39851918.megaplan.ua/deals/104952/card/","17765")</f>
      </c>
      <c r="B3509" s="3" t="inlineStr">
        <is>
          <t>113-0789290-9844226</t>
        </is>
      </c>
      <c r="C3509" s="3" t="inlineStr">
        <is>
          <t>TuckerRocky</t>
        </is>
      </c>
    </row>
    <row collapsed="false" customFormat="false" customHeight="false" hidden="false" ht="12.1" outlineLevel="0" r="3510">
      <c r="A3510" s="3" t="s">
        <f>=HYPERLINK("https://mp39851918.megaplan.ua/deals/104962/card/","17768")</f>
      </c>
      <c r="B3510" s="3" t="inlineStr">
        <is>
          <t>111-4979816-0541038</t>
        </is>
      </c>
      <c r="C3510" s="3" t="inlineStr">
        <is>
          <t>Autodist</t>
        </is>
      </c>
    </row>
    <row collapsed="false" customFormat="false" customHeight="false" hidden="false" ht="12.1" outlineLevel="0" r="3511">
      <c r="A3511" s="3" t="s">
        <f>=HYPERLINK("https://mp39851918.megaplan.ua/deals/104969/card/","17769")</f>
      </c>
      <c r="B3511" s="3" t="inlineStr">
        <is>
          <t>111-8801053-6730624</t>
        </is>
      </c>
      <c r="C3511" s="3" t="inlineStr">
        <is>
          <t>Autodist</t>
        </is>
      </c>
    </row>
    <row collapsed="false" customFormat="false" customHeight="false" hidden="false" ht="12.1" outlineLevel="0" r="3512">
      <c r="A3512" s="3" t="s">
        <f>=HYPERLINK("https://mp39851918.megaplan.ua/deals/104970/card/","17770")</f>
      </c>
      <c r="B3512" s="3" t="inlineStr">
        <is>
          <t>114-3575465-8519427</t>
        </is>
      </c>
      <c r="C3512" s="3" t="inlineStr">
        <is>
          <t>Autodist</t>
        </is>
      </c>
    </row>
    <row collapsed="false" customFormat="false" customHeight="false" hidden="false" ht="12.1" outlineLevel="0" r="3513">
      <c r="A3513" s="3" t="s">
        <f>=HYPERLINK("https://mp39851918.megaplan.ua/deals/104990/card/","17771")</f>
      </c>
      <c r="B3513" s="3" t="inlineStr">
        <is>
          <t>114-0762000-0222604</t>
        </is>
      </c>
      <c r="C3513" s="3" t="inlineStr">
        <is>
          <t>TuckerRocky</t>
        </is>
      </c>
    </row>
    <row collapsed="false" customFormat="false" customHeight="false" hidden="false" ht="12.1" outlineLevel="0" r="3514">
      <c r="A3514" s="3" t="s">
        <f>=HYPERLINK("https://mp39851918.megaplan.ua/deals/104994/card/","17772")</f>
      </c>
      <c r="B3514" s="3" t="inlineStr">
        <is>
          <t>113-5077846-3222601</t>
        </is>
      </c>
      <c r="C3514" s="3" t="inlineStr">
        <is>
          <t>RockyMountain</t>
        </is>
      </c>
    </row>
    <row collapsed="false" customFormat="false" customHeight="false" hidden="false" ht="12.1" outlineLevel="0" r="3515">
      <c r="A3515" s="3" t="s">
        <f>=HYPERLINK("https://mp39851918.megaplan.ua/deals/105023/card/","17773")</f>
      </c>
      <c r="B3515" s="3" t="inlineStr">
        <is>
          <t>114-4931392-6410666</t>
        </is>
      </c>
      <c r="C3515" s="3" t="inlineStr">
        <is>
          <t>PartsUnlimited</t>
        </is>
      </c>
    </row>
    <row collapsed="false" customFormat="false" customHeight="false" hidden="false" ht="12.1" outlineLevel="0" r="3516">
      <c r="A3516" s="3" t="s">
        <f>=HYPERLINK("https://mp39851918.megaplan.ua/deals/105030/card/","17774")</f>
      </c>
      <c r="B3516" s="3" t="inlineStr">
        <is>
          <t>111-6554584-8438646</t>
        </is>
      </c>
      <c r="C3516" s="3" t="inlineStr">
        <is>
          <t>PartsUnlimited</t>
        </is>
      </c>
    </row>
    <row collapsed="false" customFormat="false" customHeight="false" hidden="false" ht="12.1" outlineLevel="0" r="3517">
      <c r="A3517" s="3" t="s">
        <f>=HYPERLINK("https://mp39851918.megaplan.ua/deals/105032/card/","17775")</f>
      </c>
      <c r="B3517" s="3" t="inlineStr">
        <is>
          <t>112-5257361-1521854</t>
        </is>
      </c>
      <c r="C3517" s="3" t="inlineStr">
        <is>
          <t>Autodist</t>
        </is>
      </c>
    </row>
    <row collapsed="false" customFormat="false" customHeight="false" hidden="false" ht="12.1" outlineLevel="0" r="3518">
      <c r="A3518" s="3" t="s">
        <f>=HYPERLINK("https://mp39851918.megaplan.ua/deals/105041/card/","17776")</f>
      </c>
      <c r="B3518" s="3" t="inlineStr">
        <is>
          <t>112-4164586-9307433</t>
        </is>
      </c>
      <c r="C3518" s="3" t="inlineStr">
        <is>
          <t>Autodist</t>
        </is>
      </c>
    </row>
    <row collapsed="false" customFormat="false" customHeight="false" hidden="false" ht="12.1" outlineLevel="0" r="3519">
      <c r="A3519" s="3" t="s">
        <f>=HYPERLINK("https://mp39851918.megaplan.ua/deals/105043/card/","17777")</f>
      </c>
      <c r="B3519" s="3" t="inlineStr">
        <is>
          <t>112-1409373-7813053</t>
        </is>
      </c>
      <c r="C3519" s="3" t="inlineStr">
        <is>
          <t>TuckerRocky</t>
        </is>
      </c>
    </row>
    <row collapsed="false" customFormat="false" customHeight="false" hidden="false" ht="12.1" outlineLevel="0" r="3520">
      <c r="A3520" s="3" t="s">
        <f>=HYPERLINK("https://mp39851918.megaplan.ua/deals/105044/card/","17778")</f>
      </c>
      <c r="B3520" s="3" t="inlineStr">
        <is>
          <t>114-2451060-6193063</t>
        </is>
      </c>
      <c r="C3520" s="3" t="inlineStr">
        <is>
          <t>Autodist</t>
        </is>
      </c>
    </row>
    <row collapsed="false" customFormat="false" customHeight="false" hidden="false" ht="12.1" outlineLevel="0" r="3521">
      <c r="A3521" s="3" t="s">
        <f>=HYPERLINK("https://mp39851918.megaplan.ua/deals/105052/card/","17779")</f>
      </c>
      <c r="B3521" s="3" t="inlineStr">
        <is>
          <t>113-1369796-6108233</t>
        </is>
      </c>
      <c r="C3521" s="3" t="inlineStr">
        <is>
          <t>TuckerRocky</t>
        </is>
      </c>
    </row>
    <row collapsed="false" customFormat="false" customHeight="false" hidden="false" ht="12.1" outlineLevel="0" r="3522">
      <c r="A3522" s="3" t="s">
        <f>=HYPERLINK("https://mp39851918.megaplan.ua/deals/105054/card/","17780")</f>
      </c>
      <c r="B3522" s="3" t="inlineStr">
        <is>
          <t>114-9691744-3834653</t>
        </is>
      </c>
      <c r="C3522" s="3" t="inlineStr">
        <is>
          <t>TuckerRocky</t>
        </is>
      </c>
    </row>
    <row collapsed="false" customFormat="false" customHeight="false" hidden="false" ht="12.1" outlineLevel="0" r="3523">
      <c r="A3523" s="3" t="s">
        <f>=HYPERLINK("https://mp39851918.megaplan.ua/deals/105057/card/","17782")</f>
      </c>
      <c r="B3523" s="3" t="inlineStr">
        <is>
          <t>111-1817673-8593054</t>
        </is>
      </c>
      <c r="C3523" s="3" t="inlineStr">
        <is>
          <t>TuckerRocky</t>
        </is>
      </c>
    </row>
    <row collapsed="false" customFormat="false" customHeight="false" hidden="false" ht="12.1" outlineLevel="0" r="3524">
      <c r="A3524" s="3" t="s">
        <f>=HYPERLINK("https://mp39851918.megaplan.ua/deals/105067/card/","17783")</f>
      </c>
      <c r="B3524" s="3" t="inlineStr">
        <is>
          <t>113-7146681-3452257</t>
        </is>
      </c>
      <c r="C3524" s="3" t="inlineStr">
        <is>
          <t>Autodist</t>
        </is>
      </c>
    </row>
    <row collapsed="false" customFormat="false" customHeight="false" hidden="false" ht="12.1" outlineLevel="0" r="3525">
      <c r="A3525" s="3" t="s">
        <f>=HYPERLINK("https://mp39851918.megaplan.ua/deals/105071/card/","17784")</f>
      </c>
      <c r="B3525" s="3" t="inlineStr">
        <is>
          <t>112-1417789-4905055</t>
        </is>
      </c>
      <c r="C3525" s="3" t="inlineStr">
        <is>
          <t>Autodist</t>
        </is>
      </c>
    </row>
    <row collapsed="false" customFormat="false" customHeight="false" hidden="false" ht="12.1" outlineLevel="0" r="3526">
      <c r="A3526" s="3" t="s">
        <f>=HYPERLINK("https://mp39851918.megaplan.ua/deals/105076/card/","17785")</f>
      </c>
      <c r="B3526" s="3" t="inlineStr">
        <is>
          <t>114-3772279-3874605</t>
        </is>
      </c>
      <c r="C3526" s="3" t="inlineStr">
        <is>
          <t>TuckerRocky</t>
        </is>
      </c>
    </row>
    <row collapsed="false" customFormat="false" customHeight="false" hidden="false" ht="12.1" outlineLevel="0" r="3527">
      <c r="A3527" s="3" t="s">
        <f>=HYPERLINK("https://mp39851918.megaplan.ua/deals/105077/card/","17786")</f>
      </c>
      <c r="B3527" s="3" t="inlineStr">
        <is>
          <t>113-6859798-6321846</t>
        </is>
      </c>
      <c r="C3527" s="3" t="inlineStr">
        <is>
          <t>Autodist</t>
        </is>
      </c>
    </row>
    <row collapsed="false" customFormat="false" customHeight="false" hidden="false" ht="12.1" outlineLevel="0" r="3528">
      <c r="A3528" s="3" t="s">
        <f>=HYPERLINK("https://mp39851918.megaplan.ua/deals/105082/card/","17787")</f>
      </c>
      <c r="B3528" s="3" t="inlineStr">
        <is>
          <t>113-5397706-5563464</t>
        </is>
      </c>
      <c r="C3528" s="3" t="inlineStr">
        <is>
          <t>Autodist</t>
        </is>
      </c>
    </row>
    <row collapsed="false" customFormat="false" customHeight="false" hidden="false" ht="12.1" outlineLevel="0" r="3529">
      <c r="A3529" s="3" t="s">
        <f>=HYPERLINK("https://mp39851918.megaplan.ua/deals/105103/card/","17789")</f>
      </c>
      <c r="B3529" s="3" t="inlineStr">
        <is>
          <t>112-8206141-7972251</t>
        </is>
      </c>
      <c r="C3529" s="3" t="inlineStr">
        <is>
          <t>RockyMountain</t>
        </is>
      </c>
    </row>
    <row collapsed="false" customFormat="false" customHeight="false" hidden="false" ht="12.1" outlineLevel="0" r="3530">
      <c r="A3530" s="3" t="s">
        <f>=HYPERLINK("https://mp39851918.megaplan.ua/deals/105113/card/","17790")</f>
      </c>
      <c r="B3530" s="3" t="inlineStr">
        <is>
          <t>111-4404056-7919430</t>
        </is>
      </c>
      <c r="C3530" s="3" t="inlineStr">
        <is>
          <t>TuckerRocky</t>
        </is>
      </c>
    </row>
    <row collapsed="false" customFormat="false" customHeight="false" hidden="false" ht="12.1" outlineLevel="0" r="3531">
      <c r="A3531" s="3" t="s">
        <f>=HYPERLINK("https://mp39851918.megaplan.ua/deals/105119/card/","17791")</f>
      </c>
      <c r="B3531" s="3" t="inlineStr">
        <is>
          <t>112-6692007-5611412</t>
        </is>
      </c>
      <c r="C3531" s="3" t="inlineStr">
        <is>
          <t>Autodist</t>
        </is>
      </c>
    </row>
    <row collapsed="false" customFormat="false" customHeight="false" hidden="false" ht="12.1" outlineLevel="0" r="3532">
      <c r="A3532" s="3" t="s">
        <f>=HYPERLINK("https://mp39851918.megaplan.ua/deals/105126/card/","17792")</f>
      </c>
      <c r="B3532" s="3" t="inlineStr">
        <is>
          <t>112-6442271-3782629</t>
        </is>
      </c>
      <c r="C3532" s="3" t="inlineStr">
        <is>
          <t>Autodist</t>
        </is>
      </c>
    </row>
    <row collapsed="false" customFormat="false" customHeight="false" hidden="false" ht="12.1" outlineLevel="0" r="3533">
      <c r="A3533" s="3" t="s">
        <f>=HYPERLINK("https://mp39851918.megaplan.ua/deals/105136/card/","17793")</f>
      </c>
      <c r="B3533" s="3" t="inlineStr">
        <is>
          <t>111-2743088-7101058</t>
        </is>
      </c>
      <c r="C3533" s="3" t="inlineStr">
        <is>
          <t>TuckerRocky</t>
        </is>
      </c>
    </row>
    <row collapsed="false" customFormat="false" customHeight="false" hidden="false" ht="12.1" outlineLevel="0" r="3534">
      <c r="A3534" s="3" t="s">
        <f>=HYPERLINK("https://mp39851918.megaplan.ua/deals/105139/card/","17794")</f>
      </c>
      <c r="B3534" s="3" t="inlineStr">
        <is>
          <t>114-8556632-0230669</t>
        </is>
      </c>
      <c r="C3534" s="3" t="inlineStr">
        <is>
          <t>Autodist</t>
        </is>
      </c>
    </row>
    <row collapsed="false" customFormat="false" customHeight="false" hidden="false" ht="12.1" outlineLevel="0" r="3535">
      <c r="A3535" s="3" t="s">
        <f>=HYPERLINK("https://mp39851918.megaplan.ua/deals/105151/card/","17795")</f>
      </c>
      <c r="B3535" s="3" t="inlineStr">
        <is>
          <t>114-0227994-7810629</t>
        </is>
      </c>
      <c r="C3535" s="3" t="inlineStr">
        <is>
          <t>Autodist</t>
        </is>
      </c>
    </row>
    <row collapsed="false" customFormat="false" customHeight="false" hidden="false" ht="12.1" outlineLevel="0" r="3536">
      <c r="A3536" s="3" t="s">
        <f>=HYPERLINK("https://mp39851918.megaplan.ua/deals/105172/card/","17799")</f>
      </c>
      <c r="B3536" s="3" t="inlineStr">
        <is>
          <t>112-1675107-2648235</t>
        </is>
      </c>
      <c r="C3536" s="3" t="inlineStr">
        <is>
          <t>RockyMountain</t>
        </is>
      </c>
    </row>
    <row collapsed="false" customFormat="false" customHeight="false" hidden="false" ht="12.1" outlineLevel="0" r="3537">
      <c r="A3537" s="3" t="s">
        <f>=HYPERLINK("https://mp39851918.megaplan.ua/deals/105173/card/","17800")</f>
      </c>
      <c r="B3537" s="3" t="inlineStr">
        <is>
          <t>111-4926549-9880230</t>
        </is>
      </c>
      <c r="C3537" s="3" t="inlineStr">
        <is>
          <t>TuckerRocky</t>
        </is>
      </c>
    </row>
    <row collapsed="false" customFormat="false" customHeight="false" hidden="false" ht="12.1" outlineLevel="0" r="3538">
      <c r="A3538" s="3" t="s">
        <f>=HYPERLINK("https://mp39851918.megaplan.ua/deals/105175/card/","17801")</f>
      </c>
      <c r="B3538" s="3" t="inlineStr">
        <is>
          <t>112-3077104-6307456</t>
        </is>
      </c>
      <c r="C3538" s="3" t="inlineStr">
        <is>
          <t>TuckerRocky</t>
        </is>
      </c>
    </row>
    <row collapsed="false" customFormat="false" customHeight="false" hidden="false" ht="12.1" outlineLevel="0" r="3539">
      <c r="A3539" s="3" t="s">
        <f>=HYPERLINK("https://mp39851918.megaplan.ua/deals/105176/card/","17802")</f>
      </c>
      <c r="B3539" s="3" t="inlineStr">
        <is>
          <t>114-8809560-6531458</t>
        </is>
      </c>
      <c r="C3539" s="3" t="inlineStr">
        <is>
          <t>RockyMountain</t>
        </is>
      </c>
    </row>
    <row collapsed="false" customFormat="false" customHeight="false" hidden="false" ht="12.1" outlineLevel="0" r="3540">
      <c r="A3540" s="3" t="s">
        <f>=HYPERLINK("https://mp39851918.megaplan.ua/deals/105178/card/","17803")</f>
      </c>
      <c r="B3540" s="3" t="inlineStr">
        <is>
          <t>112-7350875-6182644</t>
        </is>
      </c>
      <c r="C3540" s="3" t="inlineStr">
        <is>
          <t>TuckerRocky</t>
        </is>
      </c>
    </row>
    <row collapsed="false" customFormat="false" customHeight="false" hidden="false" ht="12.1" outlineLevel="0" r="3541">
      <c r="A3541" s="3" t="s">
        <f>=HYPERLINK("https://mp39851918.megaplan.ua/deals/105179/card/","17804")</f>
      </c>
      <c r="B3541" s="3" t="inlineStr">
        <is>
          <t>111-9744687-5896218</t>
        </is>
      </c>
      <c r="C3541" s="3" t="inlineStr">
        <is>
          <t>TuckerRocky</t>
        </is>
      </c>
    </row>
    <row collapsed="false" customFormat="false" customHeight="false" hidden="false" ht="12.1" outlineLevel="0" r="3542">
      <c r="A3542" s="3" t="s">
        <f>=HYPERLINK("https://mp39851918.megaplan.ua/deals/105180/card/","17805")</f>
      </c>
      <c r="B3542" s="3" t="inlineStr">
        <is>
          <t>111-9650717-4153010</t>
        </is>
      </c>
      <c r="C3542" s="3" t="inlineStr">
        <is>
          <t>Autodist</t>
        </is>
      </c>
    </row>
    <row collapsed="false" customFormat="false" customHeight="false" hidden="false" ht="12.1" outlineLevel="0" r="3543">
      <c r="A3543" s="3" t="s">
        <f>=HYPERLINK("https://mp39851918.megaplan.ua/deals/105186/card/","17806")</f>
      </c>
      <c r="B3543" s="3" t="inlineStr">
        <is>
          <t>111-2445179-7561002</t>
        </is>
      </c>
      <c r="C3543" s="3" t="inlineStr">
        <is>
          <t>TuckerRocky</t>
        </is>
      </c>
    </row>
    <row collapsed="false" customFormat="false" customHeight="false" hidden="false" ht="12.1" outlineLevel="0" r="3544">
      <c r="A3544" s="3" t="s">
        <f>=HYPERLINK("https://mp39851918.megaplan.ua/deals/105188/card/","17807")</f>
      </c>
      <c r="B3544" s="3" t="inlineStr">
        <is>
          <t>112-7740187-6840269</t>
        </is>
      </c>
      <c r="C3544" s="3" t="inlineStr">
        <is>
          <t>Autodist</t>
        </is>
      </c>
    </row>
    <row collapsed="false" customFormat="false" customHeight="false" hidden="false" ht="12.1" outlineLevel="0" r="3545">
      <c r="A3545" s="3" t="s">
        <f>=HYPERLINK("https://mp39851918.megaplan.ua/deals/105192/card/","17808")</f>
      </c>
      <c r="B3545" s="3" t="inlineStr">
        <is>
          <t>112-9048972-3266654</t>
        </is>
      </c>
      <c r="C3545" s="3" t="inlineStr">
        <is>
          <t>Autodist</t>
        </is>
      </c>
    </row>
    <row collapsed="false" customFormat="false" customHeight="false" hidden="false" ht="12.1" outlineLevel="0" r="3546">
      <c r="A3546" s="3" t="s">
        <f>=HYPERLINK("https://mp39851918.megaplan.ua/deals/105204/card/","17809")</f>
      </c>
      <c r="B3546" s="3" t="inlineStr">
        <is>
          <t>112-9757562-0065803</t>
        </is>
      </c>
      <c r="C3546" s="3" t="inlineStr">
        <is>
          <t>Autodist</t>
        </is>
      </c>
    </row>
    <row collapsed="false" customFormat="false" customHeight="false" hidden="false" ht="12.1" outlineLevel="0" r="3547">
      <c r="A3547" s="3" t="s">
        <f>=HYPERLINK("https://mp39851918.megaplan.ua/deals/105207/card/","17810")</f>
      </c>
      <c r="B3547" s="3" t="inlineStr">
        <is>
          <t>112-3871854-6235447</t>
        </is>
      </c>
      <c r="C3547" s="3" t="inlineStr">
        <is>
          <t>Autodist</t>
        </is>
      </c>
    </row>
    <row collapsed="false" customFormat="false" customHeight="false" hidden="false" ht="12.1" outlineLevel="0" r="3548">
      <c r="A3548" s="3" t="s">
        <f>=HYPERLINK("https://mp39851918.megaplan.ua/deals/105234/card/","17817")</f>
      </c>
      <c r="B3548" s="3" t="inlineStr">
        <is>
          <t>111-9142255-2611457</t>
        </is>
      </c>
      <c r="C3548" s="3" t="inlineStr">
        <is>
          <t>TuckerRocky</t>
        </is>
      </c>
    </row>
    <row collapsed="false" customFormat="false" customHeight="false" hidden="false" ht="12.1" outlineLevel="0" r="3549">
      <c r="A3549" s="3" t="s">
        <f>=HYPERLINK("https://mp39851918.megaplan.ua/deals/105283/card/","17819")</f>
      </c>
      <c r="B3549" s="3" t="inlineStr">
        <is>
          <t>112-7038060-1989030</t>
        </is>
      </c>
      <c r="C3549" s="3" t="inlineStr">
        <is>
          <t>Autodist</t>
        </is>
      </c>
    </row>
    <row collapsed="false" customFormat="false" customHeight="false" hidden="false" ht="12.1" outlineLevel="0" r="3550">
      <c r="A3550" s="3" t="s">
        <f>=HYPERLINK("https://mp39851918.megaplan.ua/deals/105288/card/","17821")</f>
      </c>
      <c r="B3550" s="3" t="inlineStr">
        <is>
          <t>111-1829231-4795462</t>
        </is>
      </c>
      <c r="C3550" s="3" t="inlineStr">
        <is>
          <t>PartsUnlimited</t>
        </is>
      </c>
    </row>
    <row collapsed="false" customFormat="false" customHeight="false" hidden="false" ht="12.1" outlineLevel="0" r="3551">
      <c r="A3551" s="3" t="s">
        <f>=HYPERLINK("https://mp39851918.megaplan.ua/deals/105324/card/","17825")</f>
      </c>
      <c r="B3551" s="3" t="inlineStr">
        <is>
          <t>114-4319440-9001022</t>
        </is>
      </c>
      <c r="C3551" s="3" t="inlineStr">
        <is>
          <t>Autodist</t>
        </is>
      </c>
    </row>
    <row collapsed="false" customFormat="false" customHeight="false" hidden="false" ht="12.1" outlineLevel="0" r="3552">
      <c r="A3552" s="3" t="s">
        <f>=HYPERLINK("https://mp39851918.megaplan.ua/deals/105325/card/","17826")</f>
      </c>
      <c r="B3552" s="3" t="inlineStr">
        <is>
          <t>111-4471796-5710604</t>
        </is>
      </c>
      <c r="C3552" s="3" t="inlineStr">
        <is>
          <t>PartsUnlimited</t>
        </is>
      </c>
    </row>
    <row collapsed="false" customFormat="false" customHeight="false" hidden="false" ht="12.1" outlineLevel="0" r="3553">
      <c r="A3553" s="3" t="s">
        <f>=HYPERLINK("https://mp39851918.megaplan.ua/deals/105343/card/","17828")</f>
      </c>
      <c r="B3553" s="3" t="inlineStr">
        <is>
          <t>111-2626673-4469842</t>
        </is>
      </c>
      <c r="C3553" s="3" t="inlineStr">
        <is>
          <t>RockyMountain</t>
        </is>
      </c>
    </row>
    <row collapsed="false" customFormat="false" customHeight="false" hidden="false" ht="12.1" outlineLevel="0" r="3554">
      <c r="A3554" s="3" t="s">
        <f>=HYPERLINK("https://mp39851918.megaplan.ua/deals/105356/card/","17829")</f>
      </c>
      <c r="B3554" s="3" t="inlineStr">
        <is>
          <t>113-5445755-9687412</t>
        </is>
      </c>
      <c r="C3554" s="3" t="inlineStr">
        <is>
          <t>Autodist</t>
        </is>
      </c>
    </row>
    <row collapsed="false" customFormat="false" customHeight="false" hidden="false" ht="12.1" outlineLevel="0" r="3555">
      <c r="A3555" s="3" t="s">
        <f>=HYPERLINK("https://mp39851918.megaplan.ua/deals/105384/card/","17832")</f>
      </c>
      <c r="B3555" s="3" t="inlineStr">
        <is>
          <t>111-9214434-8551404</t>
        </is>
      </c>
      <c r="C3555" s="3" t="inlineStr">
        <is>
          <t>TuckerRocky</t>
        </is>
      </c>
    </row>
    <row collapsed="false" customFormat="false" customHeight="false" hidden="false" ht="12.1" outlineLevel="0" r="3556">
      <c r="A3556" s="3" t="s">
        <f>=HYPERLINK("https://mp39851918.megaplan.ua/deals/105400/card/","17836")</f>
      </c>
      <c r="B3556" s="3" t="inlineStr">
        <is>
          <t>114-0654013-6536245</t>
        </is>
      </c>
      <c r="C3556" s="3" t="inlineStr">
        <is>
          <t>Autodist</t>
        </is>
      </c>
    </row>
    <row collapsed="false" customFormat="false" customHeight="false" hidden="false" ht="12.1" outlineLevel="0" r="3557">
      <c r="A3557" s="3" t="s">
        <f>=HYPERLINK("https://mp39851918.megaplan.ua/deals/105422/card/","17838")</f>
      </c>
      <c r="B3557" s="3" t="inlineStr">
        <is>
          <t>111-4594854-5260200</t>
        </is>
      </c>
      <c r="C3557" s="3" t="inlineStr">
        <is>
          <t>Autodist</t>
        </is>
      </c>
    </row>
    <row collapsed="false" customFormat="false" customHeight="false" hidden="false" ht="12.1" outlineLevel="0" r="3558">
      <c r="A3558" s="3" t="s">
        <f>=HYPERLINK("https://mp39851918.megaplan.ua/deals/105447/card/","17839")</f>
      </c>
      <c r="B3558" s="3" t="inlineStr">
        <is>
          <t>112-1732027-4281805</t>
        </is>
      </c>
      <c r="C3558" s="3" t="inlineStr">
        <is>
          <t>Autodist</t>
        </is>
      </c>
    </row>
    <row collapsed="false" customFormat="false" customHeight="false" hidden="false" ht="12.1" outlineLevel="0" r="3559">
      <c r="A3559" s="3" t="s">
        <f>=HYPERLINK("https://mp39851918.megaplan.ua/deals/105454/card/","17840")</f>
      </c>
      <c r="B3559" s="3" t="inlineStr">
        <is>
          <t>113-7725486-5343429</t>
        </is>
      </c>
      <c r="C3559" s="3" t="inlineStr">
        <is>
          <t>Autodist</t>
        </is>
      </c>
    </row>
    <row collapsed="false" customFormat="false" customHeight="false" hidden="false" ht="12.1" outlineLevel="0" r="3560">
      <c r="A3560" s="3" t="s">
        <f>=HYPERLINK("https://mp39851918.megaplan.ua/deals/105457/card/","17841")</f>
      </c>
      <c r="B3560" s="3" t="inlineStr">
        <is>
          <t>114-7093095-7121834</t>
        </is>
      </c>
      <c r="C3560" s="3" t="inlineStr">
        <is>
          <t>PartsUnlimited</t>
        </is>
      </c>
    </row>
    <row collapsed="false" customFormat="false" customHeight="false" hidden="false" ht="12.1" outlineLevel="0" r="3561">
      <c r="A3561" s="3" t="s">
        <f>=HYPERLINK("https://mp39851918.megaplan.ua/deals/105467/card/","17842")</f>
      </c>
      <c r="B3561" s="3" t="inlineStr">
        <is>
          <t>112-9460774-2653012</t>
        </is>
      </c>
      <c r="C3561" s="3" t="inlineStr">
        <is>
          <t>TuckerRocky</t>
        </is>
      </c>
    </row>
    <row collapsed="false" customFormat="false" customHeight="false" hidden="false" ht="12.1" outlineLevel="0" r="3562">
      <c r="A3562" s="3" t="s">
        <f>=HYPERLINK("https://mp39851918.megaplan.ua/deals/105476/card/","17844")</f>
      </c>
      <c r="B3562" s="3" t="inlineStr">
        <is>
          <t>111-4163676-7294622</t>
        </is>
      </c>
      <c r="C3562" s="3" t="inlineStr">
        <is>
          <t>RockyMountain</t>
        </is>
      </c>
    </row>
    <row collapsed="false" customFormat="false" customHeight="false" hidden="false" ht="12.1" outlineLevel="0" r="3563">
      <c r="A3563" s="3" t="s">
        <f>=HYPERLINK("https://mp39851918.megaplan.ua/deals/105486/card/","17845")</f>
      </c>
      <c r="B3563" s="3" t="inlineStr">
        <is>
          <t>112-5089834-0359413</t>
        </is>
      </c>
      <c r="C3563" s="3" t="inlineStr">
        <is>
          <t>TuckerRocky</t>
        </is>
      </c>
    </row>
    <row collapsed="false" customFormat="false" customHeight="false" hidden="false" ht="12.1" outlineLevel="0" r="3564">
      <c r="A3564" s="3" t="s">
        <f>=HYPERLINK("https://mp39851918.megaplan.ua/deals/105489/card/","17846")</f>
      </c>
      <c r="B3564" s="3" t="inlineStr">
        <is>
          <t>111-3067273-4305806</t>
        </is>
      </c>
      <c r="C3564" s="3" t="inlineStr">
        <is>
          <t>RockyMountain</t>
        </is>
      </c>
    </row>
    <row collapsed="false" customFormat="false" customHeight="false" hidden="false" ht="12.1" outlineLevel="0" r="3565">
      <c r="A3565" s="3" t="s">
        <f>=HYPERLINK("https://mp39851918.megaplan.ua/deals/105537/card/","17852")</f>
      </c>
      <c r="B3565" s="3" t="inlineStr">
        <is>
          <t>111-8569040-3081818</t>
        </is>
      </c>
      <c r="C3565" s="3" t="inlineStr">
        <is>
          <t>TuckerRocky</t>
        </is>
      </c>
    </row>
    <row collapsed="false" customFormat="false" customHeight="false" hidden="false" ht="12.1" outlineLevel="0" r="3566">
      <c r="A3566" s="3" t="s">
        <f>=HYPERLINK("https://mp39851918.megaplan.ua/deals/105551/card/","17855")</f>
      </c>
      <c r="B3566" s="3" t="inlineStr">
        <is>
          <t>112-6146443-1819451</t>
        </is>
      </c>
      <c r="C3566" s="3" t="inlineStr">
        <is>
          <t>Autodist</t>
        </is>
      </c>
    </row>
    <row collapsed="false" customFormat="false" customHeight="false" hidden="false" ht="12.1" outlineLevel="0" r="3567">
      <c r="A3567" s="3" t="s">
        <f>=HYPERLINK("https://mp39851918.megaplan.ua/deals/105571/card/","17856")</f>
      </c>
      <c r="B3567" s="3" t="inlineStr">
        <is>
          <t>111-9463398-6799448</t>
        </is>
      </c>
      <c r="C3567" s="3" t="inlineStr">
        <is>
          <t>Autodist</t>
        </is>
      </c>
    </row>
    <row collapsed="false" customFormat="false" customHeight="false" hidden="false" ht="12.1" outlineLevel="0" r="3568">
      <c r="A3568" s="3" t="s">
        <f>=HYPERLINK("https://mp39851918.megaplan.ua/deals/105583/card/","17858")</f>
      </c>
      <c r="B3568" s="3" t="inlineStr">
        <is>
          <t>114-8479930-3677821</t>
        </is>
      </c>
      <c r="C3568" s="3" t="inlineStr">
        <is>
          <t>RockyMountain</t>
        </is>
      </c>
    </row>
    <row collapsed="false" customFormat="false" customHeight="false" hidden="false" ht="12.1" outlineLevel="0" r="3569">
      <c r="A3569" s="3" t="s">
        <f>=HYPERLINK("https://mp39851918.megaplan.ua/deals/105663/card/","17860")</f>
      </c>
      <c r="B3569" s="3" t="inlineStr">
        <is>
          <t>114-2621381-2012216</t>
        </is>
      </c>
      <c r="C3569" s="3" t="inlineStr">
        <is>
          <t>Autodist</t>
        </is>
      </c>
    </row>
    <row collapsed="false" customFormat="false" customHeight="false" hidden="false" ht="12.1" outlineLevel="0" r="3570">
      <c r="A3570" s="3" t="s">
        <f>=HYPERLINK("https://mp39851918.megaplan.ua/deals/105693/card/","17863")</f>
      </c>
      <c r="B3570" s="3" t="inlineStr">
        <is>
          <t>113-0224891-6111470</t>
        </is>
      </c>
      <c r="C3570" s="3" t="inlineStr">
        <is>
          <t>Autodist</t>
        </is>
      </c>
    </row>
    <row collapsed="false" customFormat="false" customHeight="false" hidden="false" ht="12.1" outlineLevel="0" r="3571">
      <c r="A3571" s="3" t="s">
        <f>=HYPERLINK("https://mp39851918.megaplan.ua/deals/105704/card/","17864")</f>
      </c>
      <c r="B3571" s="3" t="inlineStr">
        <is>
          <t>111-0211644-1673835</t>
        </is>
      </c>
      <c r="C3571" s="3" t="inlineStr">
        <is>
          <t>RockyMountain</t>
        </is>
      </c>
    </row>
    <row collapsed="false" customFormat="false" customHeight="false" hidden="false" ht="12.1" outlineLevel="0" r="3572">
      <c r="A3572" s="3" t="s">
        <f>=HYPERLINK("https://mp39851918.megaplan.ua/deals/105707/card/","17865")</f>
      </c>
      <c r="B3572" s="3" t="inlineStr">
        <is>
          <t>111-5406061-5915453</t>
        </is>
      </c>
      <c r="C3572" s="3" t="inlineStr">
        <is>
          <t>RockyMountain</t>
        </is>
      </c>
    </row>
    <row collapsed="false" customFormat="false" customHeight="false" hidden="false" ht="12.1" outlineLevel="0" r="3573">
      <c r="A3573" s="3" t="s">
        <f>=HYPERLINK("https://mp39851918.megaplan.ua/deals/105721/card/","17868")</f>
      </c>
      <c r="B3573" s="3" t="inlineStr">
        <is>
          <t>112-4345182-8105068</t>
        </is>
      </c>
      <c r="C3573" s="3" t="inlineStr">
        <is>
          <t>Autodist</t>
        </is>
      </c>
    </row>
    <row collapsed="false" customFormat="false" customHeight="false" hidden="false" ht="12.1" outlineLevel="0" r="3574">
      <c r="A3574" s="3" t="s">
        <f>=HYPERLINK("https://mp39851918.megaplan.ua/deals/105729/card/","17871")</f>
      </c>
      <c r="B3574" s="3" t="inlineStr">
        <is>
          <t>114-4944184-4288209</t>
        </is>
      </c>
      <c r="C3574" s="3" t="inlineStr">
        <is>
          <t>TuckerRocky</t>
        </is>
      </c>
    </row>
    <row collapsed="false" customFormat="false" customHeight="false" hidden="false" ht="12.1" outlineLevel="0" r="3575">
      <c r="A3575" s="3" t="s">
        <f>=HYPERLINK("https://mp39851918.megaplan.ua/deals/105734/card/","17872")</f>
      </c>
      <c r="B3575" s="3" t="inlineStr">
        <is>
          <t>112-1589460-3775458</t>
        </is>
      </c>
      <c r="C3575" s="3" t="inlineStr">
        <is>
          <t>RockyMountain</t>
        </is>
      </c>
    </row>
    <row collapsed="false" customFormat="false" customHeight="false" hidden="false" ht="12.1" outlineLevel="0" r="3576">
      <c r="A3576" s="3" t="s">
        <f>=HYPERLINK("https://mp39851918.megaplan.ua/deals/105740/card/","17873")</f>
      </c>
      <c r="B3576" s="3" t="inlineStr">
        <is>
          <t>113-7729414-7583401</t>
        </is>
      </c>
      <c r="C3576" s="3" t="inlineStr">
        <is>
          <t>RockyMountain</t>
        </is>
      </c>
    </row>
    <row collapsed="false" customFormat="false" customHeight="false" hidden="false" ht="12.1" outlineLevel="0" r="3577">
      <c r="A3577" s="3" t="s">
        <f>=HYPERLINK("https://mp39851918.megaplan.ua/deals/105763/card/","17879")</f>
      </c>
      <c r="B3577" s="3" t="inlineStr">
        <is>
          <t>111-6484628-5346628</t>
        </is>
      </c>
      <c r="C3577" s="3" t="inlineStr">
        <is>
          <t>TuckerRocky</t>
        </is>
      </c>
    </row>
    <row collapsed="false" customFormat="false" customHeight="false" hidden="false" ht="12.1" outlineLevel="0" r="3578">
      <c r="A3578" s="3" t="s">
        <f>=HYPERLINK("https://mp39851918.megaplan.ua/deals/105767/card/","17880")</f>
      </c>
      <c r="B3578" s="3" t="inlineStr">
        <is>
          <t>114-5842497-9966603</t>
        </is>
      </c>
      <c r="C3578" s="3" t="inlineStr">
        <is>
          <t>TuckerRocky</t>
        </is>
      </c>
    </row>
    <row collapsed="false" customFormat="false" customHeight="false" hidden="false" ht="12.1" outlineLevel="0" r="3579">
      <c r="A3579" s="3" t="s">
        <f>=HYPERLINK("https://mp39851918.megaplan.ua/deals/105770/card/","17881")</f>
      </c>
      <c r="B3579" s="3" t="inlineStr">
        <is>
          <t>112-5765520-6568201</t>
        </is>
      </c>
      <c r="C3579" s="3" t="inlineStr">
        <is>
          <t>Autodist</t>
        </is>
      </c>
    </row>
    <row collapsed="false" customFormat="false" customHeight="false" hidden="false" ht="12.1" outlineLevel="0" r="3580">
      <c r="A3580" s="3" t="s">
        <f>=HYPERLINK("https://mp39851918.megaplan.ua/deals/105772/card/","17882")</f>
      </c>
      <c r="B3580" s="3" t="inlineStr">
        <is>
          <t>113-3054951-9449020</t>
        </is>
      </c>
      <c r="C3580" s="3" t="inlineStr">
        <is>
          <t>RockyMountain</t>
        </is>
      </c>
    </row>
    <row collapsed="false" customFormat="false" customHeight="false" hidden="false" ht="12.1" outlineLevel="0" r="3581">
      <c r="A3581" s="3" t="s">
        <f>=HYPERLINK("https://mp39851918.megaplan.ua/deals/105774/card/","17883")</f>
      </c>
      <c r="B3581" s="3" t="inlineStr">
        <is>
          <t>114-0316674-0705031</t>
        </is>
      </c>
      <c r="C3581" s="3" t="inlineStr">
        <is>
          <t>PartsUnlimited</t>
        </is>
      </c>
    </row>
    <row collapsed="false" customFormat="false" customHeight="false" hidden="false" ht="12.1" outlineLevel="0" r="3582">
      <c r="A3582" s="3" t="s">
        <f>=HYPERLINK("https://mp39851918.megaplan.ua/deals/105775/card/","17884")</f>
      </c>
      <c r="B3582" s="3" t="inlineStr">
        <is>
          <t>114-5022632-6205006</t>
        </is>
      </c>
      <c r="C3582" s="3" t="inlineStr">
        <is>
          <t>RockyMountain</t>
        </is>
      </c>
    </row>
    <row collapsed="false" customFormat="false" customHeight="false" hidden="false" ht="12.1" outlineLevel="0" r="3583">
      <c r="A3583" s="3" t="s">
        <f>=HYPERLINK("https://mp39851918.megaplan.ua/deals/105782/card/","17885")</f>
      </c>
      <c r="B3583" s="3" t="inlineStr">
        <is>
          <t>112-8282585-7921836</t>
        </is>
      </c>
      <c r="C3583" s="3" t="inlineStr">
        <is>
          <t>TuckerRocky</t>
        </is>
      </c>
    </row>
    <row collapsed="false" customFormat="false" customHeight="false" hidden="false" ht="12.1" outlineLevel="0" r="3584">
      <c r="A3584" s="3" t="s">
        <f>=HYPERLINK("https://mp39851918.megaplan.ua/deals/105783/card/","17886")</f>
      </c>
      <c r="B3584" s="3" t="inlineStr">
        <is>
          <t>113-6775028-0861861</t>
        </is>
      </c>
      <c r="C3584" s="3" t="inlineStr">
        <is>
          <t>TuckerRocky</t>
        </is>
      </c>
    </row>
    <row collapsed="false" customFormat="false" customHeight="false" hidden="false" ht="12.1" outlineLevel="0" r="3585">
      <c r="A3585" s="3" t="s">
        <f>=HYPERLINK("https://mp39851918.megaplan.ua/deals/105784/card/","17887")</f>
      </c>
      <c r="B3585" s="3" t="inlineStr">
        <is>
          <t>113-1559510-5557805</t>
        </is>
      </c>
      <c r="C3585" s="3" t="inlineStr">
        <is>
          <t>RockyMountain</t>
        </is>
      </c>
    </row>
    <row collapsed="false" customFormat="false" customHeight="false" hidden="false" ht="12.1" outlineLevel="0" r="3586">
      <c r="A3586" s="3" t="s">
        <f>=HYPERLINK("https://mp39851918.megaplan.ua/deals/105790/card/","17888")</f>
      </c>
      <c r="B3586" s="3" t="inlineStr">
        <is>
          <t>114-0092255-0089063</t>
        </is>
      </c>
      <c r="C3586" s="3" t="inlineStr">
        <is>
          <t>TuckerRocky</t>
        </is>
      </c>
    </row>
    <row collapsed="false" customFormat="false" customHeight="false" hidden="false" ht="12.1" outlineLevel="0" r="3587">
      <c r="A3587" s="3" t="s">
        <f>=HYPERLINK("https://mp39851918.megaplan.ua/deals/105791/card/","17889")</f>
      </c>
      <c r="B3587" s="3" t="inlineStr">
        <is>
          <t>112-1954600-5173807</t>
        </is>
      </c>
      <c r="C3587" s="3" t="inlineStr">
        <is>
          <t>TuckerRocky</t>
        </is>
      </c>
    </row>
    <row collapsed="false" customFormat="false" customHeight="false" hidden="false" ht="12.1" outlineLevel="0" r="3588">
      <c r="A3588" s="3" t="s">
        <f>=HYPERLINK("https://mp39851918.megaplan.ua/deals/105797/card/","17890")</f>
      </c>
      <c r="B3588" s="3" t="inlineStr">
        <is>
          <t>113-2560444-7331405</t>
        </is>
      </c>
      <c r="C3588" s="3" t="inlineStr">
        <is>
          <t>Autodist</t>
        </is>
      </c>
    </row>
    <row collapsed="false" customFormat="false" customHeight="false" hidden="false" ht="12.1" outlineLevel="0" r="3589">
      <c r="A3589" s="3" t="s">
        <f>=HYPERLINK("https://mp39851918.megaplan.ua/deals/105809/card/","17891")</f>
      </c>
      <c r="B3589" s="3" t="inlineStr">
        <is>
          <t>114-7127605-7055450</t>
        </is>
      </c>
      <c r="C3589" s="3" t="inlineStr">
        <is>
          <t>Autodist</t>
        </is>
      </c>
    </row>
    <row collapsed="false" customFormat="false" customHeight="false" hidden="false" ht="12.1" outlineLevel="0" r="3590">
      <c r="A3590" s="3" t="s">
        <f>=HYPERLINK("https://mp39851918.megaplan.ua/deals/105823/card/","17893")</f>
      </c>
      <c r="B3590" s="3" t="inlineStr">
        <is>
          <t>112-9172909-7926661</t>
        </is>
      </c>
      <c r="C3590" s="3" t="inlineStr">
        <is>
          <t>Autodist</t>
        </is>
      </c>
    </row>
    <row collapsed="false" customFormat="false" customHeight="false" hidden="false" ht="12.1" outlineLevel="0" r="3591">
      <c r="A3591" s="3" t="s">
        <f>=HYPERLINK("https://mp39851918.megaplan.ua/deals/105905/card/","17897")</f>
      </c>
      <c r="B3591" s="3" t="inlineStr">
        <is>
          <t>114-8218645-0094668</t>
        </is>
      </c>
      <c r="C3591" s="3" t="inlineStr">
        <is>
          <t>TuckerRocky</t>
        </is>
      </c>
    </row>
    <row collapsed="false" customFormat="false" customHeight="false" hidden="false" ht="12.1" outlineLevel="0" r="3592">
      <c r="A3592" s="3" t="s">
        <f>=HYPERLINK("https://mp39851918.megaplan.ua/deals/105914/card/","17898")</f>
      </c>
      <c r="B3592" s="3" t="inlineStr">
        <is>
          <t>114-3374072-8582615</t>
        </is>
      </c>
      <c r="C3592" s="3" t="inlineStr">
        <is>
          <t>RockyMountain</t>
        </is>
      </c>
    </row>
    <row collapsed="false" customFormat="false" customHeight="false" hidden="false" ht="12.1" outlineLevel="0" r="3593">
      <c r="A3593" s="3" t="s">
        <f>=HYPERLINK("https://mp39851918.megaplan.ua/deals/105928/card/","17899")</f>
      </c>
      <c r="B3593" s="3" t="inlineStr">
        <is>
          <t>112-1234902-1701052</t>
        </is>
      </c>
      <c r="C3593" s="3" t="inlineStr">
        <is>
          <t>TuckerRocky</t>
        </is>
      </c>
    </row>
    <row collapsed="false" customFormat="false" customHeight="false" hidden="false" ht="12.1" outlineLevel="0" r="3594">
      <c r="A3594" s="3" t="s">
        <f>=HYPERLINK("https://mp39851918.megaplan.ua/deals/105956/card/","17901")</f>
      </c>
      <c r="B3594" s="3" t="inlineStr">
        <is>
          <t>114-0400346-9033012</t>
        </is>
      </c>
      <c r="C3594" s="3" t="inlineStr">
        <is>
          <t>RockyMountain</t>
        </is>
      </c>
    </row>
    <row collapsed="false" customFormat="false" customHeight="false" hidden="false" ht="12.1" outlineLevel="0" r="3595">
      <c r="A3595" s="3" t="s">
        <f>=HYPERLINK("https://mp39851918.megaplan.ua/deals/105970/card/","17902")</f>
      </c>
      <c r="B3595" s="3" t="inlineStr">
        <is>
          <t>114-5103844-5405850</t>
        </is>
      </c>
      <c r="C3595" s="3" t="inlineStr">
        <is>
          <t>PartsUnlimited</t>
        </is>
      </c>
    </row>
    <row collapsed="false" customFormat="false" customHeight="false" hidden="false" ht="12.1" outlineLevel="0" r="3596">
      <c r="A3596" s="3" t="s">
        <f>=HYPERLINK("https://mp39851918.megaplan.ua/deals/105998/card/","17907")</f>
      </c>
      <c r="B3596" s="3" t="inlineStr">
        <is>
          <t>113-0158720-9416202</t>
        </is>
      </c>
      <c r="C3596" s="3" t="inlineStr">
        <is>
          <t>RockyMountain</t>
        </is>
      </c>
    </row>
    <row collapsed="false" customFormat="false" customHeight="false" hidden="false" ht="12.1" outlineLevel="0" r="3597">
      <c r="A3597" s="3" t="s">
        <f>=HYPERLINK("https://mp39851918.megaplan.ua/deals/106002/card/","17909")</f>
      </c>
      <c r="B3597" s="3" t="inlineStr">
        <is>
          <t>112-4501738-7871468</t>
        </is>
      </c>
      <c r="C3597" s="3" t="inlineStr">
        <is>
          <t>Autodist</t>
        </is>
      </c>
    </row>
    <row collapsed="false" customFormat="false" customHeight="false" hidden="false" ht="12.1" outlineLevel="0" r="3598">
      <c r="A3598" s="3" t="s">
        <f>=HYPERLINK("https://mp39851918.megaplan.ua/deals/106006/card/","17911")</f>
      </c>
      <c r="B3598" s="3" t="inlineStr">
        <is>
          <t>114-4571869-2697023</t>
        </is>
      </c>
      <c r="C3598" s="3" t="inlineStr">
        <is>
          <t>TuckerRocky</t>
        </is>
      </c>
    </row>
    <row collapsed="false" customFormat="false" customHeight="false" hidden="false" ht="12.1" outlineLevel="0" r="3599">
      <c r="A3599" s="3" t="s">
        <f>=HYPERLINK("https://mp39851918.megaplan.ua/deals/106010/card/","17912")</f>
      </c>
      <c r="B3599" s="3" t="inlineStr">
        <is>
          <t>113-8684579-4021816</t>
        </is>
      </c>
      <c r="C3599" s="3" t="inlineStr">
        <is>
          <t>Autodist</t>
        </is>
      </c>
    </row>
    <row collapsed="false" customFormat="false" customHeight="false" hidden="false" ht="12.1" outlineLevel="0" r="3600">
      <c r="A3600" s="3" t="s">
        <f>=HYPERLINK("https://mp39851918.megaplan.ua/deals/106022/card/","17913")</f>
      </c>
      <c r="B3600" s="3" t="inlineStr">
        <is>
          <t>113-5572044-6888252</t>
        </is>
      </c>
      <c r="C3600" s="3" t="inlineStr">
        <is>
          <t>Autodist</t>
        </is>
      </c>
    </row>
    <row collapsed="false" customFormat="false" customHeight="false" hidden="false" ht="12.1" outlineLevel="0" r="3601">
      <c r="A3601" s="3" t="s">
        <f>=HYPERLINK("https://mp39851918.megaplan.ua/deals/106023/card/","17914")</f>
      </c>
      <c r="B3601" s="3" t="inlineStr">
        <is>
          <t>112-7011847-0127445</t>
        </is>
      </c>
      <c r="C3601" s="3" t="inlineStr">
        <is>
          <t>Autodist</t>
        </is>
      </c>
    </row>
    <row collapsed="false" customFormat="false" customHeight="false" hidden="false" ht="12.1" outlineLevel="0" r="3602">
      <c r="A3602" s="3" t="s">
        <f>=HYPERLINK("https://mp39851918.megaplan.ua/deals/106044/card/","17916")</f>
      </c>
      <c r="B3602" s="3" t="inlineStr">
        <is>
          <t>113-1509914-3369054</t>
        </is>
      </c>
      <c r="C3602" s="3" t="inlineStr">
        <is>
          <t>Autodist</t>
        </is>
      </c>
    </row>
    <row collapsed="false" customFormat="false" customHeight="false" hidden="false" ht="12.1" outlineLevel="0" r="3603">
      <c r="A3603" s="3" t="s">
        <f>=HYPERLINK("https://mp39851918.megaplan.ua/deals/106047/card/","17917")</f>
      </c>
      <c r="B3603" s="3" t="inlineStr">
        <is>
          <t>111-8465641-5576207</t>
        </is>
      </c>
      <c r="C3603" s="3" t="inlineStr">
        <is>
          <t>Autodist</t>
        </is>
      </c>
    </row>
    <row collapsed="false" customFormat="false" customHeight="false" hidden="false" ht="12.1" outlineLevel="0" r="3604">
      <c r="A3604" s="3" t="s">
        <f>=HYPERLINK("https://mp39851918.megaplan.ua/deals/106049/card/","17918")</f>
      </c>
      <c r="B3604" s="3" t="inlineStr">
        <is>
          <t>113-0223655-5445807</t>
        </is>
      </c>
      <c r="C3604" s="3" t="inlineStr">
        <is>
          <t>RockyMountain</t>
        </is>
      </c>
    </row>
    <row collapsed="false" customFormat="false" customHeight="false" hidden="false" ht="12.1" outlineLevel="0" r="3605">
      <c r="A3605" s="3" t="s">
        <f>=HYPERLINK("https://mp39851918.megaplan.ua/deals/106052/card/","17919")</f>
      </c>
      <c r="B3605" s="3" t="inlineStr">
        <is>
          <t>113-1762566-5835424</t>
        </is>
      </c>
      <c r="C3605" s="3" t="inlineStr">
        <is>
          <t>Autodist</t>
        </is>
      </c>
    </row>
    <row collapsed="false" customFormat="false" customHeight="false" hidden="false" ht="12.1" outlineLevel="0" r="3606">
      <c r="A3606" s="3" t="s">
        <f>=HYPERLINK("https://mp39851918.megaplan.ua/deals/106064/card/","17920")</f>
      </c>
      <c r="B3606" s="3" t="inlineStr">
        <is>
          <t>111-4018941-5593063</t>
        </is>
      </c>
      <c r="C3606" s="3" t="inlineStr">
        <is>
          <t>RockyMountain</t>
        </is>
      </c>
    </row>
    <row collapsed="false" customFormat="false" customHeight="false" hidden="false" ht="12.1" outlineLevel="0" r="3607">
      <c r="A3607" s="3" t="s">
        <f>=HYPERLINK("https://mp39851918.megaplan.ua/deals/106092/card/","17925")</f>
      </c>
      <c r="B3607" s="3" t="inlineStr">
        <is>
          <t>112-4226593-9824237</t>
        </is>
      </c>
      <c r="C3607" s="3" t="inlineStr">
        <is>
          <t>RockyMountain</t>
        </is>
      </c>
    </row>
    <row collapsed="false" customFormat="false" customHeight="false" hidden="false" ht="12.1" outlineLevel="0" r="3608">
      <c r="A3608" s="3" t="s">
        <f>=HYPERLINK("https://mp39851918.megaplan.ua/deals/106103/card/","17928")</f>
      </c>
      <c r="B3608" s="3" t="inlineStr">
        <is>
          <t>112-7544412-1220243</t>
        </is>
      </c>
      <c r="C3608" s="3" t="inlineStr">
        <is>
          <t>Autodist</t>
        </is>
      </c>
    </row>
    <row collapsed="false" customFormat="false" customHeight="false" hidden="false" ht="12.1" outlineLevel="0" r="3609">
      <c r="A3609" s="3" t="s">
        <f>=HYPERLINK("https://mp39851918.megaplan.ua/deals/106107/card/","17929")</f>
      </c>
      <c r="B3609" s="3" t="inlineStr">
        <is>
          <t>111-5592169-7075405</t>
        </is>
      </c>
      <c r="C3609" s="3" t="inlineStr">
        <is>
          <t>TuckerRocky</t>
        </is>
      </c>
    </row>
    <row collapsed="false" customFormat="false" customHeight="false" hidden="false" ht="12.1" outlineLevel="0" r="3610">
      <c r="A3610" s="3" t="s">
        <f>=HYPERLINK("https://mp39851918.megaplan.ua/deals/106108/card/","17930")</f>
      </c>
      <c r="B3610" s="3" t="inlineStr">
        <is>
          <t>112-3339021-2305865</t>
        </is>
      </c>
      <c r="C3610" s="3" t="inlineStr">
        <is>
          <t>TuckerRocky</t>
        </is>
      </c>
    </row>
    <row collapsed="false" customFormat="false" customHeight="false" hidden="false" ht="12.1" outlineLevel="0" r="3611">
      <c r="A3611" s="3" t="s">
        <f>=HYPERLINK("https://mp39851918.megaplan.ua/deals/106109/card/","17931")</f>
      </c>
      <c r="B3611" s="3" t="inlineStr">
        <is>
          <t>112-7544412-1220243</t>
        </is>
      </c>
      <c r="C3611" s="3" t="inlineStr">
        <is>
          <t>Autodist</t>
        </is>
      </c>
    </row>
    <row collapsed="false" customFormat="false" customHeight="false" hidden="false" ht="12.1" outlineLevel="0" r="3612">
      <c r="A3612" s="3" t="s">
        <f>=HYPERLINK("https://mp39851918.megaplan.ua/deals/106146/card/","17934")</f>
      </c>
      <c r="B3612" s="3" t="inlineStr">
        <is>
          <t>113-7649155-0173023</t>
        </is>
      </c>
      <c r="C3612" s="3" t="inlineStr">
        <is>
          <t>TuckerRocky</t>
        </is>
      </c>
    </row>
    <row collapsed="false" customFormat="false" customHeight="false" hidden="false" ht="12.1" outlineLevel="0" r="3613">
      <c r="A3613" s="3" t="s">
        <f>=HYPERLINK("https://mp39851918.megaplan.ua/deals/106156/card/","17935")</f>
      </c>
      <c r="B3613" s="3" t="inlineStr">
        <is>
          <t>111-9369604-6733829</t>
        </is>
      </c>
      <c r="C3613" s="3" t="inlineStr">
        <is>
          <t>TuckerRocky</t>
        </is>
      </c>
    </row>
    <row collapsed="false" customFormat="false" customHeight="false" hidden="false" ht="12.1" outlineLevel="0" r="3614">
      <c r="A3614" s="3" t="s">
        <f>=HYPERLINK("https://mp39851918.megaplan.ua/deals/106179/card/","17936")</f>
      </c>
      <c r="B3614" s="3" t="inlineStr">
        <is>
          <t>111-1946776-6468233</t>
        </is>
      </c>
      <c r="C3614" s="3" t="inlineStr">
        <is>
          <t>RockyMountain</t>
        </is>
      </c>
    </row>
    <row collapsed="false" customFormat="false" customHeight="false" hidden="false" ht="12.1" outlineLevel="0" r="3615">
      <c r="A3615" s="3" t="s">
        <f>=HYPERLINK("https://mp39851918.megaplan.ua/deals/106180/card/","17937")</f>
      </c>
      <c r="B3615" s="3" t="inlineStr">
        <is>
          <t>111-4127338-9671453</t>
        </is>
      </c>
      <c r="C3615" s="3" t="inlineStr">
        <is>
          <t>RockyMountain</t>
        </is>
      </c>
    </row>
    <row collapsed="false" customFormat="false" customHeight="false" hidden="false" ht="12.1" outlineLevel="0" r="3616">
      <c r="A3616" s="3" t="s">
        <f>=HYPERLINK("https://mp39851918.megaplan.ua/deals/106231/card/","17941")</f>
      </c>
      <c r="B3616" s="3" t="inlineStr">
        <is>
          <t>111-0699733-8042608</t>
        </is>
      </c>
      <c r="C3616" s="3" t="inlineStr">
        <is>
          <t>TuckerRocky</t>
        </is>
      </c>
    </row>
    <row collapsed="false" customFormat="false" customHeight="false" hidden="false" ht="12.1" outlineLevel="0" r="3617">
      <c r="A3617" s="3" t="s">
        <f>=HYPERLINK("https://mp39851918.megaplan.ua/deals/106236/card/","17942")</f>
      </c>
      <c r="B3617" s="3" t="inlineStr">
        <is>
          <t>114-4468689-1222652</t>
        </is>
      </c>
      <c r="C3617" s="3" t="inlineStr">
        <is>
          <t>Autodist</t>
        </is>
      </c>
    </row>
    <row collapsed="false" customFormat="false" customHeight="false" hidden="false" ht="12.1" outlineLevel="0" r="3618">
      <c r="A3618" s="3" t="s">
        <f>=HYPERLINK("https://mp39851918.megaplan.ua/deals/106244/card/","17943")</f>
      </c>
      <c r="B3618" s="3" t="inlineStr">
        <is>
          <t>113-9728758-1249035</t>
        </is>
      </c>
      <c r="C3618" s="3" t="inlineStr">
        <is>
          <t>TuckerRocky</t>
        </is>
      </c>
    </row>
    <row collapsed="false" customFormat="false" customHeight="false" hidden="false" ht="12.1" outlineLevel="0" r="3619">
      <c r="A3619" s="3" t="s">
        <f>=HYPERLINK("https://mp39851918.megaplan.ua/deals/106254/card/","17945")</f>
      </c>
      <c r="B3619" s="3" t="inlineStr">
        <is>
          <t>114-7503925-1325040</t>
        </is>
      </c>
      <c r="C3619" s="3" t="inlineStr">
        <is>
          <t>RockyMountain</t>
        </is>
      </c>
    </row>
    <row collapsed="false" customFormat="false" customHeight="false" hidden="false" ht="12.1" outlineLevel="0" r="3620">
      <c r="A3620" s="3" t="s">
        <f>=HYPERLINK("https://mp39851918.megaplan.ua/deals/106256/card/","17946")</f>
      </c>
      <c r="B3620" s="3" t="inlineStr">
        <is>
          <t>111-7039456-8060248</t>
        </is>
      </c>
      <c r="C3620" s="3" t="inlineStr">
        <is>
          <t>TuckerRocky</t>
        </is>
      </c>
    </row>
    <row collapsed="false" customFormat="false" customHeight="false" hidden="false" ht="12.1" outlineLevel="0" r="3621">
      <c r="A3621" s="3" t="s">
        <f>=HYPERLINK("https://mp39851918.megaplan.ua/deals/106261/card/","17947")</f>
      </c>
      <c r="B3621" s="3" t="inlineStr">
        <is>
          <t>112-3167435-2407403</t>
        </is>
      </c>
      <c r="C3621" s="3" t="inlineStr">
        <is>
          <t>TuckerRocky</t>
        </is>
      </c>
    </row>
    <row collapsed="false" customFormat="false" customHeight="false" hidden="false" ht="12.1" outlineLevel="0" r="3622">
      <c r="A3622" s="3" t="s">
        <f>=HYPERLINK("https://mp39851918.megaplan.ua/deals/106273/card/","17948")</f>
      </c>
      <c r="B3622" s="3" t="inlineStr">
        <is>
          <t>111-6201069-1311466</t>
        </is>
      </c>
      <c r="C3622" s="3" t="inlineStr">
        <is>
          <t>Autodist</t>
        </is>
      </c>
    </row>
    <row collapsed="false" customFormat="false" customHeight="false" hidden="false" ht="12.1" outlineLevel="0" r="3623">
      <c r="A3623" s="3" t="s">
        <f>=HYPERLINK("https://mp39851918.megaplan.ua/deals/106278/card/","17949")</f>
      </c>
      <c r="B3623" s="3" t="inlineStr">
        <is>
          <t>113-5559382-4938623</t>
        </is>
      </c>
      <c r="C3623" s="3" t="inlineStr">
        <is>
          <t>RockyMountain</t>
        </is>
      </c>
    </row>
    <row collapsed="false" customFormat="false" customHeight="false" hidden="false" ht="12.1" outlineLevel="0" r="3624">
      <c r="A3624" s="3" t="s">
        <f>=HYPERLINK("https://mp39851918.megaplan.ua/deals/106279/card/","17950")</f>
      </c>
      <c r="B3624" s="3" t="inlineStr">
        <is>
          <t>114-6614806-9677008</t>
        </is>
      </c>
      <c r="C3624" s="3" t="inlineStr">
        <is>
          <t>TuckerRocky</t>
        </is>
      </c>
    </row>
    <row collapsed="false" customFormat="false" customHeight="false" hidden="false" ht="12.1" outlineLevel="0" r="3625">
      <c r="A3625" s="3" t="s">
        <f>=HYPERLINK("https://mp39851918.megaplan.ua/deals/106281/card/","17952")</f>
      </c>
      <c r="B3625" s="3" t="inlineStr">
        <is>
          <t>111-3182869-8581801</t>
        </is>
      </c>
      <c r="C3625" s="3" t="inlineStr">
        <is>
          <t>Autodist</t>
        </is>
      </c>
    </row>
    <row collapsed="false" customFormat="false" customHeight="false" hidden="false" ht="12.1" outlineLevel="0" r="3626">
      <c r="A3626" s="3" t="s">
        <f>=HYPERLINK("https://mp39851918.megaplan.ua/deals/106282/card/","17953")</f>
      </c>
      <c r="B3626" s="3" t="inlineStr">
        <is>
          <t>112-0505058-8535413</t>
        </is>
      </c>
      <c r="C3626" s="3" t="inlineStr">
        <is>
          <t>PartsUnlimited</t>
        </is>
      </c>
    </row>
    <row collapsed="false" customFormat="false" customHeight="false" hidden="false" ht="12.1" outlineLevel="0" r="3627">
      <c r="A3627" s="3" t="s">
        <f>=HYPERLINK("https://mp39851918.megaplan.ua/deals/106283/card/","17954")</f>
      </c>
      <c r="B3627" s="3" t="inlineStr">
        <is>
          <t>111-9245821-1205007</t>
        </is>
      </c>
      <c r="C3627" s="3" t="inlineStr">
        <is>
          <t>RockyMountain</t>
        </is>
      </c>
    </row>
    <row collapsed="false" customFormat="false" customHeight="false" hidden="false" ht="12.1" outlineLevel="0" r="3628">
      <c r="A3628" s="3" t="s">
        <f>=HYPERLINK("https://mp39851918.megaplan.ua/deals/106301/card/","17956")</f>
      </c>
      <c r="B3628" s="3" t="inlineStr">
        <is>
          <t>114-2590644-2495460</t>
        </is>
      </c>
      <c r="C3628" s="3" t="inlineStr">
        <is>
          <t>Autodist</t>
        </is>
      </c>
    </row>
    <row collapsed="false" customFormat="false" customHeight="false" hidden="false" ht="12.1" outlineLevel="0" r="3629">
      <c r="A3629" s="3" t="s">
        <f>=HYPERLINK("https://mp39851918.megaplan.ua/deals/106302/card/","17957")</f>
      </c>
      <c r="B3629" s="3" t="inlineStr">
        <is>
          <t>114-8153065-4674649</t>
        </is>
      </c>
      <c r="C3629" s="3" t="inlineStr">
        <is>
          <t>RockyMountain</t>
        </is>
      </c>
    </row>
    <row collapsed="false" customFormat="false" customHeight="false" hidden="false" ht="12.1" outlineLevel="0" r="3630">
      <c r="A3630" s="3" t="s">
        <f>=HYPERLINK("https://mp39851918.megaplan.ua/deals/106303/card/","17958")</f>
      </c>
      <c r="B3630" s="3" t="inlineStr">
        <is>
          <t>111-4018941-5593063</t>
        </is>
      </c>
      <c r="C3630" s="3" t="inlineStr">
        <is>
          <t>RockyMountain</t>
        </is>
      </c>
    </row>
    <row collapsed="false" customFormat="false" customHeight="false" hidden="false" ht="12.1" outlineLevel="0" r="3631">
      <c r="A3631" s="3" t="s">
        <f>=HYPERLINK("https://mp39851918.megaplan.ua/deals/106305/card/","17960")</f>
      </c>
      <c r="B3631" s="3" t="inlineStr">
        <is>
          <t>113-8262871-8362658</t>
        </is>
      </c>
      <c r="C3631" s="3" t="inlineStr">
        <is>
          <t>RockyMountain</t>
        </is>
      </c>
    </row>
    <row collapsed="false" customFormat="false" customHeight="false" hidden="false" ht="12.1" outlineLevel="0" r="3632">
      <c r="A3632" s="3" t="s">
        <f>=HYPERLINK("https://mp39851918.megaplan.ua/deals/106306/card/","17961")</f>
      </c>
      <c r="B3632" s="3" t="inlineStr">
        <is>
          <t>113-3678143-2297066</t>
        </is>
      </c>
      <c r="C3632" s="3" t="inlineStr">
        <is>
          <t>RockyMountain</t>
        </is>
      </c>
    </row>
    <row collapsed="false" customFormat="false" customHeight="false" hidden="false" ht="12.1" outlineLevel="0" r="3633">
      <c r="A3633" s="3" t="s">
        <f>=HYPERLINK("https://mp39851918.megaplan.ua/deals/106322/card/","17964")</f>
      </c>
      <c r="B3633" s="3" t="inlineStr">
        <is>
          <t>111-5985001-4949054</t>
        </is>
      </c>
      <c r="C3633" s="3" t="inlineStr">
        <is>
          <t>PartsUnlimited</t>
        </is>
      </c>
    </row>
    <row collapsed="false" customFormat="false" customHeight="false" hidden="false" ht="12.1" outlineLevel="0" r="3634">
      <c r="A3634" s="3" t="s">
        <f>=HYPERLINK("https://mp39851918.megaplan.ua/deals/106324/card/","17965")</f>
      </c>
      <c r="B3634" s="3" t="inlineStr">
        <is>
          <t>111-7237034-0537801</t>
        </is>
      </c>
      <c r="C3634" s="3" t="inlineStr">
        <is>
          <t>RockyMountain</t>
        </is>
      </c>
    </row>
    <row collapsed="false" customFormat="false" customHeight="false" hidden="false" ht="12.1" outlineLevel="0" r="3635">
      <c r="A3635" s="3" t="s">
        <f>=HYPERLINK("https://mp39851918.megaplan.ua/deals/106333/card/","17966")</f>
      </c>
      <c r="B3635" s="3" t="inlineStr">
        <is>
          <t>113-5202108-4778663</t>
        </is>
      </c>
      <c r="C3635" s="3" t="inlineStr">
        <is>
          <t>RockyMountain</t>
        </is>
      </c>
    </row>
    <row collapsed="false" customFormat="false" customHeight="false" hidden="false" ht="12.1" outlineLevel="0" r="3636">
      <c r="A3636" s="3" t="s">
        <f>=HYPERLINK("https://mp39851918.megaplan.ua/deals/106336/card/","17967")</f>
      </c>
      <c r="B3636" s="3" t="inlineStr">
        <is>
          <t>113-9426703-9861816</t>
        </is>
      </c>
      <c r="C3636" s="3" t="inlineStr">
        <is>
          <t>RockyMountain</t>
        </is>
      </c>
    </row>
    <row collapsed="false" customFormat="false" customHeight="false" hidden="false" ht="12.1" outlineLevel="0" r="3637">
      <c r="A3637" s="3" t="s">
        <f>=HYPERLINK("https://mp39851918.megaplan.ua/deals/106343/card/","17968")</f>
      </c>
      <c r="B3637" s="3" t="inlineStr">
        <is>
          <t>113-5064859-7427402</t>
        </is>
      </c>
      <c r="C3637" s="3" t="inlineStr">
        <is>
          <t>TuckerRocky</t>
        </is>
      </c>
    </row>
    <row collapsed="false" customFormat="false" customHeight="false" hidden="false" ht="12.1" outlineLevel="0" r="3638">
      <c r="A3638" s="3" t="s">
        <f>=HYPERLINK("https://mp39851918.megaplan.ua/deals/106358/card/","17969")</f>
      </c>
      <c r="B3638" s="3" t="inlineStr">
        <is>
          <t>114-0034189-8112202</t>
        </is>
      </c>
      <c r="C3638" s="3" t="inlineStr">
        <is>
          <t>RockyMountain</t>
        </is>
      </c>
    </row>
    <row collapsed="false" customFormat="false" customHeight="false" hidden="false" ht="12.1" outlineLevel="0" r="3639">
      <c r="A3639" s="3" t="s">
        <f>=HYPERLINK("https://mp39851918.megaplan.ua/deals/106362/card/","17970")</f>
      </c>
      <c r="B3639" s="3" t="inlineStr">
        <is>
          <t>111-5821553-3201050</t>
        </is>
      </c>
      <c r="C3639" s="3" t="inlineStr">
        <is>
          <t>Autodist</t>
        </is>
      </c>
    </row>
    <row collapsed="false" customFormat="false" customHeight="false" hidden="false" ht="12.1" outlineLevel="0" r="3640">
      <c r="A3640" s="3" t="s">
        <f>=HYPERLINK("https://mp39851918.megaplan.ua/deals/106383/card/","17972")</f>
      </c>
      <c r="B3640" s="3" t="inlineStr">
        <is>
          <t>112-7133547-3454628</t>
        </is>
      </c>
      <c r="C3640" s="3" t="inlineStr">
        <is>
          <t>Autodist</t>
        </is>
      </c>
    </row>
    <row collapsed="false" customFormat="false" customHeight="false" hidden="false" ht="12.1" outlineLevel="0" r="3641">
      <c r="A3641" s="3" t="s">
        <f>=HYPERLINK("https://mp39851918.megaplan.ua/deals/106384/card/","17973")</f>
      </c>
      <c r="B3641" s="3" t="inlineStr">
        <is>
          <t>114-8053183-7395406</t>
        </is>
      </c>
      <c r="C3641" s="3" t="inlineStr">
        <is>
          <t>TuckerRocky</t>
        </is>
      </c>
    </row>
    <row collapsed="false" customFormat="false" customHeight="false" hidden="false" ht="12.1" outlineLevel="0" r="3642">
      <c r="A3642" s="3" t="s">
        <f>=HYPERLINK("https://mp39851918.megaplan.ua/deals/106388/card/","17974")</f>
      </c>
      <c r="B3642" s="3" t="inlineStr">
        <is>
          <t>114-6520180-2253043</t>
        </is>
      </c>
      <c r="C3642" s="3" t="inlineStr">
        <is>
          <t>TuckerRocky</t>
        </is>
      </c>
    </row>
    <row collapsed="false" customFormat="false" customHeight="false" hidden="false" ht="12.1" outlineLevel="0" r="3643">
      <c r="A3643" s="3" t="s">
        <f>=HYPERLINK("https://mp39851918.megaplan.ua/deals/106414/card/","17975")</f>
      </c>
      <c r="B3643" s="3" t="inlineStr">
        <is>
          <t>114-1296262-5233035</t>
        </is>
      </c>
      <c r="C3643" s="3" t="inlineStr">
        <is>
          <t>RockyMountain</t>
        </is>
      </c>
    </row>
    <row collapsed="false" customFormat="false" customHeight="false" hidden="false" ht="12.1" outlineLevel="0" r="3644">
      <c r="A3644" s="3" t="s">
        <f>=HYPERLINK("https://mp39851918.megaplan.ua/deals/106434/card/","17977")</f>
      </c>
      <c r="B3644" s="3" t="inlineStr">
        <is>
          <t>112-3750899-6266645</t>
        </is>
      </c>
      <c r="C3644" s="3" t="inlineStr">
        <is>
          <t>Autodist</t>
        </is>
      </c>
    </row>
    <row collapsed="false" customFormat="false" customHeight="false" hidden="false" ht="12.1" outlineLevel="0" r="3645">
      <c r="A3645" s="3" t="s">
        <f>=HYPERLINK("https://mp39851918.megaplan.ua/deals/106442/card/","17978")</f>
      </c>
      <c r="B3645" s="3" t="inlineStr">
        <is>
          <t>111-4540556-6463422</t>
        </is>
      </c>
      <c r="C3645" s="3" t="inlineStr">
        <is>
          <t>TuckerRocky</t>
        </is>
      </c>
    </row>
    <row collapsed="false" customFormat="false" customHeight="false" hidden="false" ht="12.1" outlineLevel="0" r="3646">
      <c r="A3646" s="3" t="s">
        <f>=HYPERLINK("https://mp39851918.megaplan.ua/deals/106443/card/","17979")</f>
      </c>
      <c r="B3646" s="3" t="inlineStr">
        <is>
          <t>112-6452553-5372261</t>
        </is>
      </c>
      <c r="C3646" s="3" t="inlineStr">
        <is>
          <t>TuckerRocky</t>
        </is>
      </c>
    </row>
    <row collapsed="false" customFormat="false" customHeight="false" hidden="false" ht="12.1" outlineLevel="0" r="3647">
      <c r="A3647" s="3" t="s">
        <f>=HYPERLINK("https://mp39851918.megaplan.ua/deals/106450/card/","17980")</f>
      </c>
      <c r="B3647" s="3" t="inlineStr">
        <is>
          <t>111-0609576-6914645</t>
        </is>
      </c>
      <c r="C3647" s="3" t="inlineStr">
        <is>
          <t>TuckerRocky</t>
        </is>
      </c>
    </row>
    <row collapsed="false" customFormat="false" customHeight="false" hidden="false" ht="12.1" outlineLevel="0" r="3648">
      <c r="A3648" s="3" t="s">
        <f>=HYPERLINK("https://mp39851918.megaplan.ua/deals/106451/card/","17981")</f>
      </c>
      <c r="B3648" s="3" t="inlineStr">
        <is>
          <t>114-8906390-4960200</t>
        </is>
      </c>
      <c r="C3648" s="3" t="inlineStr">
        <is>
          <t>TuckerRocky</t>
        </is>
      </c>
    </row>
    <row collapsed="false" customFormat="false" customHeight="false" hidden="false" ht="12.1" outlineLevel="0" r="3649">
      <c r="A3649" s="3" t="s">
        <f>=HYPERLINK("https://mp39851918.megaplan.ua/deals/106452/card/","17982")</f>
      </c>
      <c r="B3649" s="3" t="inlineStr">
        <is>
          <t>112-8741744-3209841</t>
        </is>
      </c>
      <c r="C3649" s="3" t="inlineStr">
        <is>
          <t>PartsUnlimited</t>
        </is>
      </c>
    </row>
    <row collapsed="false" customFormat="false" customHeight="false" hidden="false" ht="12.1" outlineLevel="0" r="3650">
      <c r="A3650" s="3" t="s">
        <f>=HYPERLINK("https://mp39851918.megaplan.ua/deals/106473/card/","17983")</f>
      </c>
      <c r="B3650" s="3" t="inlineStr">
        <is>
          <t>114-4318356-2329841</t>
        </is>
      </c>
      <c r="C3650" s="3" t="inlineStr">
        <is>
          <t>RockyMountain</t>
        </is>
      </c>
    </row>
    <row collapsed="false" customFormat="false" customHeight="false" hidden="false" ht="12.1" outlineLevel="0" r="3651">
      <c r="A3651" s="3" t="s">
        <f>=HYPERLINK("https://mp39851918.megaplan.ua/deals/106480/card/","17985")</f>
      </c>
      <c r="B3651" s="3" t="inlineStr">
        <is>
          <t>114-8004276-4032207</t>
        </is>
      </c>
      <c r="C3651" s="3" t="inlineStr">
        <is>
          <t>RockyMountain</t>
        </is>
      </c>
    </row>
    <row collapsed="false" customFormat="false" customHeight="false" hidden="false" ht="12.1" outlineLevel="0" r="3652">
      <c r="A3652" s="3" t="s">
        <f>=HYPERLINK("https://mp39851918.megaplan.ua/deals/106484/card/","17986")</f>
      </c>
      <c r="B3652" s="3" t="inlineStr">
        <is>
          <t>114-8781622-8848246</t>
        </is>
      </c>
      <c r="C3652" s="3" t="inlineStr">
        <is>
          <t>RockyMountain</t>
        </is>
      </c>
    </row>
    <row collapsed="false" customFormat="false" customHeight="false" hidden="false" ht="12.1" outlineLevel="0" r="3653">
      <c r="A3653" s="3" t="s">
        <f>=HYPERLINK("https://mp39851918.megaplan.ua/deals/106485/card/","17987")</f>
      </c>
      <c r="B3653" s="3" t="inlineStr">
        <is>
          <t>111-6343018-2416258</t>
        </is>
      </c>
      <c r="C3653" s="3" t="inlineStr">
        <is>
          <t>Autodist</t>
        </is>
      </c>
    </row>
    <row collapsed="false" customFormat="false" customHeight="false" hidden="false" ht="12.1" outlineLevel="0" r="3654">
      <c r="A3654" s="3" t="s">
        <f>=HYPERLINK("https://mp39851918.megaplan.ua/deals/106486/card/","17988")</f>
      </c>
      <c r="B3654" s="3" t="inlineStr">
        <is>
          <t>114-8361995-4313812</t>
        </is>
      </c>
      <c r="C3654" s="3" t="inlineStr">
        <is>
          <t>PartsUnlimited</t>
        </is>
      </c>
    </row>
    <row collapsed="false" customFormat="false" customHeight="false" hidden="false" ht="12.1" outlineLevel="0" r="3655">
      <c r="A3655" s="3" t="s">
        <f>=HYPERLINK("https://mp39851918.megaplan.ua/deals/106493/card/","17990")</f>
      </c>
      <c r="B3655" s="3" t="inlineStr">
        <is>
          <t>114-4402201-5504214</t>
        </is>
      </c>
      <c r="C3655" s="3" t="inlineStr">
        <is>
          <t>TuckerRocky</t>
        </is>
      </c>
    </row>
    <row collapsed="false" customFormat="false" customHeight="false" hidden="false" ht="12.1" outlineLevel="0" r="3656">
      <c r="A3656" s="3" t="s">
        <f>=HYPERLINK("https://mp39851918.megaplan.ua/deals/106494/card/","17991")</f>
      </c>
      <c r="B3656" s="3" t="inlineStr">
        <is>
          <t>113-8078119-1370636</t>
        </is>
      </c>
      <c r="C3656" s="3" t="inlineStr">
        <is>
          <t>Autodist</t>
        </is>
      </c>
    </row>
    <row collapsed="false" customFormat="false" customHeight="false" hidden="false" ht="12.1" outlineLevel="0" r="3657">
      <c r="A3657" s="3" t="s">
        <f>=HYPERLINK("https://mp39851918.megaplan.ua/deals/106536/card/","17992")</f>
      </c>
      <c r="B3657" s="3" t="inlineStr">
        <is>
          <t>113-3509711-9157028</t>
        </is>
      </c>
      <c r="C3657" s="3" t="inlineStr">
        <is>
          <t>Autodist</t>
        </is>
      </c>
    </row>
    <row collapsed="false" customFormat="false" customHeight="false" hidden="false" ht="12.1" outlineLevel="0" r="3658">
      <c r="A3658" s="3" t="s">
        <f>=HYPERLINK("https://mp39851918.megaplan.ua/deals/106537/card/","17993")</f>
      </c>
      <c r="B3658" s="3" t="inlineStr">
        <is>
          <t>113-5893321-8120210</t>
        </is>
      </c>
      <c r="C3658" s="3" t="inlineStr">
        <is>
          <t>Autodist</t>
        </is>
      </c>
    </row>
    <row collapsed="false" customFormat="false" customHeight="false" hidden="false" ht="12.1" outlineLevel="0" r="3659">
      <c r="A3659" s="3" t="s">
        <f>=HYPERLINK("https://mp39851918.megaplan.ua/deals/106540/card/","17994")</f>
      </c>
      <c r="B3659" s="3" t="inlineStr">
        <is>
          <t>113-9533040-2586600</t>
        </is>
      </c>
      <c r="C3659" s="3" t="inlineStr">
        <is>
          <t>PartsUnlimited</t>
        </is>
      </c>
    </row>
    <row collapsed="false" customFormat="false" customHeight="false" hidden="false" ht="12.1" outlineLevel="0" r="3660">
      <c r="A3660" s="3" t="s">
        <f>=HYPERLINK("https://mp39851918.megaplan.ua/deals/106541/card/","17995")</f>
      </c>
      <c r="B3660" s="3" t="inlineStr">
        <is>
          <t>113-8365345-6110663</t>
        </is>
      </c>
      <c r="C3660" s="3" t="inlineStr">
        <is>
          <t>TuckerRocky</t>
        </is>
      </c>
    </row>
    <row collapsed="false" customFormat="false" customHeight="false" hidden="false" ht="12.1" outlineLevel="0" r="3661">
      <c r="A3661" s="3" t="s">
        <f>=HYPERLINK("https://mp39851918.megaplan.ua/deals/106547/card/","17997")</f>
      </c>
      <c r="B3661" s="3" t="inlineStr">
        <is>
          <t>112-2513995-6469851</t>
        </is>
      </c>
      <c r="C3661" s="3" t="inlineStr">
        <is>
          <t>TuckerRocky</t>
        </is>
      </c>
    </row>
    <row collapsed="false" customFormat="false" customHeight="false" hidden="false" ht="12.1" outlineLevel="0" r="3662">
      <c r="A3662" s="3" t="s">
        <f>=HYPERLINK("https://mp39851918.megaplan.ua/deals/106549/card/","17998")</f>
      </c>
      <c r="B3662" s="3" t="inlineStr">
        <is>
          <t>114-8691684-6001025</t>
        </is>
      </c>
      <c r="C3662" s="3" t="inlineStr">
        <is>
          <t>TuckerRocky</t>
        </is>
      </c>
    </row>
    <row collapsed="false" customFormat="false" customHeight="false" hidden="false" ht="12.1" outlineLevel="0" r="3663">
      <c r="A3663" s="3" t="s">
        <f>=HYPERLINK("https://mp39851918.megaplan.ua/deals/106556/card/","18000")</f>
      </c>
      <c r="B3663" s="3" t="inlineStr">
        <is>
          <t>114-1035906-2451447</t>
        </is>
      </c>
      <c r="C3663" s="3" t="inlineStr">
        <is>
          <t>RockyMountain</t>
        </is>
      </c>
    </row>
    <row collapsed="false" customFormat="false" customHeight="false" hidden="false" ht="12.1" outlineLevel="0" r="3664">
      <c r="A3664" s="3" t="s">
        <f>=HYPERLINK("https://mp39851918.megaplan.ua/deals/106557/card/","18001")</f>
      </c>
      <c r="B3664" s="3" t="inlineStr">
        <is>
          <t>114-7334003-3943435</t>
        </is>
      </c>
      <c r="C3664" s="3" t="inlineStr">
        <is>
          <t>Autodist</t>
        </is>
      </c>
    </row>
    <row collapsed="false" customFormat="false" customHeight="false" hidden="false" ht="12.1" outlineLevel="0" r="3665">
      <c r="A3665" s="3" t="s">
        <f>=HYPERLINK("https://mp39851918.megaplan.ua/deals/106560/card/","18002")</f>
      </c>
      <c r="B3665" s="3" t="inlineStr">
        <is>
          <t>113-8353910-5930631</t>
        </is>
      </c>
      <c r="C3665" s="3" t="inlineStr">
        <is>
          <t>Autodist</t>
        </is>
      </c>
    </row>
    <row collapsed="false" customFormat="false" customHeight="false" hidden="false" ht="12.1" outlineLevel="0" r="3666">
      <c r="A3666" s="3" t="s">
        <f>=HYPERLINK("https://mp39851918.megaplan.ua/deals/106565/card/","18003")</f>
      </c>
      <c r="B3666" s="3" t="inlineStr">
        <is>
          <t>111-8000563-7258647</t>
        </is>
      </c>
      <c r="C3666" s="3" t="inlineStr">
        <is>
          <t>Autodist</t>
        </is>
      </c>
    </row>
    <row collapsed="false" customFormat="false" customHeight="false" hidden="false" ht="12.1" outlineLevel="0" r="3667">
      <c r="A3667" s="3" t="s">
        <f>=HYPERLINK("https://mp39851918.megaplan.ua/deals/106580/card/","18005")</f>
      </c>
      <c r="B3667" s="3" t="inlineStr">
        <is>
          <t>111-5655059-8812234</t>
        </is>
      </c>
      <c r="C3667" s="3" t="inlineStr">
        <is>
          <t>Autodist</t>
        </is>
      </c>
    </row>
    <row collapsed="false" customFormat="false" customHeight="false" hidden="false" ht="12.1" outlineLevel="0" r="3668">
      <c r="A3668" s="3" t="s">
        <f>=HYPERLINK("https://mp39851918.megaplan.ua/deals/106602/card/","18007")</f>
      </c>
      <c r="B3668" s="3" t="inlineStr">
        <is>
          <t>111-5601849-0469056</t>
        </is>
      </c>
      <c r="C3668" s="3" t="inlineStr">
        <is>
          <t>TuckerRocky</t>
        </is>
      </c>
    </row>
    <row collapsed="false" customFormat="false" customHeight="false" hidden="false" ht="12.1" outlineLevel="0" r="3669">
      <c r="A3669" s="3" t="s">
        <f>=HYPERLINK("https://mp39851918.megaplan.ua/deals/106625/card/","18008")</f>
      </c>
      <c r="B3669" s="3" t="inlineStr">
        <is>
          <t>112-2781982-3525012</t>
        </is>
      </c>
      <c r="C3669" s="3" t="inlineStr">
        <is>
          <t>Autodist</t>
        </is>
      </c>
    </row>
    <row collapsed="false" customFormat="false" customHeight="false" hidden="false" ht="12.1" outlineLevel="0" r="3670">
      <c r="A3670" s="3" t="s">
        <f>=HYPERLINK("https://mp39851918.megaplan.ua/deals/106626/card/","18009")</f>
      </c>
      <c r="B3670" s="3" t="inlineStr">
        <is>
          <t>114-0958362-3774657</t>
        </is>
      </c>
      <c r="C3670" s="3" t="inlineStr">
        <is>
          <t>Autodist</t>
        </is>
      </c>
    </row>
    <row collapsed="false" customFormat="false" customHeight="false" hidden="false" ht="12.1" outlineLevel="0" r="3671">
      <c r="A3671" s="3" t="s">
        <f>=HYPERLINK("https://mp39851918.megaplan.ua/deals/106628/card/","18010")</f>
      </c>
      <c r="B3671" s="3" t="inlineStr">
        <is>
          <t>112-2648326-8458658</t>
        </is>
      </c>
      <c r="C3671" s="3" t="inlineStr">
        <is>
          <t>Autodist</t>
        </is>
      </c>
    </row>
    <row collapsed="false" customFormat="false" customHeight="false" hidden="false" ht="12.1" outlineLevel="0" r="3672">
      <c r="A3672" s="3" t="s">
        <f>=HYPERLINK("https://mp39851918.megaplan.ua/deals/106629/card/","18011")</f>
      </c>
      <c r="B3672" s="3" t="inlineStr">
        <is>
          <t>113-4753984-1529864</t>
        </is>
      </c>
      <c r="C3672" s="3" t="inlineStr">
        <is>
          <t>TuckerRocky</t>
        </is>
      </c>
    </row>
    <row collapsed="false" customFormat="false" customHeight="false" hidden="false" ht="12.1" outlineLevel="0" r="3673">
      <c r="A3673" s="3" t="s">
        <f>=HYPERLINK("https://mp39851918.megaplan.ua/deals/106634/card/","18012")</f>
      </c>
      <c r="B3673" s="3" t="inlineStr">
        <is>
          <t>112-6534515-0657847</t>
        </is>
      </c>
      <c r="C3673" s="3" t="inlineStr">
        <is>
          <t>Autodist</t>
        </is>
      </c>
    </row>
    <row collapsed="false" customFormat="false" customHeight="false" hidden="false" ht="12.1" outlineLevel="0" r="3674">
      <c r="A3674" s="3" t="s">
        <f>=HYPERLINK("https://mp39851918.megaplan.ua/deals/106635/card/","18013")</f>
      </c>
      <c r="B3674" s="3" t="inlineStr">
        <is>
          <t>112-8718337-5226654</t>
        </is>
      </c>
      <c r="C3674" s="3" t="inlineStr">
        <is>
          <t>Autodist</t>
        </is>
      </c>
    </row>
    <row collapsed="false" customFormat="false" customHeight="false" hidden="false" ht="12.1" outlineLevel="0" r="3675">
      <c r="A3675" s="3" t="s">
        <f>=HYPERLINK("https://mp39851918.megaplan.ua/deals/106660/card/","18014")</f>
      </c>
      <c r="B3675" s="3" t="inlineStr">
        <is>
          <t>113-5609775-9753048</t>
        </is>
      </c>
      <c r="C3675" s="3" t="inlineStr">
        <is>
          <t>Autodist</t>
        </is>
      </c>
    </row>
    <row collapsed="false" customFormat="false" customHeight="false" hidden="false" ht="12.1" outlineLevel="0" r="3676">
      <c r="A3676" s="3" t="s">
        <f>=HYPERLINK("https://mp39851918.megaplan.ua/deals/106661/card/","18015")</f>
      </c>
      <c r="B3676" s="3" t="inlineStr">
        <is>
          <t>114-3129650-8975435</t>
        </is>
      </c>
      <c r="C3676" s="3" t="inlineStr">
        <is>
          <t>Autodist</t>
        </is>
      </c>
    </row>
    <row collapsed="false" customFormat="false" customHeight="false" hidden="false" ht="12.1" outlineLevel="0" r="3677">
      <c r="A3677" s="3" t="s">
        <f>=HYPERLINK("https://mp39851918.megaplan.ua/deals/106662/card/","18016")</f>
      </c>
      <c r="B3677" s="3" t="inlineStr">
        <is>
          <t>113-1259082-6061866</t>
        </is>
      </c>
      <c r="C3677" s="3" t="inlineStr">
        <is>
          <t>TuckerRocky</t>
        </is>
      </c>
    </row>
    <row collapsed="false" customFormat="false" customHeight="false" hidden="false" ht="12.1" outlineLevel="0" r="3678">
      <c r="A3678" s="3" t="s">
        <f>=HYPERLINK("https://mp39851918.megaplan.ua/deals/106671/card/","18017")</f>
      </c>
      <c r="B3678" s="3" t="inlineStr">
        <is>
          <t>114-3169005-5214607</t>
        </is>
      </c>
      <c r="C3678" s="3" t="inlineStr">
        <is>
          <t>Autodist</t>
        </is>
      </c>
    </row>
    <row collapsed="false" customFormat="false" customHeight="false" hidden="false" ht="12.1" outlineLevel="0" r="3679">
      <c r="A3679" s="3" t="s">
        <f>=HYPERLINK("https://mp39851918.megaplan.ua/deals/106672/card/","18018")</f>
      </c>
      <c r="B3679" s="3" t="inlineStr">
        <is>
          <t>111-5026512-9860258</t>
        </is>
      </c>
      <c r="C3679" s="3" t="inlineStr">
        <is>
          <t>Autodist</t>
        </is>
      </c>
    </row>
    <row collapsed="false" customFormat="false" customHeight="false" hidden="false" ht="12.1" outlineLevel="0" r="3680">
      <c r="A3680" s="3" t="s">
        <f>=HYPERLINK("https://mp39851918.megaplan.ua/deals/106674/card/","18019")</f>
      </c>
      <c r="B3680" s="3" t="inlineStr">
        <is>
          <t>113-4276459-4556241</t>
        </is>
      </c>
      <c r="C3680" s="3" t="inlineStr">
        <is>
          <t>Autodist</t>
        </is>
      </c>
    </row>
    <row collapsed="false" customFormat="false" customHeight="false" hidden="false" ht="12.1" outlineLevel="0" r="3681">
      <c r="A3681" s="3" t="s">
        <f>=HYPERLINK("https://mp39851918.megaplan.ua/deals/106677/card/","18021")</f>
      </c>
      <c r="B3681" s="3" t="inlineStr">
        <is>
          <t>111-8919586-6134656</t>
        </is>
      </c>
      <c r="C3681" s="3" t="inlineStr">
        <is>
          <t>PartsUnlimited</t>
        </is>
      </c>
    </row>
    <row collapsed="false" customFormat="false" customHeight="false" hidden="false" ht="12.1" outlineLevel="0" r="3682">
      <c r="A3682" s="3" t="s">
        <f>=HYPERLINK("https://mp39851918.megaplan.ua/deals/106680/card/","18022")</f>
      </c>
      <c r="B3682" s="3" t="inlineStr">
        <is>
          <t>112-5375105-1239417</t>
        </is>
      </c>
      <c r="C3682" s="3" t="inlineStr">
        <is>
          <t>Autodist</t>
        </is>
      </c>
    </row>
    <row collapsed="false" customFormat="false" customHeight="false" hidden="false" ht="12.1" outlineLevel="0" r="3683">
      <c r="A3683" s="3" t="s">
        <f>=HYPERLINK("https://mp39851918.megaplan.ua/deals/106692/card/","18023")</f>
      </c>
      <c r="B3683" s="3" t="inlineStr">
        <is>
          <t>111-1611046-3759464</t>
        </is>
      </c>
      <c r="C3683" s="3" t="inlineStr">
        <is>
          <t>Autodist</t>
        </is>
      </c>
    </row>
    <row collapsed="false" customFormat="false" customHeight="false" hidden="false" ht="12.1" outlineLevel="0" r="3684">
      <c r="A3684" s="3" t="s">
        <f>=HYPERLINK("https://mp39851918.megaplan.ua/deals/106697/card/","18024")</f>
      </c>
      <c r="B3684" s="3" t="inlineStr">
        <is>
          <t>111-6342645-3522648</t>
        </is>
      </c>
      <c r="C3684" s="3" t="inlineStr">
        <is>
          <t>TuckerRocky</t>
        </is>
      </c>
    </row>
    <row collapsed="false" customFormat="false" customHeight="false" hidden="false" ht="12.1" outlineLevel="0" r="3685">
      <c r="A3685" s="3" t="s">
        <f>=HYPERLINK("https://mp39851918.megaplan.ua/deals/106717/card/","18025")</f>
      </c>
      <c r="B3685" s="3" t="inlineStr">
        <is>
          <t>112-1041374-7639436</t>
        </is>
      </c>
      <c r="C3685" s="3" t="inlineStr">
        <is>
          <t>Autodist</t>
        </is>
      </c>
    </row>
    <row collapsed="false" customFormat="false" customHeight="false" hidden="false" ht="12.1" outlineLevel="0" r="3686">
      <c r="A3686" s="3" t="s">
        <f>=HYPERLINK("https://mp39851918.megaplan.ua/deals/106718/card/","18026")</f>
      </c>
      <c r="B3686" s="3" t="inlineStr">
        <is>
          <t>111-0415934-5323442</t>
        </is>
      </c>
      <c r="C3686" s="3" t="inlineStr">
        <is>
          <t>TuckerRocky</t>
        </is>
      </c>
    </row>
    <row collapsed="false" customFormat="false" customHeight="false" hidden="false" ht="12.1" outlineLevel="0" r="3687">
      <c r="A3687" s="3" t="s">
        <f>=HYPERLINK("https://mp39851918.megaplan.ua/deals/106719/card/","18027")</f>
      </c>
      <c r="B3687" s="3" t="inlineStr">
        <is>
          <t>112-1363780-3692204</t>
        </is>
      </c>
      <c r="C3687" s="3" t="inlineStr">
        <is>
          <t>TuckerRocky</t>
        </is>
      </c>
    </row>
    <row collapsed="false" customFormat="false" customHeight="false" hidden="false" ht="12.1" outlineLevel="0" r="3688">
      <c r="A3688" s="3" t="s">
        <f>=HYPERLINK("https://mp39851918.megaplan.ua/deals/106720/card/","18028")</f>
      </c>
      <c r="B3688" s="3" t="inlineStr">
        <is>
          <t>114-0236831-2455449</t>
        </is>
      </c>
      <c r="C3688" s="3" t="inlineStr">
        <is>
          <t>TuckerRocky</t>
        </is>
      </c>
    </row>
    <row collapsed="false" customFormat="false" customHeight="false" hidden="false" ht="12.1" outlineLevel="0" r="3689">
      <c r="A3689" s="3" t="s">
        <f>=HYPERLINK("https://mp39851918.megaplan.ua/deals/106721/card/","18029")</f>
      </c>
      <c r="B3689" s="3" t="inlineStr">
        <is>
          <t>112-4865549-9513868</t>
        </is>
      </c>
      <c r="C3689" s="3" t="inlineStr">
        <is>
          <t>PartsUnlimited</t>
        </is>
      </c>
    </row>
    <row collapsed="false" customFormat="false" customHeight="false" hidden="false" ht="12.1" outlineLevel="0" r="3690">
      <c r="A3690" s="3" t="s">
        <f>=HYPERLINK("https://mp39851918.megaplan.ua/deals/106722/card/","18030")</f>
      </c>
      <c r="B3690" s="3" t="inlineStr">
        <is>
          <t>111-2187735-4507416</t>
        </is>
      </c>
      <c r="C3690" s="3" t="inlineStr">
        <is>
          <t>Autodist</t>
        </is>
      </c>
    </row>
    <row collapsed="false" customFormat="false" customHeight="false" hidden="false" ht="12.1" outlineLevel="0" r="3691">
      <c r="A3691" s="3" t="s">
        <f>=HYPERLINK("https://mp39851918.megaplan.ua/deals/106723/card/","18031")</f>
      </c>
      <c r="B3691" s="3" t="inlineStr">
        <is>
          <t>113-0462444-7243419</t>
        </is>
      </c>
      <c r="C3691" s="3" t="inlineStr">
        <is>
          <t>TuckerRocky</t>
        </is>
      </c>
    </row>
    <row collapsed="false" customFormat="false" customHeight="false" hidden="false" ht="12.1" outlineLevel="0" r="3692">
      <c r="A3692" s="3" t="s">
        <f>=HYPERLINK("https://mp39851918.megaplan.ua/deals/106724/card/","18032")</f>
      </c>
      <c r="B3692" s="3" t="inlineStr">
        <is>
          <t>114-0735385-9627417</t>
        </is>
      </c>
      <c r="C3692" s="3" t="inlineStr">
        <is>
          <t>Autodist</t>
        </is>
      </c>
    </row>
    <row collapsed="false" customFormat="false" customHeight="false" hidden="false" ht="12.1" outlineLevel="0" r="3693">
      <c r="A3693" s="3" t="s">
        <f>=HYPERLINK("https://mp39851918.megaplan.ua/deals/106725/card/","18033")</f>
      </c>
      <c r="B3693" s="3" t="inlineStr">
        <is>
          <t>113-7421971-0384249</t>
        </is>
      </c>
      <c r="C3693" s="3" t="inlineStr">
        <is>
          <t>TuckerRocky</t>
        </is>
      </c>
    </row>
    <row collapsed="false" customFormat="false" customHeight="false" hidden="false" ht="12.1" outlineLevel="0" r="3694">
      <c r="A3694" s="3" t="s">
        <f>=HYPERLINK("https://mp39851918.megaplan.ua/deals/106726/card/","18034")</f>
      </c>
      <c r="B3694" s="3" t="inlineStr">
        <is>
          <t>112-0804174-3349835</t>
        </is>
      </c>
      <c r="C3694" s="3" t="inlineStr">
        <is>
          <t>TuckerRocky</t>
        </is>
      </c>
    </row>
    <row collapsed="false" customFormat="false" customHeight="false" hidden="false" ht="12.1" outlineLevel="0" r="3695">
      <c r="A3695" s="3" t="s">
        <f>=HYPERLINK("https://mp39851918.megaplan.ua/deals/106740/card/","18036")</f>
      </c>
      <c r="B3695" s="3" t="inlineStr">
        <is>
          <t>112-5294985-7101064</t>
        </is>
      </c>
      <c r="C3695" s="3" t="inlineStr">
        <is>
          <t>PartsUnlimited</t>
        </is>
      </c>
    </row>
    <row collapsed="false" customFormat="false" customHeight="false" hidden="false" ht="12.1" outlineLevel="0" r="3696">
      <c r="A3696" s="3" t="s">
        <f>=HYPERLINK("https://mp39851918.megaplan.ua/deals/106741/card/","18037")</f>
      </c>
      <c r="B3696" s="3" t="inlineStr">
        <is>
          <t>111-2101725-4875447</t>
        </is>
      </c>
      <c r="C3696" s="3" t="inlineStr">
        <is>
          <t>PartsUnlimited</t>
        </is>
      </c>
    </row>
    <row collapsed="false" customFormat="false" customHeight="false" hidden="false" ht="12.1" outlineLevel="0" r="3697">
      <c r="A3697" s="3" t="s">
        <f>=HYPERLINK("https://mp39851918.megaplan.ua/deals/106748/card/","18038")</f>
      </c>
      <c r="B3697" s="3" t="inlineStr">
        <is>
          <t>114-8017191-8043421</t>
        </is>
      </c>
      <c r="C3697" s="3" t="inlineStr">
        <is>
          <t>TuckerRocky</t>
        </is>
      </c>
    </row>
    <row collapsed="false" customFormat="false" customHeight="false" hidden="false" ht="12.1" outlineLevel="0" r="3698">
      <c r="A3698" s="3" t="s">
        <f>=HYPERLINK("https://mp39851918.megaplan.ua/deals/106749/card/","18039")</f>
      </c>
      <c r="B3698" s="3" t="inlineStr">
        <is>
          <t>112-8802058-9664202</t>
        </is>
      </c>
      <c r="C3698" s="3" t="inlineStr">
        <is>
          <t>Autodist</t>
        </is>
      </c>
    </row>
    <row collapsed="false" customFormat="false" customHeight="false" hidden="false" ht="12.1" outlineLevel="0" r="3699">
      <c r="A3699" s="3" t="s">
        <f>=HYPERLINK("https://mp39851918.megaplan.ua/deals/106756/card/","18040")</f>
      </c>
      <c r="B3699" s="3" t="inlineStr">
        <is>
          <t>113-0889990-4420249</t>
        </is>
      </c>
      <c r="C3699" s="3" t="inlineStr">
        <is>
          <t>RockyMountain</t>
        </is>
      </c>
    </row>
    <row collapsed="false" customFormat="false" customHeight="false" hidden="false" ht="12.1" outlineLevel="0" r="3700">
      <c r="A3700" s="3" t="s">
        <f>=HYPERLINK("https://mp39851918.megaplan.ua/deals/106761/card/","18041")</f>
      </c>
      <c r="B3700" s="3" t="inlineStr">
        <is>
          <t>114-4707996-1617045</t>
        </is>
      </c>
      <c r="C3700" s="3" t="inlineStr">
        <is>
          <t>Autodist</t>
        </is>
      </c>
    </row>
    <row collapsed="false" customFormat="false" customHeight="false" hidden="false" ht="12.1" outlineLevel="0" r="3701">
      <c r="A3701" s="3" t="s">
        <f>=HYPERLINK("https://mp39851918.megaplan.ua/deals/106763/card/","18043")</f>
      </c>
      <c r="B3701" s="3" t="inlineStr">
        <is>
          <t>112-8940273-8150665</t>
        </is>
      </c>
      <c r="C3701" s="3" t="inlineStr">
        <is>
          <t>TuckerRocky</t>
        </is>
      </c>
    </row>
    <row collapsed="false" customFormat="false" customHeight="false" hidden="false" ht="12.1" outlineLevel="0" r="3702">
      <c r="A3702" s="3" t="s">
        <f>=HYPERLINK("https://mp39851918.megaplan.ua/deals/106766/card/","18044")</f>
      </c>
      <c r="B3702" s="3" t="inlineStr">
        <is>
          <t>112-1850970-9818665</t>
        </is>
      </c>
      <c r="C3702" s="3" t="inlineStr">
        <is>
          <t>RockyMountain</t>
        </is>
      </c>
    </row>
    <row collapsed="false" customFormat="false" customHeight="false" hidden="false" ht="12.1" outlineLevel="0" r="3703">
      <c r="A3703" s="3" t="s">
        <f>=HYPERLINK("https://mp39851918.megaplan.ua/deals/106768/card/","18045")</f>
      </c>
      <c r="B3703" s="3" t="inlineStr">
        <is>
          <t>114-8417533-9771468</t>
        </is>
      </c>
      <c r="C3703" s="3" t="inlineStr">
        <is>
          <t>TuckerRocky</t>
        </is>
      </c>
    </row>
    <row collapsed="false" customFormat="false" customHeight="false" hidden="false" ht="12.1" outlineLevel="0" r="3704">
      <c r="A3704" s="3" t="s">
        <f>=HYPERLINK("https://mp39851918.megaplan.ua/deals/106769/card/","18046")</f>
      </c>
      <c r="B3704" s="3" t="inlineStr">
        <is>
          <t>114-1788204-6405020</t>
        </is>
      </c>
      <c r="C3704" s="3" t="inlineStr">
        <is>
          <t>Autodist</t>
        </is>
      </c>
    </row>
    <row collapsed="false" customFormat="false" customHeight="false" hidden="false" ht="12.1" outlineLevel="0" r="3705">
      <c r="A3705" s="3" t="s">
        <f>=HYPERLINK("https://mp39851918.megaplan.ua/deals/106785/card/","18048")</f>
      </c>
      <c r="B3705" s="3" t="inlineStr">
        <is>
          <t>111-6558482-5220241</t>
        </is>
      </c>
      <c r="C3705" s="3" t="inlineStr">
        <is>
          <t>PartsUnlimited</t>
        </is>
      </c>
    </row>
    <row collapsed="false" customFormat="false" customHeight="false" hidden="false" ht="12.1" outlineLevel="0" r="3706">
      <c r="A3706" s="3" t="s">
        <f>=HYPERLINK("https://mp39851918.megaplan.ua/deals/106802/card/","18049")</f>
      </c>
      <c r="B3706" s="3" t="inlineStr">
        <is>
          <t>113-2054517-0882600</t>
        </is>
      </c>
      <c r="C3706" s="3" t="inlineStr">
        <is>
          <t>PartsUnlimited</t>
        </is>
      </c>
    </row>
    <row collapsed="false" customFormat="false" customHeight="false" hidden="false" ht="12.1" outlineLevel="0" r="3707">
      <c r="A3707" s="3" t="s">
        <f>=HYPERLINK("https://mp39851918.megaplan.ua/deals/106811/card/","18051")</f>
      </c>
      <c r="B3707" s="3" t="inlineStr">
        <is>
          <t>114-5934294-0965019</t>
        </is>
      </c>
      <c r="C3707" s="3" t="inlineStr">
        <is>
          <t>Autodist</t>
        </is>
      </c>
    </row>
    <row collapsed="false" customFormat="false" customHeight="false" hidden="false" ht="12.1" outlineLevel="0" r="3708">
      <c r="A3708" s="3" t="s">
        <f>=HYPERLINK("https://mp39851918.megaplan.ua/deals/106827/card/","18054")</f>
      </c>
      <c r="B3708" s="3" t="inlineStr">
        <is>
          <t>112-2407742-9547443</t>
        </is>
      </c>
      <c r="C3708" s="3" t="inlineStr">
        <is>
          <t>TuckerRocky</t>
        </is>
      </c>
    </row>
    <row collapsed="false" customFormat="false" customHeight="false" hidden="false" ht="12.1" outlineLevel="0" r="3709">
      <c r="A3709" s="3" t="s">
        <f>=HYPERLINK("https://mp39851918.megaplan.ua/deals/106832/card/","18055")</f>
      </c>
      <c r="B3709" s="3" t="inlineStr">
        <is>
          <t>113-7673471-9797026</t>
        </is>
      </c>
      <c r="C3709" s="3" t="inlineStr">
        <is>
          <t>TuckerRocky</t>
        </is>
      </c>
    </row>
    <row collapsed="false" customFormat="false" customHeight="false" hidden="false" ht="12.1" outlineLevel="0" r="3710">
      <c r="A3710" s="3" t="s">
        <f>=HYPERLINK("https://mp39851918.megaplan.ua/deals/106838/card/","18057")</f>
      </c>
      <c r="B3710" s="3" t="inlineStr">
        <is>
          <t>114-2900980-7013060</t>
        </is>
      </c>
      <c r="C3710" s="3" t="inlineStr">
        <is>
          <t>PartsUnlimited</t>
        </is>
      </c>
    </row>
    <row collapsed="false" customFormat="false" customHeight="false" hidden="false" ht="12.1" outlineLevel="0" r="3711">
      <c r="A3711" s="3" t="s">
        <f>=HYPERLINK("https://mp39851918.megaplan.ua/deals/106843/card/","18058")</f>
      </c>
      <c r="B3711" s="3" t="inlineStr">
        <is>
          <t>114-7074402-6634634</t>
        </is>
      </c>
      <c r="C3711" s="3" t="inlineStr">
        <is>
          <t>Autodist</t>
        </is>
      </c>
    </row>
    <row collapsed="false" customFormat="false" customHeight="false" hidden="false" ht="12.1" outlineLevel="0" r="3712">
      <c r="A3712" s="3" t="s">
        <f>=HYPERLINK("https://mp39851918.megaplan.ua/deals/106866/card/","18060")</f>
      </c>
      <c r="B3712" s="3" t="inlineStr">
        <is>
          <t>114-5197312-5766610</t>
        </is>
      </c>
      <c r="C3712" s="3" t="inlineStr">
        <is>
          <t>TuckerRocky</t>
        </is>
      </c>
    </row>
    <row collapsed="false" customFormat="false" customHeight="false" hidden="false" ht="12.1" outlineLevel="0" r="3713">
      <c r="A3713" s="3" t="s">
        <f>=HYPERLINK("https://mp39851918.megaplan.ua/deals/106867/card/","18061")</f>
      </c>
      <c r="B3713" s="3" t="inlineStr">
        <is>
          <t>112-2180610-3937018</t>
        </is>
      </c>
      <c r="C3713" s="3" t="inlineStr">
        <is>
          <t>PartsUnlimited</t>
        </is>
      </c>
    </row>
    <row collapsed="false" customFormat="false" customHeight="false" hidden="false" ht="12.1" outlineLevel="0" r="3714">
      <c r="A3714" s="3" t="s">
        <f>=HYPERLINK("https://mp39851918.megaplan.ua/deals/106872/card/","18062")</f>
      </c>
      <c r="B3714" s="3" t="inlineStr">
        <is>
          <t>114-5232313-2585038</t>
        </is>
      </c>
      <c r="C3714" s="3" t="inlineStr">
        <is>
          <t>TuckerRocky</t>
        </is>
      </c>
    </row>
    <row collapsed="false" customFormat="false" customHeight="false" hidden="false" ht="12.1" outlineLevel="0" r="3715">
      <c r="A3715" s="3" t="s">
        <f>=HYPERLINK("https://mp39851918.megaplan.ua/deals/106880/card/","18063")</f>
      </c>
      <c r="B3715" s="3" t="inlineStr">
        <is>
          <t>114-7211249-6491459</t>
        </is>
      </c>
      <c r="C3715" s="3" t="inlineStr">
        <is>
          <t>RockyMountain</t>
        </is>
      </c>
    </row>
    <row collapsed="false" customFormat="false" customHeight="false" hidden="false" ht="12.1" outlineLevel="0" r="3716">
      <c r="A3716" s="3" t="s">
        <f>=HYPERLINK("https://mp39851918.megaplan.ua/deals/106895/card/","18064")</f>
      </c>
      <c r="B3716" s="3" t="inlineStr">
        <is>
          <t>114-8295259-7501851</t>
        </is>
      </c>
      <c r="C3716" s="3" t="inlineStr">
        <is>
          <t>RockyMountain</t>
        </is>
      </c>
    </row>
    <row collapsed="false" customFormat="false" customHeight="false" hidden="false" ht="12.1" outlineLevel="0" r="3717">
      <c r="A3717" s="3" t="s">
        <f>=HYPERLINK("https://mp39851918.megaplan.ua/deals/106900/card/","18065")</f>
      </c>
      <c r="B3717" s="3" t="inlineStr">
        <is>
          <t>113-5634689-9542624</t>
        </is>
      </c>
      <c r="C3717" s="3" t="inlineStr">
        <is>
          <t>Autodist</t>
        </is>
      </c>
    </row>
    <row collapsed="false" customFormat="false" customHeight="false" hidden="false" ht="12.1" outlineLevel="0" r="3718">
      <c r="A3718" s="3" t="s">
        <f>=HYPERLINK("https://mp39851918.megaplan.ua/deals/106906/card/","18066")</f>
      </c>
      <c r="B3718" s="3" t="inlineStr">
        <is>
          <t>111-0690073-9622617</t>
        </is>
      </c>
      <c r="C3718" s="3" t="inlineStr">
        <is>
          <t>TuckerRocky</t>
        </is>
      </c>
    </row>
    <row collapsed="false" customFormat="false" customHeight="false" hidden="false" ht="12.1" outlineLevel="0" r="3719">
      <c r="A3719" s="3" t="s">
        <f>=HYPERLINK("https://mp39851918.megaplan.ua/deals/106909/card/","18067")</f>
      </c>
      <c r="B3719" s="3" t="inlineStr">
        <is>
          <t>112-3388454-8407452</t>
        </is>
      </c>
      <c r="C3719" s="3" t="inlineStr">
        <is>
          <t>TuckerRocky</t>
        </is>
      </c>
    </row>
    <row collapsed="false" customFormat="false" customHeight="false" hidden="false" ht="12.1" outlineLevel="0" r="3720">
      <c r="A3720" s="3" t="s">
        <f>=HYPERLINK("https://mp39851918.megaplan.ua/deals/106916/card/","18068")</f>
      </c>
      <c r="B3720" s="3" t="inlineStr">
        <is>
          <t>113-5184865-1463456</t>
        </is>
      </c>
      <c r="C3720" s="3" t="inlineStr">
        <is>
          <t>TuckerRocky</t>
        </is>
      </c>
    </row>
    <row collapsed="false" customFormat="false" customHeight="false" hidden="false" ht="12.1" outlineLevel="0" r="3721">
      <c r="A3721" s="3" t="s">
        <f>=HYPERLINK("https://mp39851918.megaplan.ua/deals/106926/card/","18069")</f>
      </c>
      <c r="B3721" s="3" t="inlineStr">
        <is>
          <t>111-4358482-2689000</t>
        </is>
      </c>
      <c r="C3721" s="3" t="inlineStr">
        <is>
          <t>TuckerRocky</t>
        </is>
      </c>
    </row>
    <row collapsed="false" customFormat="false" customHeight="false" hidden="false" ht="12.1" outlineLevel="0" r="3722">
      <c r="A3722" s="3" t="s">
        <f>=HYPERLINK("https://mp39851918.megaplan.ua/deals/106932/card/","18070")</f>
      </c>
      <c r="B3722" s="3" t="inlineStr">
        <is>
          <t>112-4343828-3436216</t>
        </is>
      </c>
      <c r="C3722" s="3" t="inlineStr">
        <is>
          <t>PartsUnlimited</t>
        </is>
      </c>
    </row>
    <row collapsed="false" customFormat="false" customHeight="false" hidden="false" ht="12.1" outlineLevel="0" r="3723">
      <c r="A3723" s="3" t="s">
        <f>=HYPERLINK("https://mp39851918.megaplan.ua/deals/106936/card/","18071")</f>
      </c>
      <c r="B3723" s="3" t="inlineStr">
        <is>
          <t>114-5452164-0687445</t>
        </is>
      </c>
      <c r="C3723" s="3" t="inlineStr">
        <is>
          <t>Autodist</t>
        </is>
      </c>
    </row>
    <row collapsed="false" customFormat="false" customHeight="false" hidden="false" ht="12.1" outlineLevel="0" r="3724">
      <c r="A3724" s="3" t="s">
        <f>=HYPERLINK("https://mp39851918.megaplan.ua/deals/106948/card/","18072")</f>
      </c>
      <c r="B3724" s="3" t="inlineStr">
        <is>
          <t>111-5162909-7376245</t>
        </is>
      </c>
      <c r="C3724" s="3" t="inlineStr">
        <is>
          <t>Autodist</t>
        </is>
      </c>
    </row>
    <row collapsed="false" customFormat="false" customHeight="false" hidden="false" ht="12.1" outlineLevel="0" r="3725">
      <c r="A3725" s="3" t="s">
        <f>=HYPERLINK("https://mp39851918.megaplan.ua/deals/106982/card/","18075")</f>
      </c>
      <c r="B3725" s="3" t="inlineStr">
        <is>
          <t>112-8003828-4458635</t>
        </is>
      </c>
      <c r="C3725" s="3" t="inlineStr">
        <is>
          <t>Autodist</t>
        </is>
      </c>
    </row>
    <row collapsed="false" customFormat="false" customHeight="false" hidden="false" ht="12.1" outlineLevel="0" r="3726">
      <c r="A3726" s="3" t="s">
        <f>=HYPERLINK("https://mp39851918.megaplan.ua/deals/106993/card/","18077")</f>
      </c>
      <c r="B3726" s="3" t="inlineStr">
        <is>
          <t>114-7239299-6361821</t>
        </is>
      </c>
      <c r="C3726" s="3" t="inlineStr">
        <is>
          <t>TuckerRocky</t>
        </is>
      </c>
    </row>
    <row collapsed="false" customFormat="false" customHeight="false" hidden="false" ht="12.1" outlineLevel="0" r="3727">
      <c r="A3727" s="3" t="s">
        <f>=HYPERLINK("https://mp39851918.megaplan.ua/deals/106998/card/","18078")</f>
      </c>
      <c r="B3727" s="3" t="inlineStr">
        <is>
          <t>112-0144335-3163469</t>
        </is>
      </c>
      <c r="C3727" s="3" t="inlineStr">
        <is>
          <t>Autodist</t>
        </is>
      </c>
    </row>
    <row collapsed="false" customFormat="false" customHeight="false" hidden="false" ht="12.1" outlineLevel="0" r="3728">
      <c r="A3728" s="3" t="s">
        <f>=HYPERLINK("https://mp39851918.megaplan.ua/deals/107019/card/","18079")</f>
      </c>
      <c r="B3728" s="3" t="inlineStr">
        <is>
          <t>111-2290216-1969817</t>
        </is>
      </c>
      <c r="C3728" s="3" t="inlineStr">
        <is>
          <t>TuckerRocky</t>
        </is>
      </c>
    </row>
    <row collapsed="false" customFormat="false" customHeight="false" hidden="false" ht="12.1" outlineLevel="0" r="3729">
      <c r="A3729" s="3" t="s">
        <f>=HYPERLINK("https://mp39851918.megaplan.ua/deals/107027/card/","18081")</f>
      </c>
      <c r="B3729" s="3" t="inlineStr">
        <is>
          <t>113-1687970-4597025</t>
        </is>
      </c>
      <c r="C3729" s="3" t="inlineStr">
        <is>
          <t>Autodist</t>
        </is>
      </c>
    </row>
    <row collapsed="false" customFormat="false" customHeight="false" hidden="false" ht="12.1" outlineLevel="0" r="3730">
      <c r="A3730" s="3" t="s">
        <f>=HYPERLINK("https://mp39851918.megaplan.ua/deals/107034/card/","18082")</f>
      </c>
      <c r="B3730" s="3" t="inlineStr">
        <is>
          <t>113-4037492-7593822</t>
        </is>
      </c>
      <c r="C3730" s="3" t="inlineStr">
        <is>
          <t>TuckerRocky</t>
        </is>
      </c>
    </row>
    <row collapsed="false" customFormat="false" customHeight="false" hidden="false" ht="12.1" outlineLevel="0" r="3731">
      <c r="A3731" s="3" t="s">
        <f>=HYPERLINK("https://mp39851918.megaplan.ua/deals/107044/card/","18084")</f>
      </c>
      <c r="B3731" s="3" t="inlineStr">
        <is>
          <t>111-1929834-0824250</t>
        </is>
      </c>
      <c r="C3731" s="3" t="inlineStr">
        <is>
          <t>Autodist</t>
        </is>
      </c>
    </row>
    <row collapsed="false" customFormat="false" customHeight="false" hidden="false" ht="12.1" outlineLevel="0" r="3732">
      <c r="A3732" s="3" t="s">
        <f>=HYPERLINK("https://mp39851918.megaplan.ua/deals/107045/card/","18085")</f>
      </c>
      <c r="B3732" s="3" t="inlineStr">
        <is>
          <t>113-8553803-6649033</t>
        </is>
      </c>
      <c r="C3732" s="3" t="inlineStr">
        <is>
          <t>TuckerRocky</t>
        </is>
      </c>
    </row>
    <row collapsed="false" customFormat="false" customHeight="false" hidden="false" ht="12.1" outlineLevel="0" r="3733">
      <c r="A3733" s="3" t="s">
        <f>=HYPERLINK("https://mp39851918.megaplan.ua/deals/107046/card/","18086")</f>
      </c>
      <c r="B3733" s="3" t="inlineStr">
        <is>
          <t>113-9877974-2791463</t>
        </is>
      </c>
      <c r="C3733" s="3" t="inlineStr">
        <is>
          <t>Autodist</t>
        </is>
      </c>
    </row>
    <row collapsed="false" customFormat="false" customHeight="false" hidden="false" ht="12.1" outlineLevel="0" r="3734">
      <c r="A3734" s="3" t="s">
        <f>=HYPERLINK("https://mp39851918.megaplan.ua/deals/107053/card/","18087")</f>
      </c>
      <c r="B3734" s="3" t="inlineStr">
        <is>
          <t>114-7982382-5096246</t>
        </is>
      </c>
      <c r="C3734" s="3" t="inlineStr">
        <is>
          <t>TuckerRocky</t>
        </is>
      </c>
    </row>
    <row collapsed="false" customFormat="false" customHeight="false" hidden="false" ht="12.1" outlineLevel="0" r="3735">
      <c r="A3735" s="3" t="s">
        <f>=HYPERLINK("https://mp39851918.megaplan.ua/deals/107055/card/","18088")</f>
      </c>
      <c r="B3735" s="3" t="inlineStr">
        <is>
          <t>113-4106915-1345805</t>
        </is>
      </c>
      <c r="C3735" s="3" t="inlineStr">
        <is>
          <t>TuckerRocky</t>
        </is>
      </c>
    </row>
    <row collapsed="false" customFormat="false" customHeight="false" hidden="false" ht="12.1" outlineLevel="0" r="3736">
      <c r="A3736" s="3" t="s">
        <f>=HYPERLINK("https://mp39851918.megaplan.ua/deals/107058/card/","18089")</f>
      </c>
      <c r="B3736" s="3" t="inlineStr">
        <is>
          <t>111-2864323-6384223</t>
        </is>
      </c>
      <c r="C3736" s="3" t="inlineStr">
        <is>
          <t>TuckerRocky</t>
        </is>
      </c>
    </row>
    <row collapsed="false" customFormat="false" customHeight="false" hidden="false" ht="12.1" outlineLevel="0" r="3737">
      <c r="A3737" s="3" t="s">
        <f>=HYPERLINK("https://mp39851918.megaplan.ua/deals/107080/card/","18090")</f>
      </c>
      <c r="B3737" s="3" t="inlineStr">
        <is>
          <t>113-6044573-5058650</t>
        </is>
      </c>
      <c r="C3737" s="3" t="inlineStr">
        <is>
          <t>TuckerRocky</t>
        </is>
      </c>
    </row>
    <row collapsed="false" customFormat="false" customHeight="false" hidden="false" ht="12.1" outlineLevel="0" r="3738">
      <c r="A3738" s="3" t="s">
        <f>=HYPERLINK("https://mp39851918.megaplan.ua/deals/107083/card/","18091")</f>
      </c>
      <c r="B3738" s="3" t="inlineStr">
        <is>
          <t>111-5247781-6117818</t>
        </is>
      </c>
      <c r="C3738" s="3" t="inlineStr">
        <is>
          <t>TuckerRocky</t>
        </is>
      </c>
    </row>
    <row collapsed="false" customFormat="false" customHeight="false" hidden="false" ht="12.1" outlineLevel="0" r="3739">
      <c r="A3739" s="3" t="s">
        <f>=HYPERLINK("https://mp39851918.megaplan.ua/deals/107091/card/","18092")</f>
      </c>
      <c r="B3739" s="3" t="inlineStr">
        <is>
          <t>113-6424657-9773048</t>
        </is>
      </c>
      <c r="C3739" s="3" t="inlineStr">
        <is>
          <t>RockyMountain</t>
        </is>
      </c>
    </row>
    <row collapsed="false" customFormat="false" customHeight="false" hidden="false" ht="12.1" outlineLevel="0" r="3740">
      <c r="A3740" s="3" t="s">
        <f>=HYPERLINK("https://mp39851918.megaplan.ua/deals/107103/card/","18093")</f>
      </c>
      <c r="B3740" s="3" t="inlineStr">
        <is>
          <t>113-6960165-2203455</t>
        </is>
      </c>
      <c r="C3740" s="3" t="inlineStr">
        <is>
          <t>Autodist</t>
        </is>
      </c>
    </row>
    <row collapsed="false" customFormat="false" customHeight="false" hidden="false" ht="12.1" outlineLevel="0" r="3741">
      <c r="A3741" s="3" t="s">
        <f>=HYPERLINK("https://mp39851918.megaplan.ua/deals/107106/card/","18094")</f>
      </c>
      <c r="B3741" s="3" t="inlineStr">
        <is>
          <t>113-7764287-9616242</t>
        </is>
      </c>
      <c r="C3741" s="3" t="inlineStr">
        <is>
          <t>TuckerRocky</t>
        </is>
      </c>
    </row>
    <row collapsed="false" customFormat="false" customHeight="false" hidden="false" ht="12.1" outlineLevel="0" r="3742">
      <c r="A3742" s="3" t="s">
        <f>=HYPERLINK("https://mp39851918.megaplan.ua/deals/107111/card/","18095")</f>
      </c>
      <c r="B3742" s="3" t="inlineStr">
        <is>
          <t>113-0580720-9822603</t>
        </is>
      </c>
      <c r="C3742" s="3" t="inlineStr">
        <is>
          <t>TuckerRocky</t>
        </is>
      </c>
    </row>
    <row collapsed="false" customFormat="false" customHeight="false" hidden="false" ht="12.1" outlineLevel="0" r="3743">
      <c r="A3743" s="3" t="s">
        <f>=HYPERLINK("https://mp39851918.megaplan.ua/deals/107116/card/","18097")</f>
      </c>
      <c r="B3743" s="3" t="inlineStr">
        <is>
          <t>114-9097316-4779417</t>
        </is>
      </c>
      <c r="C3743" s="3" t="inlineStr">
        <is>
          <t>TuckerRocky</t>
        </is>
      </c>
    </row>
    <row collapsed="false" customFormat="false" customHeight="false" hidden="false" ht="12.1" outlineLevel="0" r="3744">
      <c r="A3744" s="3" t="s">
        <f>=HYPERLINK("https://mp39851918.megaplan.ua/deals/107117/card/","18098")</f>
      </c>
      <c r="B3744" s="3" t="inlineStr">
        <is>
          <t>114-3285888-2785033</t>
        </is>
      </c>
      <c r="C3744" s="3" t="inlineStr">
        <is>
          <t>TuckerRocky</t>
        </is>
      </c>
    </row>
    <row collapsed="false" customFormat="false" customHeight="false" hidden="false" ht="12.1" outlineLevel="0" r="3745">
      <c r="A3745" s="3" t="s">
        <f>=HYPERLINK("https://mp39851918.megaplan.ua/deals/107118/card/","18099")</f>
      </c>
      <c r="B3745" s="3" t="inlineStr">
        <is>
          <t>111-5932275-5619458</t>
        </is>
      </c>
      <c r="C3745" s="3" t="inlineStr">
        <is>
          <t>Autodist</t>
        </is>
      </c>
    </row>
    <row collapsed="false" customFormat="false" customHeight="false" hidden="false" ht="12.1" outlineLevel="0" r="3746">
      <c r="A3746" s="3" t="s">
        <f>=HYPERLINK("https://mp39851918.megaplan.ua/deals/107120/card/","18100")</f>
      </c>
      <c r="B3746" s="3" t="inlineStr">
        <is>
          <t>112-0100669-2506630</t>
        </is>
      </c>
      <c r="C3746" s="3" t="inlineStr">
        <is>
          <t>TuckerRocky</t>
        </is>
      </c>
    </row>
    <row collapsed="false" customFormat="false" customHeight="false" hidden="false" ht="12.1" outlineLevel="0" r="3747">
      <c r="A3747" s="3" t="s">
        <f>=HYPERLINK("https://mp39851918.megaplan.ua/deals/107122/card/","18101")</f>
      </c>
      <c r="B3747" s="3" t="inlineStr">
        <is>
          <t>113-0821568-3894637</t>
        </is>
      </c>
      <c r="C3747" s="3" t="inlineStr">
        <is>
          <t>PartsUnlimited</t>
        </is>
      </c>
    </row>
    <row collapsed="false" customFormat="false" customHeight="false" hidden="false" ht="12.1" outlineLevel="0" r="3748">
      <c r="A3748" s="3" t="s">
        <f>=HYPERLINK("https://mp39851918.megaplan.ua/deals/107123/card/","18102")</f>
      </c>
      <c r="B3748" s="3" t="inlineStr">
        <is>
          <t>112-2695343-4413801</t>
        </is>
      </c>
      <c r="C3748" s="3" t="inlineStr">
        <is>
          <t>Autodist</t>
        </is>
      </c>
    </row>
    <row collapsed="false" customFormat="false" customHeight="false" hidden="false" ht="12.1" outlineLevel="0" r="3749">
      <c r="A3749" s="3" t="s">
        <f>=HYPERLINK("https://mp39851918.megaplan.ua/deals/107134/card/","18103")</f>
      </c>
      <c r="B3749" s="3" t="inlineStr">
        <is>
          <t>111-9227216-4322668</t>
        </is>
      </c>
      <c r="C3749" s="3" t="inlineStr">
        <is>
          <t>PartsUnlimited</t>
        </is>
      </c>
    </row>
    <row collapsed="false" customFormat="false" customHeight="false" hidden="false" ht="12.1" outlineLevel="0" r="3750">
      <c r="A3750" s="3" t="s">
        <f>=HYPERLINK("https://mp39851918.megaplan.ua/deals/107135/card/","18104")</f>
      </c>
      <c r="B3750" s="3" t="inlineStr">
        <is>
          <t>113-9780815-5290651</t>
        </is>
      </c>
      <c r="C3750" s="3" t="inlineStr">
        <is>
          <t>PartsUnlimited</t>
        </is>
      </c>
    </row>
    <row collapsed="false" customFormat="false" customHeight="false" hidden="false" ht="12.1" outlineLevel="0" r="3751">
      <c r="A3751" s="3" t="s">
        <f>=HYPERLINK("https://mp39851918.megaplan.ua/deals/107147/card/","18105")</f>
      </c>
      <c r="B3751" s="3" t="inlineStr">
        <is>
          <t>113-6248090-2053801</t>
        </is>
      </c>
      <c r="C3751" s="3" t="inlineStr">
        <is>
          <t>PartsUnlimited</t>
        </is>
      </c>
    </row>
    <row collapsed="false" customFormat="false" customHeight="false" hidden="false" ht="12.1" outlineLevel="0" r="3752">
      <c r="A3752" s="3" t="s">
        <f>=HYPERLINK("https://mp39851918.megaplan.ua/deals/107148/card/","18106")</f>
      </c>
      <c r="B3752" s="3" t="inlineStr">
        <is>
          <t>113-4123291-2231442</t>
        </is>
      </c>
      <c r="C3752" s="3" t="inlineStr">
        <is>
          <t>PartsUnlimited</t>
        </is>
      </c>
    </row>
    <row collapsed="false" customFormat="false" customHeight="false" hidden="false" ht="12.1" outlineLevel="0" r="3753">
      <c r="A3753" s="3" t="s">
        <f>=HYPERLINK("https://mp39851918.megaplan.ua/deals/107149/card/","18107")</f>
      </c>
      <c r="B3753" s="3" t="inlineStr">
        <is>
          <t>112-0139852-0427435</t>
        </is>
      </c>
      <c r="C3753" s="3" t="inlineStr">
        <is>
          <t>TuckerRocky</t>
        </is>
      </c>
    </row>
    <row collapsed="false" customFormat="false" customHeight="false" hidden="false" ht="12.1" outlineLevel="0" r="3754">
      <c r="A3754" s="3" t="s">
        <f>=HYPERLINK("https://mp39851918.megaplan.ua/deals/107150/card/","18108")</f>
      </c>
      <c r="B3754" s="3" t="inlineStr">
        <is>
          <t>112-6741705-7013036</t>
        </is>
      </c>
      <c r="C3754" s="3" t="inlineStr">
        <is>
          <t>Autodist</t>
        </is>
      </c>
    </row>
    <row collapsed="false" customFormat="false" customHeight="false" hidden="false" ht="12.1" outlineLevel="0" r="3755">
      <c r="A3755" s="3" t="s">
        <f>=HYPERLINK("https://mp39851918.megaplan.ua/deals/107152/card/","18109")</f>
      </c>
      <c r="B3755" s="3" t="inlineStr">
        <is>
          <t>112-0139472-8107448</t>
        </is>
      </c>
      <c r="C3755" s="3" t="inlineStr">
        <is>
          <t>RockyMountain</t>
        </is>
      </c>
    </row>
    <row collapsed="false" customFormat="false" customHeight="false" hidden="false" ht="12.1" outlineLevel="0" r="3756">
      <c r="A3756" s="3" t="s">
        <f>=HYPERLINK("https://mp39851918.megaplan.ua/deals/107155/card/","18110")</f>
      </c>
      <c r="B3756" s="3" t="inlineStr">
        <is>
          <t>113-4705094-4245009</t>
        </is>
      </c>
      <c r="C3756" s="3" t="inlineStr">
        <is>
          <t>TuckerRocky</t>
        </is>
      </c>
    </row>
    <row collapsed="false" customFormat="false" customHeight="false" hidden="false" ht="12.1" outlineLevel="0" r="3757">
      <c r="A3757" s="3" t="s">
        <f>=HYPERLINK("https://mp39851918.megaplan.ua/deals/107176/card/","18113")</f>
      </c>
      <c r="B3757" s="3" t="inlineStr">
        <is>
          <t>112-1850970-9818665</t>
        </is>
      </c>
      <c r="C3757" s="3" t="inlineStr">
        <is>
          <t>RockyMountain</t>
        </is>
      </c>
    </row>
    <row collapsed="false" customFormat="false" customHeight="false" hidden="false" ht="12.1" outlineLevel="0" r="3758">
      <c r="A3758" s="3" t="s">
        <f>=HYPERLINK("https://mp39851918.megaplan.ua/deals/107177/card/","18114")</f>
      </c>
      <c r="B3758" s="3" t="inlineStr">
        <is>
          <t>113-3414429-7980233</t>
        </is>
      </c>
      <c r="C3758" s="3" t="inlineStr">
        <is>
          <t>PartsUnlimited</t>
        </is>
      </c>
    </row>
    <row collapsed="false" customFormat="false" customHeight="false" hidden="false" ht="12.1" outlineLevel="0" r="3759">
      <c r="A3759" s="3" t="s">
        <f>=HYPERLINK("https://mp39851918.megaplan.ua/deals/107190/card/","18115")</f>
      </c>
      <c r="B3759" s="3" t="inlineStr">
        <is>
          <t>114-8802604-8526612</t>
        </is>
      </c>
      <c r="C3759" s="3" t="inlineStr">
        <is>
          <t>TuckerRocky</t>
        </is>
      </c>
    </row>
    <row collapsed="false" customFormat="false" customHeight="false" hidden="false" ht="12.1" outlineLevel="0" r="3760">
      <c r="A3760" s="3" t="s">
        <f>=HYPERLINK("https://mp39851918.megaplan.ua/deals/107195/card/","18118")</f>
      </c>
      <c r="B3760" s="3" t="inlineStr">
        <is>
          <t>114-5663241-1811404</t>
        </is>
      </c>
      <c r="C3760" s="3" t="inlineStr">
        <is>
          <t>PartsUnlimited</t>
        </is>
      </c>
    </row>
    <row collapsed="false" customFormat="false" customHeight="false" hidden="false" ht="12.1" outlineLevel="0" r="3761">
      <c r="A3761" s="3" t="s">
        <f>=HYPERLINK("https://mp39851918.megaplan.ua/deals/107198/card/","18120")</f>
      </c>
      <c r="B3761" s="3" t="inlineStr">
        <is>
          <t>112-8704500-7277053</t>
        </is>
      </c>
      <c r="C3761" s="3" t="inlineStr">
        <is>
          <t>Autodist</t>
        </is>
      </c>
    </row>
    <row collapsed="false" customFormat="false" customHeight="false" hidden="false" ht="12.1" outlineLevel="0" r="3762">
      <c r="A3762" s="3" t="s">
        <f>=HYPERLINK("https://mp39851918.megaplan.ua/deals/107211/card/","18122")</f>
      </c>
      <c r="B3762" s="3" t="inlineStr">
        <is>
          <t>112-6275030-9035414</t>
        </is>
      </c>
      <c r="C3762" s="3" t="inlineStr">
        <is>
          <t>TuckerRocky</t>
        </is>
      </c>
    </row>
    <row collapsed="false" customFormat="false" customHeight="false" hidden="false" ht="12.1" outlineLevel="0" r="3763">
      <c r="A3763" s="3" t="s">
        <f>=HYPERLINK("https://mp39851918.megaplan.ua/deals/107231/card/","18123")</f>
      </c>
      <c r="B3763" s="3" t="inlineStr">
        <is>
          <t>114-6701059-2389842</t>
        </is>
      </c>
      <c r="C3763" s="3" t="inlineStr">
        <is>
          <t>Autodist</t>
        </is>
      </c>
    </row>
    <row collapsed="false" customFormat="false" customHeight="false" hidden="false" ht="12.1" outlineLevel="0" r="3764">
      <c r="A3764" s="3" t="s">
        <f>=HYPERLINK("https://mp39851918.megaplan.ua/deals/107237/card/","18125")</f>
      </c>
      <c r="B3764" s="3" t="inlineStr">
        <is>
          <t>114-2433025-3149008</t>
        </is>
      </c>
      <c r="C3764" s="3" t="inlineStr">
        <is>
          <t>TuckerRocky</t>
        </is>
      </c>
    </row>
    <row collapsed="false" customFormat="false" customHeight="false" hidden="false" ht="12.1" outlineLevel="0" r="3765">
      <c r="A3765" s="3" t="s">
        <f>=HYPERLINK("https://mp39851918.megaplan.ua/deals/107238/card/","18126")</f>
      </c>
      <c r="B3765" s="3" t="inlineStr">
        <is>
          <t>113-6615587-3174661</t>
        </is>
      </c>
      <c r="C3765" s="3" t="inlineStr">
        <is>
          <t>TuckerRocky</t>
        </is>
      </c>
    </row>
    <row collapsed="false" customFormat="false" customHeight="false" hidden="false" ht="12.1" outlineLevel="0" r="3766">
      <c r="A3766" s="3" t="s">
        <f>=HYPERLINK("https://mp39851918.megaplan.ua/deals/107239/card/","18127")</f>
      </c>
      <c r="B3766" s="3" t="inlineStr">
        <is>
          <t>112-8136400-0281021</t>
        </is>
      </c>
      <c r="C3766" s="3" t="inlineStr">
        <is>
          <t>PartsUnlimited</t>
        </is>
      </c>
    </row>
    <row collapsed="false" customFormat="false" customHeight="false" hidden="false" ht="12.1" outlineLevel="0" r="3767">
      <c r="A3767" s="3" t="s">
        <f>=HYPERLINK("https://mp39851918.megaplan.ua/deals/107241/card/","18128")</f>
      </c>
      <c r="B3767" s="3" t="inlineStr">
        <is>
          <t>111-6000485-2880216</t>
        </is>
      </c>
      <c r="C3767" s="3" t="inlineStr">
        <is>
          <t>PartsUnlimited</t>
        </is>
      </c>
    </row>
    <row collapsed="false" customFormat="false" customHeight="false" hidden="false" ht="12.1" outlineLevel="0" r="3768">
      <c r="A3768" s="3" t="s">
        <f>=HYPERLINK("https://mp39851918.megaplan.ua/deals/107252/card/","18130")</f>
      </c>
      <c r="B3768" s="3" t="inlineStr">
        <is>
          <t>112-7361565-1256211</t>
        </is>
      </c>
      <c r="C3768" s="3" t="inlineStr">
        <is>
          <t>RockyMountain</t>
        </is>
      </c>
    </row>
    <row collapsed="false" customFormat="false" customHeight="false" hidden="false" ht="12.1" outlineLevel="0" r="3769">
      <c r="A3769" s="3" t="s">
        <f>=HYPERLINK("https://mp39851918.megaplan.ua/deals/107260/card/","18131")</f>
      </c>
      <c r="B3769" s="3" t="inlineStr">
        <is>
          <t>114-8677103-2128265</t>
        </is>
      </c>
      <c r="C3769" s="3" t="inlineStr">
        <is>
          <t>Autodist</t>
        </is>
      </c>
    </row>
    <row collapsed="false" customFormat="false" customHeight="false" hidden="false" ht="12.1" outlineLevel="0" r="3770">
      <c r="A3770" s="3" t="s">
        <f>=HYPERLINK("https://mp39851918.megaplan.ua/deals/107264/card/","18132")</f>
      </c>
      <c r="B3770" s="3" t="inlineStr">
        <is>
          <t>112-0809711-1298651</t>
        </is>
      </c>
      <c r="C3770" s="3" t="inlineStr">
        <is>
          <t>TuckerRocky</t>
        </is>
      </c>
    </row>
    <row collapsed="false" customFormat="false" customHeight="false" hidden="false" ht="12.1" outlineLevel="0" r="3771">
      <c r="A3771" s="3" t="s">
        <f>=HYPERLINK("https://mp39851918.megaplan.ua/deals/107275/card/","18133")</f>
      </c>
      <c r="B3771" s="3" t="inlineStr">
        <is>
          <t>113-4737535-6113056</t>
        </is>
      </c>
      <c r="C3771" s="3" t="inlineStr">
        <is>
          <t>RockyMountain</t>
        </is>
      </c>
    </row>
    <row collapsed="false" customFormat="false" customHeight="false" hidden="false" ht="12.1" outlineLevel="0" r="3772">
      <c r="A3772" s="3" t="s">
        <f>=HYPERLINK("https://mp39851918.megaplan.ua/deals/107282/card/","18134")</f>
      </c>
      <c r="B3772" s="3" t="inlineStr">
        <is>
          <t>113-5349204-3879454</t>
        </is>
      </c>
      <c r="C3772" s="3" t="inlineStr">
        <is>
          <t>Autodist</t>
        </is>
      </c>
    </row>
    <row collapsed="false" customFormat="false" customHeight="false" hidden="false" ht="12.1" outlineLevel="0" r="3773">
      <c r="A3773" s="3" t="s">
        <f>=HYPERLINK("https://mp39851918.megaplan.ua/deals/107295/card/","18135")</f>
      </c>
      <c r="B3773" s="3" t="inlineStr">
        <is>
          <t>113-3403043-1575465</t>
        </is>
      </c>
      <c r="C3773" s="3" t="inlineStr">
        <is>
          <t>Autodist</t>
        </is>
      </c>
    </row>
    <row collapsed="false" customFormat="false" customHeight="false" hidden="false" ht="12.1" outlineLevel="0" r="3774">
      <c r="A3774" s="3" t="s">
        <f>=HYPERLINK("https://mp39851918.megaplan.ua/deals/107313/card/","18139")</f>
      </c>
      <c r="B3774" s="3" t="inlineStr">
        <is>
          <t>113-8988342-0583414</t>
        </is>
      </c>
      <c r="C3774" s="3" t="inlineStr">
        <is>
          <t>Autodist</t>
        </is>
      </c>
    </row>
    <row collapsed="false" customFormat="false" customHeight="false" hidden="false" ht="12.1" outlineLevel="0" r="3775">
      <c r="A3775" s="3" t="s">
        <f>=HYPERLINK("https://mp39851918.megaplan.ua/deals/107323/card/","18140")</f>
      </c>
      <c r="B3775" s="3" t="inlineStr">
        <is>
          <t>113-0264860-0585816</t>
        </is>
      </c>
      <c r="C3775" s="3" t="inlineStr">
        <is>
          <t>Autodist</t>
        </is>
      </c>
    </row>
    <row collapsed="false" customFormat="false" customHeight="false" hidden="false" ht="12.1" outlineLevel="0" r="3776">
      <c r="A3776" s="3" t="s">
        <f>=HYPERLINK("https://mp39851918.megaplan.ua/deals/107324/card/","18141")</f>
      </c>
      <c r="B3776" s="3" t="inlineStr">
        <is>
          <t>114-2486138-3369805</t>
        </is>
      </c>
      <c r="C3776" s="3" t="inlineStr">
        <is>
          <t>TuckerRocky</t>
        </is>
      </c>
    </row>
    <row collapsed="false" customFormat="false" customHeight="false" hidden="false" ht="12.1" outlineLevel="0" r="3777">
      <c r="A3777" s="3" t="s">
        <f>=HYPERLINK("https://mp39851918.megaplan.ua/deals/107330/card/","18142")</f>
      </c>
      <c r="B3777" s="3" t="inlineStr">
        <is>
          <t>113-6026214-6176265</t>
        </is>
      </c>
      <c r="C3777" s="3" t="inlineStr">
        <is>
          <t>Autodist</t>
        </is>
      </c>
    </row>
    <row collapsed="false" customFormat="false" customHeight="false" hidden="false" ht="12.1" outlineLevel="0" r="3778">
      <c r="A3778" s="3" t="s">
        <f>=HYPERLINK("https://mp39851918.megaplan.ua/deals/107331/card/","18143")</f>
      </c>
      <c r="B3778" s="3" t="inlineStr">
        <is>
          <t>114-8175535-6680228</t>
        </is>
      </c>
      <c r="C3778" s="3" t="inlineStr">
        <is>
          <t>Autodist</t>
        </is>
      </c>
    </row>
    <row collapsed="false" customFormat="false" customHeight="false" hidden="false" ht="12.1" outlineLevel="0" r="3779">
      <c r="A3779" s="3" t="s">
        <f>=HYPERLINK("https://mp39851918.megaplan.ua/deals/107334/card/","18144")</f>
      </c>
      <c r="B3779" s="3" t="inlineStr">
        <is>
          <t>114-7344234-2655402</t>
        </is>
      </c>
      <c r="C3779" s="3" t="inlineStr">
        <is>
          <t>TuckerRocky</t>
        </is>
      </c>
    </row>
    <row collapsed="false" customFormat="false" customHeight="false" hidden="false" ht="12.1" outlineLevel="0" r="3780">
      <c r="A3780" s="3" t="s">
        <f>=HYPERLINK("https://mp39851918.megaplan.ua/deals/107344/card/","18145")</f>
      </c>
      <c r="B3780" s="3" t="inlineStr">
        <is>
          <t>111-1497490-0873820</t>
        </is>
      </c>
      <c r="C3780" s="3" t="inlineStr">
        <is>
          <t>RockyMountain</t>
        </is>
      </c>
    </row>
    <row collapsed="false" customFormat="false" customHeight="false" hidden="false" ht="12.1" outlineLevel="0" r="3781">
      <c r="A3781" s="3" t="s">
        <f>=HYPERLINK("https://mp39851918.megaplan.ua/deals/107345/card/","18146")</f>
      </c>
      <c r="B3781" s="3" t="inlineStr">
        <is>
          <t>111-4722507-1320222</t>
        </is>
      </c>
      <c r="C3781" s="3" t="inlineStr">
        <is>
          <t>TuckerRocky</t>
        </is>
      </c>
    </row>
    <row collapsed="false" customFormat="false" customHeight="false" hidden="false" ht="12.1" outlineLevel="0" r="3782">
      <c r="A3782" s="3" t="s">
        <f>=HYPERLINK("https://mp39851918.megaplan.ua/deals/107348/card/","18147")</f>
      </c>
      <c r="B3782" s="3" t="inlineStr">
        <is>
          <t>114-0846852-5487447</t>
        </is>
      </c>
      <c r="C3782" s="3" t="inlineStr">
        <is>
          <t>Autodist</t>
        </is>
      </c>
    </row>
    <row collapsed="false" customFormat="false" customHeight="false" hidden="false" ht="12.1" outlineLevel="0" r="3783">
      <c r="A3783" s="3" t="s">
        <f>=HYPERLINK("https://mp39851918.megaplan.ua/deals/107366/card/","18148")</f>
      </c>
      <c r="B3783" s="3" t="inlineStr">
        <is>
          <t>112-3314429-7765817</t>
        </is>
      </c>
      <c r="C3783" s="3" t="inlineStr">
        <is>
          <t>Autodist</t>
        </is>
      </c>
    </row>
    <row collapsed="false" customFormat="false" customHeight="false" hidden="false" ht="12.1" outlineLevel="0" r="3784">
      <c r="A3784" s="3" t="s">
        <f>=HYPERLINK("https://mp39851918.megaplan.ua/deals/107380/card/","18149")</f>
      </c>
      <c r="B3784" s="3" t="inlineStr">
        <is>
          <t>111-0974833-1093837</t>
        </is>
      </c>
      <c r="C3784" s="3" t="inlineStr">
        <is>
          <t>TuckerRocky</t>
        </is>
      </c>
    </row>
    <row collapsed="false" customFormat="false" customHeight="false" hidden="false" ht="12.1" outlineLevel="0" r="3785">
      <c r="A3785" s="3" t="s">
        <f>=HYPERLINK("https://mp39851918.megaplan.ua/deals/107381/card/","18150")</f>
      </c>
      <c r="B3785" s="3" t="inlineStr">
        <is>
          <t>112-9002786-8190667</t>
        </is>
      </c>
      <c r="C3785" s="3" t="inlineStr">
        <is>
          <t>Autodist</t>
        </is>
      </c>
    </row>
    <row collapsed="false" customFormat="false" customHeight="false" hidden="false" ht="12.1" outlineLevel="0" r="3786">
      <c r="A3786" s="3" t="s">
        <f>=HYPERLINK("https://mp39851918.megaplan.ua/deals/107382/card/","18151")</f>
      </c>
      <c r="B3786" s="3" t="inlineStr">
        <is>
          <t>114-3329172-1941060</t>
        </is>
      </c>
      <c r="C3786" s="3" t="inlineStr">
        <is>
          <t>RockyMountain</t>
        </is>
      </c>
    </row>
    <row collapsed="false" customFormat="false" customHeight="false" hidden="false" ht="12.1" outlineLevel="0" r="3787">
      <c r="A3787" s="3" t="s">
        <f>=HYPERLINK("https://mp39851918.megaplan.ua/deals/107383/card/","18152")</f>
      </c>
      <c r="B3787" s="3" t="inlineStr">
        <is>
          <t>112-3434806-9336235</t>
        </is>
      </c>
      <c r="C3787" s="3" t="inlineStr">
        <is>
          <t>Autodist</t>
        </is>
      </c>
    </row>
    <row collapsed="false" customFormat="false" customHeight="false" hidden="false" ht="12.1" outlineLevel="0" r="3788">
      <c r="A3788" s="3" t="s">
        <f>=HYPERLINK("https://mp39851918.megaplan.ua/deals/107389/card/","18154")</f>
      </c>
      <c r="B3788" s="3" t="inlineStr">
        <is>
          <t>111-3489458-1486653</t>
        </is>
      </c>
      <c r="C3788" s="3" t="inlineStr">
        <is>
          <t>TuckerRocky</t>
        </is>
      </c>
    </row>
    <row collapsed="false" customFormat="false" customHeight="false" hidden="false" ht="12.1" outlineLevel="0" r="3789">
      <c r="A3789" s="3" t="s">
        <f>=HYPERLINK("https://mp39851918.megaplan.ua/deals/107390/card/","18155")</f>
      </c>
      <c r="B3789" s="3" t="inlineStr">
        <is>
          <t>114-8033209-2157836</t>
        </is>
      </c>
      <c r="C3789" s="3" t="inlineStr">
        <is>
          <t>Autodist</t>
        </is>
      </c>
    </row>
    <row collapsed="false" customFormat="false" customHeight="false" hidden="false" ht="12.1" outlineLevel="0" r="3790">
      <c r="A3790" s="3" t="s">
        <f>=HYPERLINK("https://mp39851918.megaplan.ua/deals/107392/card/","18156")</f>
      </c>
      <c r="B3790" s="3" t="inlineStr">
        <is>
          <t>111-6707315-8410639</t>
        </is>
      </c>
      <c r="C3790" s="3" t="inlineStr">
        <is>
          <t>TuckerRocky</t>
        </is>
      </c>
    </row>
    <row collapsed="false" customFormat="false" customHeight="false" hidden="false" ht="12.1" outlineLevel="0" r="3791">
      <c r="A3791" s="3" t="s">
        <f>=HYPERLINK("https://mp39851918.megaplan.ua/deals/107393/card/","18157")</f>
      </c>
      <c r="B3791" s="3" t="inlineStr">
        <is>
          <t>114-7181941-2194655</t>
        </is>
      </c>
      <c r="C3791" s="3" t="inlineStr">
        <is>
          <t>Autodist</t>
        </is>
      </c>
    </row>
    <row collapsed="false" customFormat="false" customHeight="false" hidden="false" ht="12.1" outlineLevel="0" r="3792">
      <c r="A3792" s="3" t="s">
        <f>=HYPERLINK("https://mp39851918.megaplan.ua/deals/107396/card/","18158")</f>
      </c>
      <c r="B3792" s="3" t="inlineStr">
        <is>
          <t>114-3685598-4239448</t>
        </is>
      </c>
      <c r="C3792" s="3" t="inlineStr">
        <is>
          <t>TuckerRocky</t>
        </is>
      </c>
    </row>
    <row collapsed="false" customFormat="false" customHeight="false" hidden="false" ht="12.1" outlineLevel="0" r="3793">
      <c r="A3793" s="3" t="s">
        <f>=HYPERLINK("https://mp39851918.megaplan.ua/deals/107399/card/","18159")</f>
      </c>
      <c r="B3793" s="3" t="inlineStr">
        <is>
          <t>112-2819113-9876212</t>
        </is>
      </c>
      <c r="C3793" s="3" t="inlineStr">
        <is>
          <t>Autodist</t>
        </is>
      </c>
    </row>
    <row collapsed="false" customFormat="false" customHeight="false" hidden="false" ht="12.1" outlineLevel="0" r="3794">
      <c r="A3794" s="3" t="s">
        <f>=HYPERLINK("https://mp39851918.megaplan.ua/deals/107410/card/","18160")</f>
      </c>
      <c r="B3794" s="3" t="inlineStr">
        <is>
          <t>112-6698524-8125063</t>
        </is>
      </c>
      <c r="C3794" s="3" t="inlineStr">
        <is>
          <t>Autodist</t>
        </is>
      </c>
    </row>
    <row collapsed="false" customFormat="false" customHeight="false" hidden="false" ht="12.1" outlineLevel="0" r="3795">
      <c r="A3795" s="3" t="s">
        <f>=HYPERLINK("https://mp39851918.megaplan.ua/deals/107412/card/","18161")</f>
      </c>
      <c r="B3795" s="3" t="inlineStr">
        <is>
          <t>114-5231049-1855440</t>
        </is>
      </c>
      <c r="C3795" s="3" t="inlineStr">
        <is>
          <t>PartsUnlimited</t>
        </is>
      </c>
    </row>
    <row collapsed="false" customFormat="false" customHeight="false" hidden="false" ht="12.1" outlineLevel="0" r="3796">
      <c r="A3796" s="3" t="s">
        <f>=HYPERLINK("https://mp39851918.megaplan.ua/deals/107413/card/","18162")</f>
      </c>
      <c r="B3796" s="3" t="inlineStr">
        <is>
          <t>111-1504977-5383461</t>
        </is>
      </c>
      <c r="C3796" s="3" t="inlineStr">
        <is>
          <t>Autodist</t>
        </is>
      </c>
    </row>
    <row collapsed="false" customFormat="false" customHeight="false" hidden="false" ht="12.1" outlineLevel="0" r="3797">
      <c r="A3797" s="3" t="s">
        <f>=HYPERLINK("https://mp39851918.megaplan.ua/deals/107414/card/","18163")</f>
      </c>
      <c r="B3797" s="3" t="inlineStr">
        <is>
          <t>112-1808743-4220249</t>
        </is>
      </c>
      <c r="C3797" s="3" t="inlineStr">
        <is>
          <t>Autodist</t>
        </is>
      </c>
    </row>
    <row collapsed="false" customFormat="false" customHeight="false" hidden="false" ht="12.1" outlineLevel="0" r="3798">
      <c r="A3798" s="3" t="s">
        <f>=HYPERLINK("https://mp39851918.megaplan.ua/deals/107428/card/","18164")</f>
      </c>
      <c r="B3798" s="3" t="inlineStr">
        <is>
          <t>113-9605652-5916200</t>
        </is>
      </c>
      <c r="C3798" s="3" t="inlineStr">
        <is>
          <t>Autodist</t>
        </is>
      </c>
    </row>
    <row collapsed="false" customFormat="false" customHeight="false" hidden="false" ht="12.1" outlineLevel="0" r="3799">
      <c r="A3799" s="3" t="s">
        <f>=HYPERLINK("https://mp39851918.megaplan.ua/deals/107437/card/","18167")</f>
      </c>
      <c r="B3799" s="3" t="inlineStr">
        <is>
          <t>111-8636821-8907430</t>
        </is>
      </c>
      <c r="C3799" s="3" t="inlineStr">
        <is>
          <t>Autodist</t>
        </is>
      </c>
    </row>
    <row collapsed="false" customFormat="false" customHeight="false" hidden="false" ht="12.1" outlineLevel="0" r="3800">
      <c r="A3800" s="3" t="s">
        <f>=HYPERLINK("https://mp39851918.megaplan.ua/deals/107439/card/","18168")</f>
      </c>
      <c r="B3800" s="3" t="inlineStr">
        <is>
          <t>113-0158298-6109874</t>
        </is>
      </c>
      <c r="C3800" s="3" t="inlineStr">
        <is>
          <t>Autodist</t>
        </is>
      </c>
    </row>
    <row collapsed="false" customFormat="false" customHeight="false" hidden="false" ht="12.1" outlineLevel="0" r="3801">
      <c r="A3801" s="3" t="s">
        <f>=HYPERLINK("https://mp39851918.megaplan.ua/deals/107448/card/","18169")</f>
      </c>
      <c r="B3801" s="3" t="inlineStr">
        <is>
          <t>112-1212102-5327452</t>
        </is>
      </c>
      <c r="C3801" s="3" t="inlineStr">
        <is>
          <t>TuckerRocky</t>
        </is>
      </c>
    </row>
    <row collapsed="false" customFormat="false" customHeight="false" hidden="false" ht="12.1" outlineLevel="0" r="3802">
      <c r="A3802" s="3" t="s">
        <f>=HYPERLINK("https://mp39851918.megaplan.ua/deals/107449/card/","18170")</f>
      </c>
      <c r="B3802" s="3" t="inlineStr">
        <is>
          <t>112-4600343-9589016</t>
        </is>
      </c>
      <c r="C3802" s="3" t="inlineStr">
        <is>
          <t>TuckerRocky</t>
        </is>
      </c>
    </row>
    <row collapsed="false" customFormat="false" customHeight="false" hidden="false" ht="12.1" outlineLevel="0" r="3803">
      <c r="A3803" s="3" t="s">
        <f>=HYPERLINK("https://mp39851918.megaplan.ua/deals/107454/card/","18172")</f>
      </c>
      <c r="B3803" s="3" t="inlineStr">
        <is>
          <t>112-9597069-2668229</t>
        </is>
      </c>
      <c r="C3803" s="3" t="inlineStr">
        <is>
          <t>PartsUnlimited</t>
        </is>
      </c>
    </row>
    <row collapsed="false" customFormat="false" customHeight="false" hidden="false" ht="12.1" outlineLevel="0" r="3804">
      <c r="A3804" s="3" t="s">
        <f>=HYPERLINK("https://mp39851918.megaplan.ua/deals/107460/card/","18174")</f>
      </c>
      <c r="B3804" s="3" t="inlineStr">
        <is>
          <t>112-6984050-9891426</t>
        </is>
      </c>
      <c r="C3804" s="3" t="inlineStr">
        <is>
          <t>Autodist</t>
        </is>
      </c>
    </row>
    <row collapsed="false" customFormat="false" customHeight="false" hidden="false" ht="12.1" outlineLevel="0" r="3805">
      <c r="A3805" s="3" t="s">
        <f>=HYPERLINK("https://mp39851918.megaplan.ua/deals/107462/card/","18176")</f>
      </c>
      <c r="B3805" s="3" t="inlineStr">
        <is>
          <t>112-7812048-5458635</t>
        </is>
      </c>
      <c r="C3805" s="3" t="inlineStr">
        <is>
          <t>TuckerRocky</t>
        </is>
      </c>
    </row>
    <row collapsed="false" customFormat="false" customHeight="false" hidden="false" ht="12.1" outlineLevel="0" r="3806">
      <c r="A3806" s="3" t="s">
        <f>=HYPERLINK("https://mp39851918.megaplan.ua/deals/107468/card/","18177")</f>
      </c>
      <c r="B3806" s="3" t="inlineStr">
        <is>
          <t>113-5747995-6669056</t>
        </is>
      </c>
      <c r="C3806" s="3" t="inlineStr">
        <is>
          <t>Autodist</t>
        </is>
      </c>
    </row>
    <row collapsed="false" customFormat="false" customHeight="false" hidden="false" ht="12.1" outlineLevel="0" r="3807">
      <c r="A3807" s="3" t="s">
        <f>=HYPERLINK("https://mp39851918.megaplan.ua/deals/107473/card/","18178")</f>
      </c>
      <c r="B3807" s="3" t="inlineStr">
        <is>
          <t>112-4168867-5050608</t>
        </is>
      </c>
      <c r="C3807" s="3" t="inlineStr">
        <is>
          <t>TuckerRocky</t>
        </is>
      </c>
    </row>
    <row collapsed="false" customFormat="false" customHeight="false" hidden="false" ht="12.1" outlineLevel="0" r="3808">
      <c r="A3808" s="3" t="s">
        <f>=HYPERLINK("https://mp39851918.megaplan.ua/deals/107474/card/","18179")</f>
      </c>
      <c r="B3808" s="3" t="inlineStr">
        <is>
          <t>113-7183517-2001051</t>
        </is>
      </c>
      <c r="C3808" s="3" t="inlineStr">
        <is>
          <t>TuckerRocky</t>
        </is>
      </c>
    </row>
    <row collapsed="false" customFormat="false" customHeight="false" hidden="false" ht="12.1" outlineLevel="0" r="3809">
      <c r="A3809" s="3" t="s">
        <f>=HYPERLINK("https://mp39851918.megaplan.ua/deals/107484/card/","18180")</f>
      </c>
      <c r="B3809" s="3" t="inlineStr">
        <is>
          <t>113-1375432-3229009</t>
        </is>
      </c>
      <c r="C3809" s="3" t="inlineStr">
        <is>
          <t>TuckerRocky</t>
        </is>
      </c>
    </row>
    <row collapsed="false" customFormat="false" customHeight="false" hidden="false" ht="12.1" outlineLevel="0" r="3810">
      <c r="A3810" s="3" t="s">
        <f>=HYPERLINK("https://mp39851918.megaplan.ua/deals/107485/card/","18181")</f>
      </c>
      <c r="B3810" s="3" t="inlineStr">
        <is>
          <t>111-5021468-5756200</t>
        </is>
      </c>
      <c r="C3810" s="3" t="inlineStr">
        <is>
          <t>TuckerRocky</t>
        </is>
      </c>
    </row>
    <row collapsed="false" customFormat="false" customHeight="false" hidden="false" ht="12.1" outlineLevel="0" r="3811">
      <c r="A3811" s="3" t="s">
        <f>=HYPERLINK("https://mp39851918.megaplan.ua/deals/107487/card/","18182")</f>
      </c>
      <c r="B3811" s="3" t="inlineStr">
        <is>
          <t>111-3848018-8630621</t>
        </is>
      </c>
      <c r="C3811" s="3" t="inlineStr">
        <is>
          <t>Autodist</t>
        </is>
      </c>
    </row>
    <row collapsed="false" customFormat="false" customHeight="false" hidden="false" ht="12.1" outlineLevel="0" r="3812">
      <c r="A3812" s="3" t="s">
        <f>=HYPERLINK("https://mp39851918.megaplan.ua/deals/107500/card/","18186")</f>
      </c>
      <c r="B3812" s="3" t="inlineStr">
        <is>
          <t>113-8120727-2206622</t>
        </is>
      </c>
      <c r="C3812" s="3" t="inlineStr">
        <is>
          <t>PartsUnlimited</t>
        </is>
      </c>
    </row>
    <row collapsed="false" customFormat="false" customHeight="false" hidden="false" ht="12.1" outlineLevel="0" r="3813">
      <c r="A3813" s="3" t="s">
        <f>=HYPERLINK("https://mp39851918.megaplan.ua/deals/107512/card/","18187")</f>
      </c>
      <c r="B3813" s="3" t="inlineStr">
        <is>
          <t>114-4014157-3529850</t>
        </is>
      </c>
      <c r="C3813" s="3" t="inlineStr">
        <is>
          <t>Autodist</t>
        </is>
      </c>
    </row>
    <row collapsed="false" customFormat="false" customHeight="false" hidden="false" ht="12.1" outlineLevel="0" r="3814">
      <c r="A3814" s="3" t="s">
        <f>=HYPERLINK("https://mp39851918.megaplan.ua/deals/107515/card/","18188")</f>
      </c>
      <c r="B3814" s="3" t="inlineStr">
        <is>
          <t>111-8182720-7033836</t>
        </is>
      </c>
      <c r="C3814" s="3" t="inlineStr">
        <is>
          <t>TuckerRocky</t>
        </is>
      </c>
    </row>
    <row collapsed="false" customFormat="false" customHeight="false" hidden="false" ht="12.1" outlineLevel="0" r="3815">
      <c r="A3815" s="3" t="s">
        <f>=HYPERLINK("https://mp39851918.megaplan.ua/deals/107519/card/","18189")</f>
      </c>
      <c r="B3815" s="3" t="inlineStr">
        <is>
          <t>113-8867040-2462638</t>
        </is>
      </c>
      <c r="C3815" s="3" t="inlineStr">
        <is>
          <t>Autodist</t>
        </is>
      </c>
    </row>
    <row collapsed="false" customFormat="false" customHeight="false" hidden="false" ht="12.1" outlineLevel="0" r="3816">
      <c r="A3816" s="3" t="s">
        <f>=HYPERLINK("https://mp39851918.megaplan.ua/deals/107548/card/","18190")</f>
      </c>
      <c r="B3816" s="3" t="inlineStr">
        <is>
          <t>111-3134032-5792268</t>
        </is>
      </c>
      <c r="C3816" s="3" t="inlineStr">
        <is>
          <t>Autodist</t>
        </is>
      </c>
    </row>
    <row collapsed="false" customFormat="false" customHeight="false" hidden="false" ht="12.1" outlineLevel="0" r="3817">
      <c r="A3817" s="3" t="s">
        <f>=HYPERLINK("https://mp39851918.megaplan.ua/deals/107550/card/","18191")</f>
      </c>
      <c r="B3817" s="3" t="inlineStr">
        <is>
          <t>112-1362320-6282647</t>
        </is>
      </c>
      <c r="C3817" s="3" t="inlineStr">
        <is>
          <t>Autodist</t>
        </is>
      </c>
    </row>
    <row collapsed="false" customFormat="false" customHeight="false" hidden="false" ht="12.1" outlineLevel="0" r="3818">
      <c r="A3818" s="3" t="s">
        <f>=HYPERLINK("https://mp39851918.megaplan.ua/deals/107551/card/","18192")</f>
      </c>
      <c r="B3818" s="3" t="inlineStr">
        <is>
          <t>112-1864366-6714652</t>
        </is>
      </c>
      <c r="C3818" s="3" t="inlineStr">
        <is>
          <t>RockyMountain</t>
        </is>
      </c>
    </row>
    <row collapsed="false" customFormat="false" customHeight="false" hidden="false" ht="12.1" outlineLevel="0" r="3819">
      <c r="A3819" s="3" t="s">
        <f>=HYPERLINK("https://mp39851918.megaplan.ua/deals/107557/card/","18193")</f>
      </c>
      <c r="B3819" s="3" t="inlineStr">
        <is>
          <t>113-6433548-9790653</t>
        </is>
      </c>
      <c r="C3819" s="3" t="inlineStr">
        <is>
          <t>Autodist</t>
        </is>
      </c>
    </row>
    <row collapsed="false" customFormat="false" customHeight="false" hidden="false" ht="12.1" outlineLevel="0" r="3820">
      <c r="A3820" s="3" t="s">
        <f>=HYPERLINK("https://mp39851918.megaplan.ua/deals/107560/card/","18194")</f>
      </c>
      <c r="B3820" s="3" t="inlineStr">
        <is>
          <t>112-4462430-5978665</t>
        </is>
      </c>
      <c r="C3820" s="3" t="inlineStr">
        <is>
          <t>Autodist</t>
        </is>
      </c>
    </row>
    <row collapsed="false" customFormat="false" customHeight="false" hidden="false" ht="12.1" outlineLevel="0" r="3821">
      <c r="A3821" s="3" t="s">
        <f>=HYPERLINK("https://mp39851918.megaplan.ua/deals/107567/card/","18195")</f>
      </c>
      <c r="B3821" s="3" t="inlineStr">
        <is>
          <t>112-5340614-6550622</t>
        </is>
      </c>
      <c r="C3821" s="3" t="inlineStr">
        <is>
          <t>TuckerRocky</t>
        </is>
      </c>
    </row>
    <row collapsed="false" customFormat="false" customHeight="false" hidden="false" ht="12.1" outlineLevel="0" r="3822">
      <c r="A3822" s="3" t="s">
        <f>=HYPERLINK("https://mp39851918.megaplan.ua/deals/107568/card/","18196")</f>
      </c>
      <c r="B3822" s="3" t="inlineStr">
        <is>
          <t>112-6197597-5931410</t>
        </is>
      </c>
      <c r="C3822" s="3" t="inlineStr">
        <is>
          <t>TuckerRocky</t>
        </is>
      </c>
    </row>
    <row collapsed="false" customFormat="false" customHeight="false" hidden="false" ht="12.1" outlineLevel="0" r="3823">
      <c r="A3823" s="3" t="s">
        <f>=HYPERLINK("https://mp39851918.megaplan.ua/deals/107575/card/","18197")</f>
      </c>
      <c r="B3823" s="3" t="inlineStr">
        <is>
          <t>114-9387546-8005863</t>
        </is>
      </c>
      <c r="C3823" s="3" t="inlineStr">
        <is>
          <t>Autodist</t>
        </is>
      </c>
    </row>
    <row collapsed="false" customFormat="false" customHeight="false" hidden="false" ht="12.1" outlineLevel="0" r="3824">
      <c r="A3824" s="3" t="s">
        <f>=HYPERLINK("https://mp39851918.megaplan.ua/deals/107584/card/","18200")</f>
      </c>
      <c r="B3824" s="3" t="inlineStr">
        <is>
          <t>112-8486863-2875434</t>
        </is>
      </c>
      <c r="C3824" s="3" t="inlineStr">
        <is>
          <t>TuckerRocky</t>
        </is>
      </c>
    </row>
    <row collapsed="false" customFormat="false" customHeight="false" hidden="false" ht="12.1" outlineLevel="0" r="3825">
      <c r="A3825" s="3" t="s">
        <f>=HYPERLINK("https://mp39851918.megaplan.ua/deals/107585/card/","18201")</f>
      </c>
      <c r="B3825" s="3" t="inlineStr">
        <is>
          <t>112-3210937-2793000</t>
        </is>
      </c>
      <c r="C3825" s="3" t="inlineStr">
        <is>
          <t>TuckerRocky</t>
        </is>
      </c>
    </row>
    <row collapsed="false" customFormat="false" customHeight="false" hidden="false" ht="12.1" outlineLevel="0" r="3826">
      <c r="A3826" s="3" t="s">
        <f>=HYPERLINK("https://mp39851918.megaplan.ua/deals/107592/card/","18202")</f>
      </c>
      <c r="B3826" s="3" t="inlineStr">
        <is>
          <t>112-0670529-4380247</t>
        </is>
      </c>
      <c r="C3826" s="3" t="inlineStr">
        <is>
          <t>TuckerRocky</t>
        </is>
      </c>
    </row>
    <row collapsed="false" customFormat="false" customHeight="false" hidden="false" ht="12.1" outlineLevel="0" r="3827">
      <c r="A3827" s="3" t="s">
        <f>=HYPERLINK("https://mp39851918.megaplan.ua/deals/107603/card/","18204")</f>
      </c>
      <c r="B3827" s="3" t="inlineStr">
        <is>
          <t>114-4323001-0985862</t>
        </is>
      </c>
      <c r="C3827" s="3" t="inlineStr">
        <is>
          <t>RockyMountain</t>
        </is>
      </c>
    </row>
    <row collapsed="false" customFormat="false" customHeight="false" hidden="false" ht="12.1" outlineLevel="0" r="3828">
      <c r="A3828" s="3" t="s">
        <f>=HYPERLINK("https://mp39851918.megaplan.ua/deals/107604/card/","18205")</f>
      </c>
      <c r="B3828" s="3" t="inlineStr">
        <is>
          <t>111-4171493-9685019</t>
        </is>
      </c>
      <c r="C3828" s="3" t="inlineStr">
        <is>
          <t>PartsUnlimited</t>
        </is>
      </c>
    </row>
    <row collapsed="false" customFormat="false" customHeight="false" hidden="false" ht="12.1" outlineLevel="0" r="3829">
      <c r="A3829" s="3" t="s">
        <f>=HYPERLINK("https://mp39851918.megaplan.ua/deals/107606/card/","18206")</f>
      </c>
      <c r="B3829" s="3" t="inlineStr">
        <is>
          <t>112-7242775-2520200</t>
        </is>
      </c>
      <c r="C3829" s="3" t="inlineStr">
        <is>
          <t>Autodist</t>
        </is>
      </c>
    </row>
    <row collapsed="false" customFormat="false" customHeight="false" hidden="false" ht="12.1" outlineLevel="0" r="3830">
      <c r="A3830" s="3" t="s">
        <f>=HYPERLINK("https://mp39851918.megaplan.ua/deals/107613/card/","18207")</f>
      </c>
      <c r="B3830" s="3" t="inlineStr">
        <is>
          <t>114-4357006-0566667</t>
        </is>
      </c>
      <c r="C3830" s="3" t="inlineStr">
        <is>
          <t>TuckerRocky</t>
        </is>
      </c>
    </row>
    <row collapsed="false" customFormat="false" customHeight="false" hidden="false" ht="12.1" outlineLevel="0" r="3831">
      <c r="A3831" s="3" t="s">
        <f>=HYPERLINK("https://mp39851918.megaplan.ua/deals/107614/card/","18208")</f>
      </c>
      <c r="B3831" s="3" t="inlineStr">
        <is>
          <t>113-9584141-1663439</t>
        </is>
      </c>
      <c r="C3831" s="3" t="inlineStr">
        <is>
          <t>RockyMountain</t>
        </is>
      </c>
    </row>
    <row collapsed="false" customFormat="false" customHeight="false" hidden="false" ht="12.1" outlineLevel="0" r="3832">
      <c r="A3832" s="3" t="s">
        <f>=HYPERLINK("https://mp39851918.megaplan.ua/deals/107615/card/","18209")</f>
      </c>
      <c r="B3832" s="3" t="inlineStr">
        <is>
          <t>114-6196433-1889039</t>
        </is>
      </c>
      <c r="C3832" s="3" t="inlineStr">
        <is>
          <t>TuckerRocky</t>
        </is>
      </c>
    </row>
    <row collapsed="false" customFormat="false" customHeight="false" hidden="false" ht="12.1" outlineLevel="0" r="3833">
      <c r="A3833" s="3" t="s">
        <f>=HYPERLINK("https://mp39851918.megaplan.ua/deals/107616/card/","18210")</f>
      </c>
      <c r="B3833" s="3" t="inlineStr">
        <is>
          <t>113-7008132-8961829</t>
        </is>
      </c>
      <c r="C3833" s="3" t="inlineStr">
        <is>
          <t>TuckerRocky</t>
        </is>
      </c>
    </row>
    <row collapsed="false" customFormat="false" customHeight="false" hidden="false" ht="12.1" outlineLevel="0" r="3834">
      <c r="A3834" s="3" t="s">
        <f>=HYPERLINK("https://mp39851918.megaplan.ua/deals/107643/card/","18211")</f>
      </c>
      <c r="B3834" s="3" t="inlineStr">
        <is>
          <t>114-9238303-9437824</t>
        </is>
      </c>
      <c r="C3834" s="3" t="inlineStr">
        <is>
          <t>TuckerRocky</t>
        </is>
      </c>
    </row>
    <row collapsed="false" customFormat="false" customHeight="false" hidden="false" ht="12.1" outlineLevel="0" r="3835">
      <c r="A3835" s="3" t="s">
        <f>=HYPERLINK("https://mp39851918.megaplan.ua/deals/107651/card/","18212")</f>
      </c>
      <c r="B3835" s="3" t="inlineStr">
        <is>
          <t>114-4923712-9520222</t>
        </is>
      </c>
      <c r="C3835" s="3" t="inlineStr">
        <is>
          <t>TuckerRocky</t>
        </is>
      </c>
    </row>
    <row collapsed="false" customFormat="false" customHeight="false" hidden="false" ht="12.1" outlineLevel="0" r="3836">
      <c r="A3836" s="3" t="s">
        <f>=HYPERLINK("https://mp39851918.megaplan.ua/deals/107659/card/","18213")</f>
      </c>
      <c r="B3836" s="3" t="inlineStr">
        <is>
          <t>111-0529033-5678640</t>
        </is>
      </c>
      <c r="C3836" s="3" t="inlineStr">
        <is>
          <t>TuckerRocky</t>
        </is>
      </c>
    </row>
    <row collapsed="false" customFormat="false" customHeight="false" hidden="false" ht="12.1" outlineLevel="0" r="3837">
      <c r="A3837" s="3" t="s">
        <f>=HYPERLINK("https://mp39851918.megaplan.ua/deals/107672/card/","18215")</f>
      </c>
      <c r="B3837" s="3" t="inlineStr">
        <is>
          <t>112-3028590-8706606</t>
        </is>
      </c>
      <c r="C3837" s="3" t="inlineStr">
        <is>
          <t>Autodist</t>
        </is>
      </c>
    </row>
    <row collapsed="false" customFormat="false" customHeight="false" hidden="false" ht="12.1" outlineLevel="0" r="3838">
      <c r="A3838" s="3" t="s">
        <f>=HYPERLINK("https://mp39851918.megaplan.ua/deals/107673/card/","18216")</f>
      </c>
      <c r="B3838" s="3" t="inlineStr">
        <is>
          <t>112-8699882-1915445</t>
        </is>
      </c>
      <c r="C3838" s="3" t="inlineStr">
        <is>
          <t>Autodist</t>
        </is>
      </c>
    </row>
    <row collapsed="false" customFormat="false" customHeight="false" hidden="false" ht="12.1" outlineLevel="0" r="3839">
      <c r="A3839" s="3" t="s">
        <f>=HYPERLINK("https://mp39851918.megaplan.ua/deals/107677/card/","18217")</f>
      </c>
      <c r="B3839" s="3" t="inlineStr">
        <is>
          <t>113-3234739-6757043</t>
        </is>
      </c>
      <c r="C3839" s="3" t="inlineStr">
        <is>
          <t>Autodist</t>
        </is>
      </c>
    </row>
    <row collapsed="false" customFormat="false" customHeight="false" hidden="false" ht="12.1" outlineLevel="0" r="3840">
      <c r="A3840" s="3" t="s">
        <f>=HYPERLINK("https://mp39851918.megaplan.ua/deals/107691/card/","18219")</f>
      </c>
      <c r="B3840" s="3" t="inlineStr">
        <is>
          <t>114-8999894-9790621</t>
        </is>
      </c>
      <c r="C3840" s="3" t="inlineStr">
        <is>
          <t>Autodist</t>
        </is>
      </c>
    </row>
    <row collapsed="false" customFormat="false" customHeight="false" hidden="false" ht="12.1" outlineLevel="0" r="3841">
      <c r="A3841" s="3" t="s">
        <f>=HYPERLINK("https://mp39851918.megaplan.ua/deals/107692/card/","18220")</f>
      </c>
      <c r="B3841" s="3" t="inlineStr">
        <is>
          <t>113-5492157-2469032</t>
        </is>
      </c>
      <c r="C3841" s="3" t="inlineStr">
        <is>
          <t>Autodist</t>
        </is>
      </c>
    </row>
    <row collapsed="false" customFormat="false" customHeight="false" hidden="false" ht="12.1" outlineLevel="0" r="3842">
      <c r="A3842" s="3" t="s">
        <f>=HYPERLINK("https://mp39851918.megaplan.ua/deals/107697/card/","18221")</f>
      </c>
      <c r="B3842" s="3" t="inlineStr">
        <is>
          <t>114-0467751-8407439</t>
        </is>
      </c>
      <c r="C3842" s="3" t="inlineStr">
        <is>
          <t>TuckerRocky</t>
        </is>
      </c>
    </row>
    <row collapsed="false" customFormat="false" customHeight="false" hidden="false" ht="12.1" outlineLevel="0" r="3843">
      <c r="A3843" s="3" t="s">
        <f>=HYPERLINK("https://mp39851918.megaplan.ua/deals/107700/card/","18222")</f>
      </c>
      <c r="B3843" s="3" t="inlineStr">
        <is>
          <t>111-0043390-8632219</t>
        </is>
      </c>
      <c r="C3843" s="3" t="inlineStr">
        <is>
          <t>TuckerRocky</t>
        </is>
      </c>
    </row>
    <row collapsed="false" customFormat="false" customHeight="false" hidden="false" ht="12.1" outlineLevel="0" r="3844">
      <c r="A3844" s="3" t="s">
        <f>=HYPERLINK("https://mp39851918.megaplan.ua/deals/107701/card/","18223")</f>
      </c>
      <c r="B3844" s="3" t="inlineStr">
        <is>
          <t>113-6184612-6723405</t>
        </is>
      </c>
      <c r="C3844" s="3" t="inlineStr">
        <is>
          <t>TuckerRocky</t>
        </is>
      </c>
    </row>
    <row collapsed="false" customFormat="false" customHeight="false" hidden="false" ht="12.1" outlineLevel="0" r="3845">
      <c r="A3845" s="3" t="s">
        <f>=HYPERLINK("https://mp39851918.megaplan.ua/deals/107713/card/","18224")</f>
      </c>
      <c r="B3845" s="3" t="inlineStr">
        <is>
          <t>112-7510216-4637036</t>
        </is>
      </c>
      <c r="C3845" s="3" t="inlineStr">
        <is>
          <t>TuckerRocky</t>
        </is>
      </c>
    </row>
    <row collapsed="false" customFormat="false" customHeight="false" hidden="false" ht="12.1" outlineLevel="0" r="3846">
      <c r="A3846" s="3" t="s">
        <f>=HYPERLINK("https://mp39851918.megaplan.ua/deals/107716/card/","18225")</f>
      </c>
      <c r="B3846" s="3" t="inlineStr">
        <is>
          <t>111-3458107-6545853</t>
        </is>
      </c>
      <c r="C3846" s="3" t="inlineStr">
        <is>
          <t>TuckerRocky</t>
        </is>
      </c>
    </row>
    <row collapsed="false" customFormat="false" customHeight="false" hidden="false" ht="12.1" outlineLevel="0" r="3847">
      <c r="A3847" s="3" t="s">
        <f>=HYPERLINK("https://mp39851918.megaplan.ua/deals/107717/card/","18226")</f>
      </c>
      <c r="B3847" s="3" t="inlineStr">
        <is>
          <t>111-7279327-2558601</t>
        </is>
      </c>
      <c r="C3847" s="3" t="inlineStr">
        <is>
          <t>TuckerRocky</t>
        </is>
      </c>
    </row>
    <row collapsed="false" customFormat="false" customHeight="false" hidden="false" ht="12.1" outlineLevel="0" r="3848">
      <c r="A3848" s="3" t="s">
        <f>=HYPERLINK("https://mp39851918.megaplan.ua/deals/107719/card/","18227")</f>
      </c>
      <c r="B3848" s="3" t="inlineStr">
        <is>
          <t>111-3054827-1499430</t>
        </is>
      </c>
      <c r="C3848" s="3" t="inlineStr">
        <is>
          <t>PartsUnlimited</t>
        </is>
      </c>
    </row>
    <row collapsed="false" customFormat="false" customHeight="false" hidden="false" ht="12.1" outlineLevel="0" r="3849">
      <c r="A3849" s="3" t="s">
        <f>=HYPERLINK("https://mp39851918.megaplan.ua/deals/107727/card/","18228")</f>
      </c>
      <c r="B3849" s="3" t="inlineStr">
        <is>
          <t>113-6297346-6977849</t>
        </is>
      </c>
      <c r="C3849" s="3" t="inlineStr">
        <is>
          <t>Autodist</t>
        </is>
      </c>
    </row>
    <row collapsed="false" customFormat="false" customHeight="false" hidden="false" ht="12.1" outlineLevel="0" r="3850">
      <c r="A3850" s="3" t="s">
        <f>=HYPERLINK("https://mp39851918.megaplan.ua/deals/107729/card/","18229")</f>
      </c>
      <c r="B3850" s="3" t="inlineStr">
        <is>
          <t>113-4980249-4276242</t>
        </is>
      </c>
      <c r="C3850" s="3" t="inlineStr">
        <is>
          <t>TuckerRocky</t>
        </is>
      </c>
    </row>
    <row collapsed="false" customFormat="false" customHeight="false" hidden="false" ht="12.1" outlineLevel="0" r="3851">
      <c r="A3851" s="3" t="s">
        <f>=HYPERLINK("https://mp39851918.megaplan.ua/deals/107731/card/","18230")</f>
      </c>
      <c r="B3851" s="3" t="inlineStr">
        <is>
          <t>114-8602142-9969819</t>
        </is>
      </c>
      <c r="C3851" s="3" t="inlineStr">
        <is>
          <t>TuckerRocky</t>
        </is>
      </c>
    </row>
    <row collapsed="false" customFormat="false" customHeight="false" hidden="false" ht="12.1" outlineLevel="0" r="3852">
      <c r="A3852" s="3" t="s">
        <f>=HYPERLINK("https://mp39851918.megaplan.ua/deals/107752/card/","18232")</f>
      </c>
      <c r="B3852" s="3" t="inlineStr">
        <is>
          <t>113-3187516-2380216</t>
        </is>
      </c>
      <c r="C3852" s="3" t="inlineStr">
        <is>
          <t>Autodist</t>
        </is>
      </c>
    </row>
    <row collapsed="false" customFormat="false" customHeight="false" hidden="false" ht="12.1" outlineLevel="0" r="3853">
      <c r="A3853" s="3" t="s">
        <f>=HYPERLINK("https://mp39851918.megaplan.ua/deals/107763/card/","18233")</f>
      </c>
      <c r="B3853" s="3" t="inlineStr">
        <is>
          <t>113-8332641-1102620</t>
        </is>
      </c>
      <c r="C3853" s="3" t="inlineStr">
        <is>
          <t>RockyMountain</t>
        </is>
      </c>
    </row>
    <row collapsed="false" customFormat="false" customHeight="false" hidden="false" ht="12.1" outlineLevel="0" r="3854">
      <c r="A3854" s="3" t="s">
        <f>=HYPERLINK("https://mp39851918.megaplan.ua/deals/107770/card/","18235")</f>
      </c>
      <c r="B3854" s="3" t="inlineStr">
        <is>
          <t>114-4861647-9915412</t>
        </is>
      </c>
      <c r="C3854" s="3" t="inlineStr">
        <is>
          <t>TuckerRocky</t>
        </is>
      </c>
    </row>
    <row collapsed="false" customFormat="false" customHeight="false" hidden="false" ht="12.1" outlineLevel="0" r="3855">
      <c r="A3855" s="3" t="s">
        <f>=HYPERLINK("https://mp39851918.megaplan.ua/deals/107772/card/","18236")</f>
      </c>
      <c r="B3855" s="3" t="inlineStr">
        <is>
          <t>113-4350414-4090627</t>
        </is>
      </c>
      <c r="C3855" s="3" t="inlineStr">
        <is>
          <t>Autodist</t>
        </is>
      </c>
    </row>
    <row collapsed="false" customFormat="false" customHeight="false" hidden="false" ht="12.1" outlineLevel="0" r="3856">
      <c r="A3856" s="3" t="s">
        <f>=HYPERLINK("https://mp39851918.megaplan.ua/deals/107775/card/","18237")</f>
      </c>
      <c r="B3856" s="3" t="inlineStr">
        <is>
          <t>113-9615513-1138660</t>
        </is>
      </c>
      <c r="C3856" s="3" t="inlineStr">
        <is>
          <t>TuckerRocky</t>
        </is>
      </c>
    </row>
    <row collapsed="false" customFormat="false" customHeight="false" hidden="false" ht="12.1" outlineLevel="0" r="3857">
      <c r="A3857" s="3" t="s">
        <f>=HYPERLINK("https://mp39851918.megaplan.ua/deals/107793/card/","18238")</f>
      </c>
      <c r="B3857" s="3" t="inlineStr">
        <is>
          <t>114-5133624-0277801</t>
        </is>
      </c>
      <c r="C3857" s="3" t="inlineStr">
        <is>
          <t>TuckerRocky</t>
        </is>
      </c>
    </row>
    <row collapsed="false" customFormat="false" customHeight="false" hidden="false" ht="12.1" outlineLevel="0" r="3858">
      <c r="A3858" s="3" t="s">
        <f>=HYPERLINK("https://mp39851918.megaplan.ua/deals/107799/card/","18239")</f>
      </c>
      <c r="B3858" s="3" t="inlineStr">
        <is>
          <t>112-6760275-0432222</t>
        </is>
      </c>
      <c r="C3858" s="3" t="inlineStr">
        <is>
          <t>PartsUnlimited</t>
        </is>
      </c>
    </row>
    <row collapsed="false" customFormat="false" customHeight="false" hidden="false" ht="12.1" outlineLevel="0" r="3859">
      <c r="A3859" s="3" t="s">
        <f>=HYPERLINK("https://mp39851918.megaplan.ua/deals/107800/card/","18240")</f>
      </c>
      <c r="B3859" s="3" t="inlineStr">
        <is>
          <t>113-6065267-6225049</t>
        </is>
      </c>
      <c r="C3859" s="3" t="inlineStr">
        <is>
          <t>TuckerRocky</t>
        </is>
      </c>
    </row>
    <row collapsed="false" customFormat="false" customHeight="false" hidden="false" ht="12.1" outlineLevel="0" r="3860">
      <c r="A3860" s="3" t="s">
        <f>=HYPERLINK("https://mp39851918.megaplan.ua/deals/107801/card/","18241")</f>
      </c>
      <c r="B3860" s="3" t="inlineStr">
        <is>
          <t>114-6979851-2444259</t>
        </is>
      </c>
      <c r="C3860" s="3" t="inlineStr">
        <is>
          <t>Autodist</t>
        </is>
      </c>
    </row>
    <row collapsed="false" customFormat="false" customHeight="false" hidden="false" ht="12.1" outlineLevel="0" r="3861">
      <c r="A3861" s="3" t="s">
        <f>=HYPERLINK("https://mp39851918.megaplan.ua/deals/107803/card/","18242")</f>
      </c>
      <c r="B3861" s="3" t="inlineStr">
        <is>
          <t>111-5424878-8266644</t>
        </is>
      </c>
      <c r="C3861" s="3" t="inlineStr">
        <is>
          <t>TuckerRocky</t>
        </is>
      </c>
    </row>
    <row collapsed="false" customFormat="false" customHeight="false" hidden="false" ht="12.1" outlineLevel="0" r="3862">
      <c r="A3862" s="3" t="s">
        <f>=HYPERLINK("https://mp39851918.megaplan.ua/deals/107811/card/","18243")</f>
      </c>
      <c r="B3862" s="3" t="inlineStr">
        <is>
          <t>112-0700746-8041012</t>
        </is>
      </c>
      <c r="C3862" s="3" t="inlineStr">
        <is>
          <t>TuckerRocky</t>
        </is>
      </c>
    </row>
    <row collapsed="false" customFormat="false" customHeight="false" hidden="false" ht="12.1" outlineLevel="0" r="3863">
      <c r="A3863" s="3" t="s">
        <f>=HYPERLINK("https://mp39851918.megaplan.ua/deals/107812/card/","18244")</f>
      </c>
      <c r="B3863" s="3" t="inlineStr">
        <is>
          <t>112-2964126-7366615</t>
        </is>
      </c>
      <c r="C3863" s="3" t="inlineStr">
        <is>
          <t>Autodist</t>
        </is>
      </c>
    </row>
    <row collapsed="false" customFormat="false" customHeight="false" hidden="false" ht="12.1" outlineLevel="0" r="3864">
      <c r="A3864" s="3" t="s">
        <f>=HYPERLINK("https://mp39851918.megaplan.ua/deals/107813/card/","18245")</f>
      </c>
      <c r="B3864" s="3" t="inlineStr">
        <is>
          <t>113-3242275-2281058</t>
        </is>
      </c>
      <c r="C3864" s="3" t="inlineStr">
        <is>
          <t>TuckerRocky</t>
        </is>
      </c>
    </row>
    <row collapsed="false" customFormat="false" customHeight="false" hidden="false" ht="12.1" outlineLevel="0" r="3865">
      <c r="A3865" s="3" t="s">
        <f>=HYPERLINK("https://mp39851918.megaplan.ua/deals/107824/card/","18247")</f>
      </c>
      <c r="B3865" s="3" t="inlineStr">
        <is>
          <t>111-8395858-0774634</t>
        </is>
      </c>
      <c r="C3865" s="3" t="inlineStr">
        <is>
          <t>Autodist</t>
        </is>
      </c>
    </row>
    <row collapsed="false" customFormat="false" customHeight="false" hidden="false" ht="12.1" outlineLevel="0" r="3866">
      <c r="A3866" s="3" t="s">
        <f>=HYPERLINK("https://mp39851918.megaplan.ua/deals/107828/card/","18249")</f>
      </c>
      <c r="B3866" s="3" t="inlineStr">
        <is>
          <t>111-3655645-8784233</t>
        </is>
      </c>
      <c r="C3866" s="3" t="inlineStr">
        <is>
          <t>TuckerRocky</t>
        </is>
      </c>
    </row>
    <row collapsed="false" customFormat="false" customHeight="false" hidden="false" ht="12.1" outlineLevel="0" r="3867">
      <c r="A3867" s="3" t="s">
        <f>=HYPERLINK("https://mp39851918.megaplan.ua/deals/107830/card/","18250")</f>
      </c>
      <c r="B3867" s="3" t="inlineStr">
        <is>
          <t>112-5671101-0032229</t>
        </is>
      </c>
      <c r="C3867" s="3" t="inlineStr">
        <is>
          <t>TuckerRocky</t>
        </is>
      </c>
    </row>
    <row collapsed="false" customFormat="false" customHeight="false" hidden="false" ht="12.1" outlineLevel="0" r="3868">
      <c r="A3868" s="3" t="s">
        <f>=HYPERLINK("https://mp39851918.megaplan.ua/deals/107832/card/","18251")</f>
      </c>
      <c r="B3868" s="3" t="inlineStr">
        <is>
          <t>114-9306086-2733851</t>
        </is>
      </c>
      <c r="C3868" s="3" t="inlineStr">
        <is>
          <t>TuckerRocky</t>
        </is>
      </c>
    </row>
    <row collapsed="false" customFormat="false" customHeight="false" hidden="false" ht="12.1" outlineLevel="0" r="3869">
      <c r="A3869" s="3" t="s">
        <f>=HYPERLINK("https://mp39851918.megaplan.ua/deals/107843/card/","18253")</f>
      </c>
      <c r="B3869" s="3" t="inlineStr">
        <is>
          <t>114-7561350-3726668</t>
        </is>
      </c>
      <c r="C3869" s="3" t="inlineStr">
        <is>
          <t>Autodist</t>
        </is>
      </c>
    </row>
    <row collapsed="false" customFormat="false" customHeight="false" hidden="false" ht="12.1" outlineLevel="0" r="3870">
      <c r="A3870" s="3" t="s">
        <f>=HYPERLINK("https://mp39851918.megaplan.ua/deals/107849/card/","18254")</f>
      </c>
      <c r="B3870" s="3" t="inlineStr">
        <is>
          <t>113-0686337-1889005</t>
        </is>
      </c>
      <c r="C3870" s="3" t="inlineStr">
        <is>
          <t>RockyMountain</t>
        </is>
      </c>
    </row>
    <row collapsed="false" customFormat="false" customHeight="false" hidden="false" ht="12.1" outlineLevel="0" r="3871">
      <c r="A3871" s="3" t="s">
        <f>=HYPERLINK("https://mp39851918.megaplan.ua/deals/107858/card/","18255")</f>
      </c>
      <c r="B3871" s="3" t="inlineStr">
        <is>
          <t>114-9340066-6385000</t>
        </is>
      </c>
      <c r="C3871" s="3" t="inlineStr">
        <is>
          <t>Autodist</t>
        </is>
      </c>
    </row>
    <row collapsed="false" customFormat="false" customHeight="false" hidden="false" ht="12.1" outlineLevel="0" r="3872">
      <c r="A3872" s="3" t="s">
        <f>=HYPERLINK("https://mp39851918.megaplan.ua/deals/107864/card/","18256")</f>
      </c>
      <c r="B3872" s="3" t="inlineStr">
        <is>
          <t>111-8247868-2257869</t>
        </is>
      </c>
      <c r="C3872" s="3" t="inlineStr">
        <is>
          <t>Autodist</t>
        </is>
      </c>
    </row>
    <row collapsed="false" customFormat="false" customHeight="false" hidden="false" ht="12.1" outlineLevel="0" r="3873">
      <c r="A3873" s="3" t="s">
        <f>=HYPERLINK("https://mp39851918.megaplan.ua/deals/107870/card/","18257")</f>
      </c>
      <c r="B3873" s="3" t="inlineStr">
        <is>
          <t>112-5763266-8941810</t>
        </is>
      </c>
      <c r="C3873" s="3" t="inlineStr">
        <is>
          <t>Autodist</t>
        </is>
      </c>
    </row>
    <row collapsed="false" customFormat="false" customHeight="false" hidden="false" ht="12.1" outlineLevel="0" r="3874">
      <c r="A3874" s="3" t="s">
        <f>=HYPERLINK("https://mp39851918.megaplan.ua/deals/107881/card/","18260")</f>
      </c>
      <c r="B3874" s="3" t="inlineStr">
        <is>
          <t>111-1351748-8586603</t>
        </is>
      </c>
      <c r="C3874" s="3" t="inlineStr">
        <is>
          <t>TuckerRocky</t>
        </is>
      </c>
    </row>
    <row collapsed="false" customFormat="false" customHeight="false" hidden="false" ht="12.1" outlineLevel="0" r="3875">
      <c r="A3875" s="3" t="s">
        <f>=HYPERLINK("https://mp39851918.megaplan.ua/deals/107883/card/","18261")</f>
      </c>
      <c r="B3875" s="3" t="inlineStr">
        <is>
          <t>112-5750097-5949007</t>
        </is>
      </c>
      <c r="C3875" s="3" t="inlineStr">
        <is>
          <t>Autodist</t>
        </is>
      </c>
    </row>
    <row collapsed="false" customFormat="false" customHeight="false" hidden="false" ht="12.1" outlineLevel="0" r="3876">
      <c r="A3876" s="3" t="s">
        <f>=HYPERLINK("https://mp39851918.megaplan.ua/deals/107884/card/","18262")</f>
      </c>
      <c r="B3876" s="3" t="inlineStr">
        <is>
          <t>114-1150868-9312269</t>
        </is>
      </c>
      <c r="C3876" s="3" t="inlineStr">
        <is>
          <t>TuckerRocky</t>
        </is>
      </c>
    </row>
    <row collapsed="false" customFormat="false" customHeight="false" hidden="false" ht="12.1" outlineLevel="0" r="3877">
      <c r="A3877" s="3" t="s">
        <f>=HYPERLINK("https://mp39851918.megaplan.ua/deals/107896/card/","18263")</f>
      </c>
      <c r="B3877" s="3" t="inlineStr">
        <is>
          <t>111-5755973-0510602</t>
        </is>
      </c>
      <c r="C3877" s="3" t="inlineStr">
        <is>
          <t>Autodist</t>
        </is>
      </c>
    </row>
    <row collapsed="false" customFormat="false" customHeight="false" hidden="false" ht="12.1" outlineLevel="0" r="3878">
      <c r="A3878" s="3" t="s">
        <f>=HYPERLINK("https://mp39851918.megaplan.ua/deals/107897/card/","18264")</f>
      </c>
      <c r="B3878" s="3" t="inlineStr">
        <is>
          <t>111-5899533-1429863</t>
        </is>
      </c>
      <c r="C3878" s="3" t="inlineStr">
        <is>
          <t>Autodist</t>
        </is>
      </c>
    </row>
    <row collapsed="false" customFormat="false" customHeight="false" hidden="false" ht="12.1" outlineLevel="0" r="3879">
      <c r="A3879" s="3" t="s">
        <f>=HYPERLINK("https://mp39851918.megaplan.ua/deals/107907/card/","18265")</f>
      </c>
      <c r="B3879" s="3" t="inlineStr">
        <is>
          <t>111-3392664-7945067</t>
        </is>
      </c>
      <c r="C3879" s="3" t="inlineStr">
        <is>
          <t>RockyMountain</t>
        </is>
      </c>
    </row>
    <row collapsed="false" customFormat="false" customHeight="false" hidden="false" ht="12.1" outlineLevel="0" r="3880">
      <c r="A3880" s="3" t="s">
        <f>=HYPERLINK("https://mp39851918.megaplan.ua/deals/107912/card/","18267")</f>
      </c>
      <c r="B3880" s="3" t="inlineStr">
        <is>
          <t>111-7245776-6999409</t>
        </is>
      </c>
      <c r="C3880" s="3" t="inlineStr">
        <is>
          <t>Autodist</t>
        </is>
      </c>
    </row>
    <row collapsed="false" customFormat="false" customHeight="false" hidden="false" ht="12.1" outlineLevel="0" r="3881">
      <c r="A3881" s="3" t="s">
        <f>=HYPERLINK("https://mp39851918.megaplan.ua/deals/107913/card/","18268")</f>
      </c>
      <c r="B3881" s="3" t="inlineStr">
        <is>
          <t>112-1653793-3973807</t>
        </is>
      </c>
      <c r="C3881" s="3" t="inlineStr">
        <is>
          <t>Autodist</t>
        </is>
      </c>
    </row>
    <row collapsed="false" customFormat="false" customHeight="false" hidden="false" ht="12.1" outlineLevel="0" r="3882">
      <c r="A3882" s="3" t="s">
        <f>=HYPERLINK("https://mp39851918.megaplan.ua/deals/107925/card/","18270")</f>
      </c>
      <c r="B3882" s="3" t="inlineStr">
        <is>
          <t>111-5433850-9656220</t>
        </is>
      </c>
      <c r="C3882" s="3" t="inlineStr">
        <is>
          <t>TuckerRocky</t>
        </is>
      </c>
    </row>
    <row collapsed="false" customFormat="false" customHeight="false" hidden="false" ht="12.1" outlineLevel="0" r="3883">
      <c r="A3883" s="3" t="s">
        <f>=HYPERLINK("https://mp39851918.megaplan.ua/deals/107933/card/","18271")</f>
      </c>
      <c r="B3883" s="3" t="inlineStr">
        <is>
          <t>112-2562220-4097021</t>
        </is>
      </c>
      <c r="C3883" s="3" t="inlineStr">
        <is>
          <t>TuckerRocky</t>
        </is>
      </c>
    </row>
    <row collapsed="false" customFormat="false" customHeight="false" hidden="false" ht="12.1" outlineLevel="0" r="3884">
      <c r="A3884" s="3" t="s">
        <f>=HYPERLINK("https://mp39851918.megaplan.ua/deals/107951/card/","18274")</f>
      </c>
      <c r="B3884" s="3" t="inlineStr">
        <is>
          <t>111-3864854-8645846</t>
        </is>
      </c>
      <c r="C3884" s="3" t="inlineStr">
        <is>
          <t>PartsUnlimited</t>
        </is>
      </c>
    </row>
    <row collapsed="false" customFormat="false" customHeight="false" hidden="false" ht="12.1" outlineLevel="0" r="3885">
      <c r="A3885" s="3" t="s">
        <f>=HYPERLINK("https://mp39851918.megaplan.ua/deals/107958/card/","18275")</f>
      </c>
      <c r="B3885" s="3" t="inlineStr">
        <is>
          <t>114-8347089-8843448</t>
        </is>
      </c>
      <c r="C3885" s="3" t="inlineStr">
        <is>
          <t>RockyMountain</t>
        </is>
      </c>
    </row>
    <row collapsed="false" customFormat="false" customHeight="false" hidden="false" ht="12.1" outlineLevel="0" r="3886">
      <c r="A3886" s="3" t="s">
        <f>=HYPERLINK("https://mp39851918.megaplan.ua/deals/107959/card/","18276")</f>
      </c>
      <c r="B3886" s="3" t="inlineStr">
        <is>
          <t>114-4124941-8057009</t>
        </is>
      </c>
      <c r="C3886" s="3" t="inlineStr">
        <is>
          <t>Autodist</t>
        </is>
      </c>
    </row>
    <row collapsed="false" customFormat="false" customHeight="false" hidden="false" ht="12.1" outlineLevel="0" r="3887">
      <c r="A3887" s="3" t="s">
        <f>=HYPERLINK("https://mp39851918.megaplan.ua/deals/107966/card/","18277")</f>
      </c>
      <c r="B3887" s="3" t="inlineStr">
        <is>
          <t>112-1006562-5664247</t>
        </is>
      </c>
      <c r="C3887" s="3" t="inlineStr">
        <is>
          <t>TuckerRocky</t>
        </is>
      </c>
    </row>
    <row collapsed="false" customFormat="false" customHeight="false" hidden="false" ht="12.1" outlineLevel="0" r="3888">
      <c r="A3888" s="3" t="s">
        <f>=HYPERLINK("https://mp39851918.megaplan.ua/deals/107977/card/","18278")</f>
      </c>
      <c r="B3888" s="3" t="inlineStr">
        <is>
          <t>113-9019363-5594652</t>
        </is>
      </c>
      <c r="C3888" s="3" t="inlineStr">
        <is>
          <t>PartsUnlimited</t>
        </is>
      </c>
    </row>
    <row collapsed="false" customFormat="false" customHeight="false" hidden="false" ht="12.1" outlineLevel="0" r="3889">
      <c r="A3889" s="3" t="s">
        <f>=HYPERLINK("https://mp39851918.megaplan.ua/deals/107978/card/","18279")</f>
      </c>
      <c r="B3889" s="3" t="inlineStr">
        <is>
          <t>111-8116046-1613014</t>
        </is>
      </c>
      <c r="C3889" s="3" t="inlineStr">
        <is>
          <t>RockyMountain</t>
        </is>
      </c>
    </row>
    <row collapsed="false" customFormat="false" customHeight="false" hidden="false" ht="12.1" outlineLevel="0" r="3890">
      <c r="A3890" s="3" t="s">
        <f>=HYPERLINK("https://mp39851918.megaplan.ua/deals/107982/card/","18280")</f>
      </c>
      <c r="B3890" s="3" t="inlineStr">
        <is>
          <t>111-5376247-4971454</t>
        </is>
      </c>
      <c r="C3890" s="3" t="inlineStr">
        <is>
          <t>TuckerRocky</t>
        </is>
      </c>
    </row>
    <row collapsed="false" customFormat="false" customHeight="false" hidden="false" ht="12.1" outlineLevel="0" r="3891">
      <c r="A3891" s="3" t="s">
        <f>=HYPERLINK("https://mp39851918.megaplan.ua/deals/107988/card/","18282")</f>
      </c>
      <c r="B3891" s="3" t="inlineStr">
        <is>
          <t>111-0037306-0532268</t>
        </is>
      </c>
      <c r="C3891" s="3" t="inlineStr">
        <is>
          <t>RockyMountain</t>
        </is>
      </c>
    </row>
    <row collapsed="false" customFormat="false" customHeight="false" hidden="false" ht="12.1" outlineLevel="0" r="3892">
      <c r="A3892" s="3" t="s">
        <f>=HYPERLINK("https://mp39851918.megaplan.ua/deals/107999/card/","18283")</f>
      </c>
      <c r="B3892" s="3" t="inlineStr">
        <is>
          <t>114-4627994-2153021</t>
        </is>
      </c>
      <c r="C3892" s="3" t="inlineStr">
        <is>
          <t>Autodist</t>
        </is>
      </c>
    </row>
    <row collapsed="false" customFormat="false" customHeight="false" hidden="false" ht="12.1" outlineLevel="0" r="3893">
      <c r="A3893" s="3" t="s">
        <f>=HYPERLINK("https://mp39851918.megaplan.ua/deals/108016/card/","18284")</f>
      </c>
      <c r="B3893" s="3" t="inlineStr">
        <is>
          <t>112-7197826-7105866</t>
        </is>
      </c>
      <c r="C3893" s="3" t="inlineStr">
        <is>
          <t>TuckerRocky</t>
        </is>
      </c>
    </row>
    <row collapsed="false" customFormat="false" customHeight="false" hidden="false" ht="12.1" outlineLevel="0" r="3894">
      <c r="A3894" s="3" t="s">
        <f>=HYPERLINK("https://mp39851918.megaplan.ua/deals/108024/card/","18285")</f>
      </c>
      <c r="B3894" s="3" t="inlineStr">
        <is>
          <t>113-9371335-3440226</t>
        </is>
      </c>
      <c r="C3894" s="3" t="inlineStr">
        <is>
          <t>RockyMountain</t>
        </is>
      </c>
    </row>
    <row collapsed="false" customFormat="false" customHeight="false" hidden="false" ht="12.1" outlineLevel="0" r="3895">
      <c r="A3895" s="3" t="s">
        <f>=HYPERLINK("https://mp39851918.megaplan.ua/deals/108029/card/","18286")</f>
      </c>
      <c r="B3895" s="3" t="inlineStr">
        <is>
          <t>114-7170293-9022639</t>
        </is>
      </c>
      <c r="C3895" s="3" t="inlineStr">
        <is>
          <t>RockyMountain</t>
        </is>
      </c>
    </row>
    <row collapsed="false" customFormat="false" customHeight="false" hidden="false" ht="12.1" outlineLevel="0" r="3896">
      <c r="A3896" s="3" t="s">
        <f>=HYPERLINK("https://mp39851918.megaplan.ua/deals/108045/card/","18287")</f>
      </c>
      <c r="B3896" s="3" t="inlineStr">
        <is>
          <t>113-1238092-9431422</t>
        </is>
      </c>
      <c r="C3896" s="3" t="inlineStr">
        <is>
          <t>RockyMountain</t>
        </is>
      </c>
    </row>
    <row collapsed="false" customFormat="false" customHeight="false" hidden="false" ht="12.1" outlineLevel="0" r="3897">
      <c r="A3897" s="3" t="s">
        <f>=HYPERLINK("https://mp39851918.megaplan.ua/deals/108049/card/","18288")</f>
      </c>
      <c r="B3897" s="3" t="inlineStr">
        <is>
          <t>114-0114690-8687417</t>
        </is>
      </c>
      <c r="C3897" s="3" t="inlineStr">
        <is>
          <t>RockyMountain</t>
        </is>
      </c>
    </row>
    <row collapsed="false" customFormat="false" customHeight="false" hidden="false" ht="12.1" outlineLevel="0" r="3898">
      <c r="A3898" s="3" t="s">
        <f>=HYPERLINK("https://mp39851918.megaplan.ua/deals/108051/card/","18289")</f>
      </c>
      <c r="B3898" s="3" t="inlineStr">
        <is>
          <t>111-6211070-0397831</t>
        </is>
      </c>
      <c r="C3898" s="3" t="inlineStr">
        <is>
          <t>TuckerRocky</t>
        </is>
      </c>
    </row>
    <row collapsed="false" customFormat="false" customHeight="false" hidden="false" ht="12.1" outlineLevel="0" r="3899">
      <c r="A3899" s="3" t="s">
        <f>=HYPERLINK("https://mp39851918.megaplan.ua/deals/108052/card/","18290")</f>
      </c>
      <c r="B3899" s="3" t="inlineStr">
        <is>
          <t>114-5507303-9597800</t>
        </is>
      </c>
      <c r="C3899" s="3" t="inlineStr">
        <is>
          <t>PartsUnlimited</t>
        </is>
      </c>
    </row>
    <row collapsed="false" customFormat="false" customHeight="false" hidden="false" ht="12.1" outlineLevel="0" r="3900">
      <c r="A3900" s="3" t="s">
        <f>=HYPERLINK("https://mp39851918.megaplan.ua/deals/108065/card/","18293")</f>
      </c>
      <c r="B3900" s="3" t="inlineStr">
        <is>
          <t>112-8220617-3263454</t>
        </is>
      </c>
      <c r="C3900" s="3" t="inlineStr">
        <is>
          <t>PartsUnlimited</t>
        </is>
      </c>
    </row>
    <row collapsed="false" customFormat="false" customHeight="false" hidden="false" ht="12.1" outlineLevel="0" r="3901">
      <c r="A3901" s="3" t="s">
        <f>=HYPERLINK("https://mp39851918.megaplan.ua/deals/108067/card/","18294")</f>
      </c>
      <c r="B3901" s="3" t="inlineStr">
        <is>
          <t>114-7980279-7689864</t>
        </is>
      </c>
      <c r="C3901" s="3" t="inlineStr">
        <is>
          <t>TuckerRocky</t>
        </is>
      </c>
    </row>
    <row collapsed="false" customFormat="false" customHeight="false" hidden="false" ht="12.1" outlineLevel="0" r="3902">
      <c r="A3902" s="3" t="s">
        <f>=HYPERLINK("https://mp39851918.megaplan.ua/deals/108076/card/","18295")</f>
      </c>
      <c r="B3902" s="3" t="inlineStr">
        <is>
          <t>111-4483892-9557838</t>
        </is>
      </c>
      <c r="C3902" s="3" t="inlineStr">
        <is>
          <t>Autodist</t>
        </is>
      </c>
    </row>
    <row collapsed="false" customFormat="false" customHeight="false" hidden="false" ht="12.1" outlineLevel="0" r="3903">
      <c r="A3903" s="3" t="s">
        <f>=HYPERLINK("https://mp39851918.megaplan.ua/deals/108077/card/","18296")</f>
      </c>
      <c r="B3903" s="3" t="inlineStr">
        <is>
          <t>112-3680350-4929865</t>
        </is>
      </c>
      <c r="C3903" s="3" t="inlineStr">
        <is>
          <t>Autodist</t>
        </is>
      </c>
    </row>
    <row collapsed="false" customFormat="false" customHeight="false" hidden="false" ht="12.1" outlineLevel="0" r="3904">
      <c r="A3904" s="3" t="s">
        <f>=HYPERLINK("https://mp39851918.megaplan.ua/deals/108109/card/","18298")</f>
      </c>
      <c r="B3904" s="3" t="inlineStr">
        <is>
          <t>111-3112882-8070609</t>
        </is>
      </c>
      <c r="C3904" s="3" t="inlineStr">
        <is>
          <t>PartsUnlimited</t>
        </is>
      </c>
    </row>
    <row collapsed="false" customFormat="false" customHeight="false" hidden="false" ht="12.1" outlineLevel="0" r="3905">
      <c r="A3905" s="3" t="s">
        <f>=HYPERLINK("https://mp39851918.megaplan.ua/deals/108111/card/","18299")</f>
      </c>
      <c r="B3905" s="3" t="inlineStr">
        <is>
          <t>113-9593873-2825814</t>
        </is>
      </c>
      <c r="C3905" s="3" t="inlineStr">
        <is>
          <t>RockyMountain</t>
        </is>
      </c>
    </row>
    <row collapsed="false" customFormat="false" customHeight="false" hidden="false" ht="12.1" outlineLevel="0" r="3906">
      <c r="A3906" s="3" t="s">
        <f>=HYPERLINK("https://mp39851918.megaplan.ua/deals/108112/card/","18300")</f>
      </c>
      <c r="B3906" s="3" t="inlineStr">
        <is>
          <t>112-3955832-6106621</t>
        </is>
      </c>
      <c r="C3906" s="3" t="inlineStr">
        <is>
          <t>Autodist</t>
        </is>
      </c>
    </row>
    <row collapsed="false" customFormat="false" customHeight="false" hidden="false" ht="12.1" outlineLevel="0" r="3907">
      <c r="A3907" s="3" t="s">
        <f>=HYPERLINK("https://mp39851918.megaplan.ua/deals/108118/card/","18301")</f>
      </c>
      <c r="B3907" s="3" t="inlineStr">
        <is>
          <t>111-4179292-7681048</t>
        </is>
      </c>
      <c r="C3907" s="3" t="inlineStr">
        <is>
          <t>TuckerRocky</t>
        </is>
      </c>
    </row>
    <row collapsed="false" customFormat="false" customHeight="false" hidden="false" ht="12.1" outlineLevel="0" r="3908">
      <c r="A3908" s="3" t="s">
        <f>=HYPERLINK("https://mp39851918.megaplan.ua/deals/108120/card/","18302")</f>
      </c>
      <c r="B3908" s="3" t="inlineStr">
        <is>
          <t>111-8460764-3849852</t>
        </is>
      </c>
      <c r="C3908" s="3" t="inlineStr">
        <is>
          <t>TuckerRocky</t>
        </is>
      </c>
    </row>
    <row collapsed="false" customFormat="false" customHeight="false" hidden="false" ht="12.1" outlineLevel="0" r="3909">
      <c r="A3909" s="3" t="s">
        <f>=HYPERLINK("https://mp39851918.megaplan.ua/deals/108141/card/","18306")</f>
      </c>
      <c r="B3909" s="3" t="inlineStr">
        <is>
          <t>113-1363696-8661806</t>
        </is>
      </c>
      <c r="C3909" s="3" t="inlineStr">
        <is>
          <t>TuckerRocky</t>
        </is>
      </c>
    </row>
    <row collapsed="false" customFormat="false" customHeight="false" hidden="false" ht="12.1" outlineLevel="0" r="3910">
      <c r="A3910" s="3" t="s">
        <f>=HYPERLINK("https://mp39851918.megaplan.ua/deals/108142/card/","18307")</f>
      </c>
      <c r="B3910" s="3" t="inlineStr">
        <is>
          <t>114-0926284-3426614</t>
        </is>
      </c>
      <c r="C3910" s="3" t="inlineStr">
        <is>
          <t>PartsUnlimited</t>
        </is>
      </c>
    </row>
    <row collapsed="false" customFormat="false" customHeight="false" hidden="false" ht="12.1" outlineLevel="0" r="3911">
      <c r="A3911" s="3" t="s">
        <f>=HYPERLINK("https://mp39851918.megaplan.ua/deals/108143/card/","18308")</f>
      </c>
      <c r="B3911" s="3" t="inlineStr">
        <is>
          <t>114-1227676-7605816</t>
        </is>
      </c>
      <c r="C3911" s="3" t="inlineStr">
        <is>
          <t>Autodist</t>
        </is>
      </c>
    </row>
    <row collapsed="false" customFormat="false" customHeight="false" hidden="false" ht="12.1" outlineLevel="0" r="3912">
      <c r="A3912" s="3" t="s">
        <f>=HYPERLINK("https://mp39851918.megaplan.ua/deals/108146/card/","18309")</f>
      </c>
      <c r="B3912" s="3" t="inlineStr">
        <is>
          <t>114-4971471-4264253</t>
        </is>
      </c>
      <c r="C3912" s="3" t="inlineStr">
        <is>
          <t>TuckerRocky</t>
        </is>
      </c>
    </row>
    <row collapsed="false" customFormat="false" customHeight="false" hidden="false" ht="12.1" outlineLevel="0" r="3913">
      <c r="A3913" s="3" t="s">
        <f>=HYPERLINK("https://mp39851918.megaplan.ua/deals/108147/card/","18310")</f>
      </c>
      <c r="B3913" s="3" t="inlineStr">
        <is>
          <t>114-8108883-6244260</t>
        </is>
      </c>
      <c r="C3913" s="3" t="inlineStr">
        <is>
          <t>TuckerRocky</t>
        </is>
      </c>
    </row>
    <row collapsed="false" customFormat="false" customHeight="false" hidden="false" ht="12.1" outlineLevel="0" r="3914">
      <c r="A3914" s="3" t="s">
        <f>=HYPERLINK("https://mp39851918.megaplan.ua/deals/108155/card/","18311")</f>
      </c>
      <c r="B3914" s="3" t="inlineStr">
        <is>
          <t>114-5469545-3507459</t>
        </is>
      </c>
      <c r="C3914" s="3" t="inlineStr">
        <is>
          <t>PartsUnlimited</t>
        </is>
      </c>
    </row>
    <row collapsed="false" customFormat="false" customHeight="false" hidden="false" ht="12.1" outlineLevel="0" r="3915">
      <c r="A3915" s="3" t="s">
        <f>=HYPERLINK("https://mp39851918.megaplan.ua/deals/108156/card/","18312")</f>
      </c>
      <c r="B3915" s="3" t="inlineStr">
        <is>
          <t>114-0541021-9761813</t>
        </is>
      </c>
      <c r="C3915" s="3" t="inlineStr">
        <is>
          <t>RockyMountain</t>
        </is>
      </c>
    </row>
    <row collapsed="false" customFormat="false" customHeight="false" hidden="false" ht="12.1" outlineLevel="0" r="3916">
      <c r="A3916" s="3" t="s">
        <f>=HYPERLINK("https://mp39851918.megaplan.ua/deals/108157/card/","18313")</f>
      </c>
      <c r="B3916" s="3" t="inlineStr">
        <is>
          <t>114-8511952-8166620</t>
        </is>
      </c>
      <c r="C3916" s="3" t="inlineStr">
        <is>
          <t>Autodist</t>
        </is>
      </c>
    </row>
    <row collapsed="false" customFormat="false" customHeight="false" hidden="false" ht="12.1" outlineLevel="0" r="3917">
      <c r="A3917" s="3" t="s">
        <f>=HYPERLINK("https://mp39851918.megaplan.ua/deals/108170/card/","18316")</f>
      </c>
      <c r="B3917" s="3" t="inlineStr">
        <is>
          <t>111-1201660-5727460</t>
        </is>
      </c>
      <c r="C3917" s="3" t="inlineStr">
        <is>
          <t>TuckerRocky</t>
        </is>
      </c>
    </row>
    <row collapsed="false" customFormat="false" customHeight="false" hidden="false" ht="12.1" outlineLevel="0" r="3918">
      <c r="A3918" s="3" t="s">
        <f>=HYPERLINK("https://mp39851918.megaplan.ua/deals/108173/card/","18317")</f>
      </c>
      <c r="B3918" s="3" t="inlineStr">
        <is>
          <t>114-9502706-5701869</t>
        </is>
      </c>
      <c r="C3918" s="3" t="inlineStr">
        <is>
          <t>PartsUnlimited</t>
        </is>
      </c>
    </row>
    <row collapsed="false" customFormat="false" customHeight="false" hidden="false" ht="12.1" outlineLevel="0" r="3919">
      <c r="A3919" s="3" t="s">
        <f>=HYPERLINK("https://mp39851918.megaplan.ua/deals/108174/card/","18318")</f>
      </c>
      <c r="B3919" s="3" t="inlineStr">
        <is>
          <t>114-0187942-0834647</t>
        </is>
      </c>
      <c r="C3919" s="3" t="inlineStr">
        <is>
          <t>TuckerRocky</t>
        </is>
      </c>
    </row>
    <row collapsed="false" customFormat="false" customHeight="false" hidden="false" ht="12.1" outlineLevel="0" r="3920">
      <c r="A3920" s="3" t="s">
        <f>=HYPERLINK("https://mp39851918.megaplan.ua/deals/108195/card/","18320")</f>
      </c>
      <c r="B3920" s="3" t="inlineStr">
        <is>
          <t>111-3524157-4891412</t>
        </is>
      </c>
      <c r="C3920" s="3" t="inlineStr">
        <is>
          <t>Autodist</t>
        </is>
      </c>
    </row>
    <row collapsed="false" customFormat="false" customHeight="false" hidden="false" ht="12.1" outlineLevel="0" r="3921">
      <c r="A3921" s="3" t="s">
        <f>=HYPERLINK("https://mp39851918.megaplan.ua/deals/108197/card/","18321")</f>
      </c>
      <c r="B3921" s="3" t="inlineStr">
        <is>
          <t>113-0122137-9789877</t>
        </is>
      </c>
      <c r="C3921" s="3" t="inlineStr">
        <is>
          <t>Autodist</t>
        </is>
      </c>
    </row>
    <row collapsed="false" customFormat="false" customHeight="false" hidden="false" ht="12.1" outlineLevel="0" r="3922">
      <c r="A3922" s="3" t="s">
        <f>=HYPERLINK("https://mp39851918.megaplan.ua/deals/108199/card/","18322")</f>
      </c>
      <c r="B3922" s="3" t="inlineStr">
        <is>
          <t>113-1201622-9747457</t>
        </is>
      </c>
      <c r="C3922" s="3" t="inlineStr">
        <is>
          <t>Autodist</t>
        </is>
      </c>
    </row>
    <row collapsed="false" customFormat="false" customHeight="false" hidden="false" ht="12.1" outlineLevel="0" r="3923">
      <c r="A3923" s="3" t="s">
        <f>=HYPERLINK("https://mp39851918.megaplan.ua/deals/108205/card/","18323")</f>
      </c>
      <c r="B3923" s="3" t="inlineStr">
        <is>
          <t>112-4831665-9623405</t>
        </is>
      </c>
      <c r="C3923" s="3" t="inlineStr">
        <is>
          <t>PartsUnlimited</t>
        </is>
      </c>
    </row>
    <row collapsed="false" customFormat="false" customHeight="false" hidden="false" ht="12.1" outlineLevel="0" r="3924">
      <c r="A3924" s="3" t="s">
        <f>=HYPERLINK("https://mp39851918.megaplan.ua/deals/108206/card/","18324")</f>
      </c>
      <c r="B3924" s="3" t="inlineStr">
        <is>
          <t>113-8534699-3677823</t>
        </is>
      </c>
      <c r="C3924" s="3" t="inlineStr">
        <is>
          <t>TuckerRocky</t>
        </is>
      </c>
    </row>
    <row collapsed="false" customFormat="false" customHeight="false" hidden="false" ht="12.1" outlineLevel="0" r="3925">
      <c r="A3925" s="3" t="s">
        <f>=HYPERLINK("https://mp39851918.megaplan.ua/deals/108208/card/","18325")</f>
      </c>
      <c r="B3925" s="3" t="inlineStr">
        <is>
          <t>114-9145121-5825043</t>
        </is>
      </c>
      <c r="C3925" s="3" t="inlineStr">
        <is>
          <t>TuckerRocky</t>
        </is>
      </c>
    </row>
    <row collapsed="false" customFormat="false" customHeight="false" hidden="false" ht="12.1" outlineLevel="0" r="3926">
      <c r="A3926" s="3" t="s">
        <f>=HYPERLINK("https://mp39851918.megaplan.ua/deals/108220/card/","18326")</f>
      </c>
      <c r="B3926" s="3" t="inlineStr">
        <is>
          <t>112-5338207-7857064</t>
        </is>
      </c>
      <c r="C3926" s="3" t="inlineStr">
        <is>
          <t>Autodist</t>
        </is>
      </c>
    </row>
    <row collapsed="false" customFormat="false" customHeight="false" hidden="false" ht="12.1" outlineLevel="0" r="3927">
      <c r="A3927" s="3" t="s">
        <f>=HYPERLINK("https://mp39851918.megaplan.ua/deals/108223/card/","18327")</f>
      </c>
      <c r="B3927" s="3" t="inlineStr">
        <is>
          <t>112-6853874-3285059</t>
        </is>
      </c>
      <c r="C3927" s="3" t="inlineStr">
        <is>
          <t>TuckerRocky</t>
        </is>
      </c>
    </row>
    <row collapsed="false" customFormat="false" customHeight="false" hidden="false" ht="12.1" outlineLevel="0" r="3928">
      <c r="A3928" s="3" t="s">
        <f>=HYPERLINK("https://mp39851918.megaplan.ua/deals/108224/card/","18328")</f>
      </c>
      <c r="B3928" s="3" t="inlineStr">
        <is>
          <t>113-9885457-3351444</t>
        </is>
      </c>
      <c r="C3928" s="3" t="inlineStr">
        <is>
          <t>Autodist</t>
        </is>
      </c>
    </row>
    <row collapsed="false" customFormat="false" customHeight="false" hidden="false" ht="12.1" outlineLevel="0" r="3929">
      <c r="A3929" s="3" t="s">
        <f>=HYPERLINK("https://mp39851918.megaplan.ua/deals/108225/card/","18329")</f>
      </c>
      <c r="B3929" s="3" t="inlineStr">
        <is>
          <t>111-5104677-5011465</t>
        </is>
      </c>
      <c r="C3929" s="3" t="inlineStr">
        <is>
          <t>PartsUnlimited</t>
        </is>
      </c>
    </row>
    <row collapsed="false" customFormat="false" customHeight="false" hidden="false" ht="12.1" outlineLevel="0" r="3930">
      <c r="A3930" s="3" t="s">
        <f>=HYPERLINK("https://mp39851918.megaplan.ua/deals/108231/card/","18330")</f>
      </c>
      <c r="B3930" s="3" t="inlineStr">
        <is>
          <t>111-2130590-1357868</t>
        </is>
      </c>
      <c r="C3930" s="3" t="inlineStr">
        <is>
          <t>Autodist</t>
        </is>
      </c>
    </row>
    <row collapsed="false" customFormat="false" customHeight="false" hidden="false" ht="12.1" outlineLevel="0" r="3931">
      <c r="A3931" s="3" t="s">
        <f>=HYPERLINK("https://mp39851918.megaplan.ua/deals/108232/card/","18331")</f>
      </c>
      <c r="B3931" s="3" t="inlineStr">
        <is>
          <t>114-7451609-2429824</t>
        </is>
      </c>
      <c r="C3931" s="3" t="inlineStr">
        <is>
          <t>TuckerRocky</t>
        </is>
      </c>
    </row>
    <row collapsed="false" customFormat="false" customHeight="false" hidden="false" ht="12.1" outlineLevel="0" r="3932">
      <c r="A3932" s="3" t="s">
        <f>=HYPERLINK("https://mp39851918.megaplan.ua/deals/108238/card/","18332")</f>
      </c>
      <c r="B3932" s="3" t="inlineStr">
        <is>
          <t>112-7111516-9621022</t>
        </is>
      </c>
      <c r="C3932" s="3" t="inlineStr">
        <is>
          <t>TuckerRocky</t>
        </is>
      </c>
    </row>
    <row collapsed="false" customFormat="false" customHeight="false" hidden="false" ht="12.1" outlineLevel="0" r="3933">
      <c r="A3933" s="3" t="s">
        <f>=HYPERLINK("https://mp39851918.megaplan.ua/deals/108242/card/","18333")</f>
      </c>
      <c r="B3933" s="3" t="inlineStr">
        <is>
          <t>112-0286620-9637837</t>
        </is>
      </c>
      <c r="C3933" s="3" t="inlineStr">
        <is>
          <t>RockyMountain</t>
        </is>
      </c>
    </row>
    <row collapsed="false" customFormat="false" customHeight="false" hidden="false" ht="12.1" outlineLevel="0" r="3934">
      <c r="A3934" s="3" t="s">
        <f>=HYPERLINK("https://mp39851918.megaplan.ua/deals/108243/card/","18334")</f>
      </c>
      <c r="B3934" s="3" t="inlineStr">
        <is>
          <t>114-6247376-9284251</t>
        </is>
      </c>
      <c r="C3934" s="3" t="inlineStr">
        <is>
          <t>TuckerRocky</t>
        </is>
      </c>
    </row>
    <row collapsed="false" customFormat="false" customHeight="false" hidden="false" ht="12.1" outlineLevel="0" r="3935">
      <c r="A3935" s="3" t="s">
        <f>=HYPERLINK("https://mp39851918.megaplan.ua/deals/108253/card/","18335")</f>
      </c>
      <c r="B3935" s="3" t="inlineStr">
        <is>
          <t>113-6200043-7205067</t>
        </is>
      </c>
      <c r="C3935" s="3" t="inlineStr">
        <is>
          <t>TuckerRocky</t>
        </is>
      </c>
    </row>
    <row collapsed="false" customFormat="false" customHeight="false" hidden="false" ht="12.1" outlineLevel="0" r="3936">
      <c r="A3936" s="3" t="s">
        <f>=HYPERLINK("https://mp39851918.megaplan.ua/deals/108254/card/","18336")</f>
      </c>
      <c r="B3936" s="3" t="inlineStr">
        <is>
          <t>111-7951553-5950625</t>
        </is>
      </c>
      <c r="C3936" s="3" t="inlineStr">
        <is>
          <t>RockyMountain</t>
        </is>
      </c>
    </row>
    <row collapsed="false" customFormat="false" customHeight="false" hidden="false" ht="12.1" outlineLevel="0" r="3937">
      <c r="A3937" s="3" t="s">
        <f>=HYPERLINK("https://mp39851918.megaplan.ua/deals/108276/card/","18339")</f>
      </c>
      <c r="B3937" s="3" t="inlineStr">
        <is>
          <t>111-7579973-1697853</t>
        </is>
      </c>
      <c r="C3937" s="3" t="inlineStr">
        <is>
          <t>TuckerRocky</t>
        </is>
      </c>
    </row>
    <row collapsed="false" customFormat="false" customHeight="false" hidden="false" ht="12.1" outlineLevel="0" r="3938">
      <c r="A3938" s="3" t="s">
        <f>=HYPERLINK("https://mp39851918.megaplan.ua/deals/108277/card/","18340")</f>
      </c>
      <c r="B3938" s="3" t="inlineStr">
        <is>
          <t>111-9729764-5077806</t>
        </is>
      </c>
      <c r="C3938" s="3" t="inlineStr">
        <is>
          <t>Autodist</t>
        </is>
      </c>
    </row>
    <row collapsed="false" customFormat="false" customHeight="false" hidden="false" ht="12.1" outlineLevel="0" r="3939">
      <c r="A3939" s="3" t="s">
        <f>=HYPERLINK("https://mp39851918.megaplan.ua/deals/108280/card/","18342")</f>
      </c>
      <c r="B3939" s="3" t="inlineStr">
        <is>
          <t>111-0314541-4643401</t>
        </is>
      </c>
      <c r="C3939" s="3" t="inlineStr">
        <is>
          <t>TuckerRocky</t>
        </is>
      </c>
    </row>
    <row collapsed="false" customFormat="false" customHeight="false" hidden="false" ht="12.1" outlineLevel="0" r="3940">
      <c r="A3940" s="3" t="s">
        <f>=HYPERLINK("https://mp39851918.megaplan.ua/deals/108281/card/","18343")</f>
      </c>
      <c r="B3940" s="3" t="inlineStr">
        <is>
          <t>113-6676168-6919450</t>
        </is>
      </c>
      <c r="C3940" s="3" t="inlineStr">
        <is>
          <t>PartsUnlimited</t>
        </is>
      </c>
    </row>
    <row collapsed="false" customFormat="false" customHeight="false" hidden="false" ht="12.1" outlineLevel="0" r="3941">
      <c r="A3941" s="3" t="s">
        <f>=HYPERLINK("https://mp39851918.megaplan.ua/deals/108283/card/","18344")</f>
      </c>
      <c r="B3941" s="3" t="inlineStr">
        <is>
          <t>112-0605991-3889857</t>
        </is>
      </c>
      <c r="C3941" s="3" t="inlineStr">
        <is>
          <t>RockyMountain</t>
        </is>
      </c>
    </row>
    <row collapsed="false" customFormat="false" customHeight="false" hidden="false" ht="12.1" outlineLevel="0" r="3942">
      <c r="A3942" s="3" t="s">
        <f>=HYPERLINK("https://mp39851918.megaplan.ua/deals/108303/card/","18346")</f>
      </c>
      <c r="B3942" s="3" t="inlineStr">
        <is>
          <t>114-9279415-0831443</t>
        </is>
      </c>
      <c r="C3942" s="3" t="inlineStr">
        <is>
          <t>Autodist</t>
        </is>
      </c>
    </row>
    <row collapsed="false" customFormat="false" customHeight="false" hidden="false" ht="12.1" outlineLevel="0" r="3943">
      <c r="A3943" s="3" t="s">
        <f>=HYPERLINK("https://mp39851918.megaplan.ua/deals/108310/card/","18349")</f>
      </c>
      <c r="B3943" s="3" t="inlineStr">
        <is>
          <t>113-0247560-9145076</t>
        </is>
      </c>
      <c r="C3943" s="3" t="inlineStr">
        <is>
          <t>Autodist</t>
        </is>
      </c>
    </row>
    <row collapsed="false" customFormat="false" customHeight="false" hidden="false" ht="12.1" outlineLevel="0" r="3944">
      <c r="A3944" s="3" t="s">
        <f>=HYPERLINK("https://mp39851918.megaplan.ua/deals/108311/card/","18350")</f>
      </c>
      <c r="B3944" s="3" t="inlineStr">
        <is>
          <t>114-0068855-2416223</t>
        </is>
      </c>
      <c r="C3944" s="3" t="inlineStr">
        <is>
          <t>Autodist</t>
        </is>
      </c>
    </row>
    <row collapsed="false" customFormat="false" customHeight="false" hidden="false" ht="12.1" outlineLevel="0" r="3945">
      <c r="A3945" s="3" t="s">
        <f>=HYPERLINK("https://mp39851918.megaplan.ua/deals/108312/card/","18351")</f>
      </c>
      <c r="B3945" s="3" t="inlineStr">
        <is>
          <t>114-2368267-5072253</t>
        </is>
      </c>
      <c r="C3945" s="3" t="inlineStr">
        <is>
          <t>Autodist</t>
        </is>
      </c>
    </row>
    <row collapsed="false" customFormat="false" customHeight="false" hidden="false" ht="12.1" outlineLevel="0" r="3946">
      <c r="A3946" s="3" t="s">
        <f>=HYPERLINK("https://mp39851918.megaplan.ua/deals/108317/card/","18353")</f>
      </c>
      <c r="B3946" s="3" t="inlineStr">
        <is>
          <t>113-1851095-5997033</t>
        </is>
      </c>
      <c r="C3946" s="3" t="inlineStr">
        <is>
          <t>TuckerRocky</t>
        </is>
      </c>
    </row>
    <row collapsed="false" customFormat="false" customHeight="false" hidden="false" ht="12.1" outlineLevel="0" r="3947">
      <c r="A3947" s="3" t="s">
        <f>=HYPERLINK("https://mp39851918.megaplan.ua/deals/108322/card/","18354")</f>
      </c>
      <c r="B3947" s="3" t="inlineStr">
        <is>
          <t>111-5452307-6001028</t>
        </is>
      </c>
      <c r="C3947" s="3" t="inlineStr">
        <is>
          <t>PartsUnlimited</t>
        </is>
      </c>
    </row>
    <row collapsed="false" customFormat="false" customHeight="false" hidden="false" ht="12.1" outlineLevel="0" r="3948">
      <c r="A3948" s="3" t="s">
        <f>=HYPERLINK("https://mp39851918.megaplan.ua/deals/108323/card/","18355")</f>
      </c>
      <c r="B3948" s="3" t="inlineStr">
        <is>
          <t>113-0876530-6972204</t>
        </is>
      </c>
      <c r="C3948" s="3" t="inlineStr">
        <is>
          <t>RockyMountain</t>
        </is>
      </c>
    </row>
    <row collapsed="false" customFormat="false" customHeight="false" hidden="false" ht="12.1" outlineLevel="0" r="3949">
      <c r="A3949" s="3" t="s">
        <f>=HYPERLINK("https://mp39851918.megaplan.ua/deals/108338/card/","18357")</f>
      </c>
      <c r="B3949" s="3" t="inlineStr">
        <is>
          <t>112-3638599-7698657</t>
        </is>
      </c>
      <c r="C3949" s="3" t="inlineStr">
        <is>
          <t>RockyMountain</t>
        </is>
      </c>
    </row>
    <row collapsed="false" customFormat="false" customHeight="false" hidden="false" ht="12.1" outlineLevel="0" r="3950">
      <c r="A3950" s="3" t="s">
        <f>=HYPERLINK("https://mp39851918.megaplan.ua/deals/108341/card/","18359")</f>
      </c>
      <c r="B3950" s="3" t="inlineStr">
        <is>
          <t>114-0275057-6641077</t>
        </is>
      </c>
      <c r="C3950" s="3" t="inlineStr">
        <is>
          <t>RockyMountain</t>
        </is>
      </c>
    </row>
    <row collapsed="false" customFormat="false" customHeight="false" hidden="false" ht="12.1" outlineLevel="0" r="3951">
      <c r="A3951" s="3" t="s">
        <f>=HYPERLINK("https://mp39851918.megaplan.ua/deals/108342/card/","18360")</f>
      </c>
      <c r="B3951" s="3" t="inlineStr">
        <is>
          <t>113-8450533-7973045</t>
        </is>
      </c>
      <c r="C3951" s="3" t="inlineStr">
        <is>
          <t>PartsUnlimited</t>
        </is>
      </c>
    </row>
    <row collapsed="false" customFormat="false" customHeight="false" hidden="false" ht="12.1" outlineLevel="0" r="3952">
      <c r="A3952" s="3" t="s">
        <f>=HYPERLINK("https://mp39851918.megaplan.ua/deals/108343/card/","18361")</f>
      </c>
      <c r="B3952" s="3" t="inlineStr">
        <is>
          <t>113-8160195-1932203</t>
        </is>
      </c>
      <c r="C3952" s="3" t="inlineStr">
        <is>
          <t>RockyMountain</t>
        </is>
      </c>
    </row>
    <row collapsed="false" customFormat="false" customHeight="false" hidden="false" ht="12.1" outlineLevel="0" r="3953">
      <c r="A3953" s="3" t="s">
        <f>=HYPERLINK("https://mp39851918.megaplan.ua/deals/108348/card/","18363")</f>
      </c>
      <c r="B3953" s="3" t="inlineStr">
        <is>
          <t>112-0721483-4463438</t>
        </is>
      </c>
      <c r="C3953" s="3" t="inlineStr">
        <is>
          <t>RockyMountain</t>
        </is>
      </c>
    </row>
    <row collapsed="false" customFormat="false" customHeight="false" hidden="false" ht="12.1" outlineLevel="0" r="3954">
      <c r="A3954" s="3" t="s">
        <f>=HYPERLINK("https://mp39851918.megaplan.ua/deals/108358/card/","18366")</f>
      </c>
      <c r="B3954" s="3" t="inlineStr">
        <is>
          <t>114-5745015-2593034</t>
        </is>
      </c>
      <c r="C3954" s="3" t="inlineStr">
        <is>
          <t>Autodist</t>
        </is>
      </c>
    </row>
    <row collapsed="false" customFormat="false" customHeight="false" hidden="false" ht="12.1" outlineLevel="0" r="3955">
      <c r="A3955" s="3" t="s">
        <f>=HYPERLINK("https://mp39851918.megaplan.ua/deals/108359/card/","18367")</f>
      </c>
      <c r="B3955" s="3" t="inlineStr">
        <is>
          <t>111-6772338-9669064</t>
        </is>
      </c>
      <c r="C3955" s="3" t="inlineStr">
        <is>
          <t>RockyMountain</t>
        </is>
      </c>
    </row>
    <row collapsed="false" customFormat="false" customHeight="false" hidden="false" ht="12.1" outlineLevel="0" r="3956">
      <c r="A3956" s="3" t="s">
        <f>=HYPERLINK("https://mp39851918.megaplan.ua/deals/108363/card/","18368")</f>
      </c>
      <c r="B3956" s="3" t="inlineStr">
        <is>
          <t>112-3900891-6657024</t>
        </is>
      </c>
      <c r="C3956" s="3" t="inlineStr">
        <is>
          <t>PartsUnlimited</t>
        </is>
      </c>
    </row>
    <row collapsed="false" customFormat="false" customHeight="false" hidden="false" ht="12.1" outlineLevel="0" r="3957">
      <c r="A3957" s="3" t="s">
        <f>=HYPERLINK("https://mp39851918.megaplan.ua/deals/108371/card/","18369")</f>
      </c>
      <c r="B3957" s="3" t="inlineStr">
        <is>
          <t>113-4266961-7027449</t>
        </is>
      </c>
      <c r="C3957" s="3" t="inlineStr">
        <is>
          <t>PartsUnlimited</t>
        </is>
      </c>
    </row>
    <row collapsed="false" customFormat="false" customHeight="false" hidden="false" ht="12.1" outlineLevel="0" r="3958">
      <c r="A3958" s="3" t="s">
        <f>=HYPERLINK("https://mp39851918.megaplan.ua/deals/108372/card/","18370")</f>
      </c>
      <c r="B3958" s="3" t="inlineStr">
        <is>
          <t>111-7298427-5745036</t>
        </is>
      </c>
      <c r="C3958" s="3" t="inlineStr">
        <is>
          <t>PartsUnlimited</t>
        </is>
      </c>
    </row>
    <row collapsed="false" customFormat="false" customHeight="false" hidden="false" ht="12.1" outlineLevel="0" r="3959">
      <c r="A3959" s="3" t="s">
        <f>=HYPERLINK("https://mp39851918.megaplan.ua/deals/108373/card/","18371")</f>
      </c>
      <c r="B3959" s="3" t="inlineStr">
        <is>
          <t>111-2118469-1091409</t>
        </is>
      </c>
      <c r="C3959" s="3" t="inlineStr">
        <is>
          <t>RockyMountain</t>
        </is>
      </c>
    </row>
    <row collapsed="false" customFormat="false" customHeight="false" hidden="false" ht="12.1" outlineLevel="0" r="3960">
      <c r="A3960" s="3" t="s">
        <f>=HYPERLINK("https://mp39851918.megaplan.ua/deals/108374/card/","18372")</f>
      </c>
      <c r="B3960" s="3" t="inlineStr">
        <is>
          <t>112-3831300-3632269</t>
        </is>
      </c>
      <c r="C3960" s="3" t="inlineStr">
        <is>
          <t>Autodist</t>
        </is>
      </c>
    </row>
    <row collapsed="false" customFormat="false" customHeight="false" hidden="false" ht="12.1" outlineLevel="0" r="3961">
      <c r="A3961" s="3" t="s">
        <f>=HYPERLINK("https://mp39851918.megaplan.ua/deals/108377/card/","18373")</f>
      </c>
      <c r="B3961" s="3" t="inlineStr">
        <is>
          <t>111-6541399-5480208</t>
        </is>
      </c>
      <c r="C3961" s="3" t="inlineStr">
        <is>
          <t>Autodist</t>
        </is>
      </c>
    </row>
    <row collapsed="false" customFormat="false" customHeight="false" hidden="false" ht="12.1" outlineLevel="0" r="3962">
      <c r="A3962" s="3" t="s">
        <f>=HYPERLINK("https://mp39851918.megaplan.ua/deals/108379/card/","18374")</f>
      </c>
      <c r="B3962" s="3" t="inlineStr">
        <is>
          <t>113-2184559-7311465</t>
        </is>
      </c>
      <c r="C3962" s="3" t="inlineStr">
        <is>
          <t>PartsUnlimited</t>
        </is>
      </c>
    </row>
    <row collapsed="false" customFormat="false" customHeight="false" hidden="false" ht="12.1" outlineLevel="0" r="3963">
      <c r="A3963" s="3" t="s">
        <f>=HYPERLINK("https://mp39851918.megaplan.ua/deals/108384/card/","18375")</f>
      </c>
      <c r="B3963" s="3" t="inlineStr">
        <is>
          <t>114-2213275-1678635</t>
        </is>
      </c>
      <c r="C3963" s="3" t="inlineStr">
        <is>
          <t>TuckerRocky</t>
        </is>
      </c>
    </row>
    <row collapsed="false" customFormat="false" customHeight="false" hidden="false" ht="12.1" outlineLevel="0" r="3964">
      <c r="A3964" s="3" t="s">
        <f>=HYPERLINK("https://mp39851918.megaplan.ua/deals/108386/card/","18376")</f>
      </c>
      <c r="B3964" s="3" t="inlineStr">
        <is>
          <t>112-9150822-6125840</t>
        </is>
      </c>
      <c r="C3964" s="3" t="inlineStr">
        <is>
          <t>TuckerRocky</t>
        </is>
      </c>
    </row>
    <row collapsed="false" customFormat="false" customHeight="false" hidden="false" ht="12.1" outlineLevel="0" r="3965">
      <c r="A3965" s="3" t="s">
        <f>=HYPERLINK("https://mp39851918.megaplan.ua/deals/108390/card/","18377")</f>
      </c>
      <c r="B3965" s="3" t="inlineStr">
        <is>
          <t>112-1929587-2637865</t>
        </is>
      </c>
      <c r="C3965" s="3" t="inlineStr">
        <is>
          <t>RockyMountain</t>
        </is>
      </c>
    </row>
    <row collapsed="false" customFormat="false" customHeight="false" hidden="false" ht="12.1" outlineLevel="0" r="3966">
      <c r="A3966" s="3" t="s">
        <f>=HYPERLINK("https://mp39851918.megaplan.ua/deals/108391/card/","18378")</f>
      </c>
      <c r="B3966" s="3" t="inlineStr">
        <is>
          <t>111-0680350-5629021</t>
        </is>
      </c>
      <c r="C3966" s="3" t="inlineStr">
        <is>
          <t>Autodist</t>
        </is>
      </c>
    </row>
    <row collapsed="false" customFormat="false" customHeight="false" hidden="false" ht="12.1" outlineLevel="0" r="3967">
      <c r="A3967" s="3" t="s">
        <f>=HYPERLINK("https://mp39851918.megaplan.ua/deals/108393/card/","18379")</f>
      </c>
      <c r="B3967" s="3" t="inlineStr">
        <is>
          <t>113-1916219-3321841</t>
        </is>
      </c>
      <c r="C3967" s="3" t="inlineStr">
        <is>
          <t>Autodist</t>
        </is>
      </c>
    </row>
    <row collapsed="false" customFormat="false" customHeight="false" hidden="false" ht="12.1" outlineLevel="0" r="3968">
      <c r="A3968" s="3" t="s">
        <f>=HYPERLINK("https://mp39851918.megaplan.ua/deals/108395/card/","18380")</f>
      </c>
      <c r="B3968" s="3" t="inlineStr">
        <is>
          <t>112-3935356-4168205</t>
        </is>
      </c>
      <c r="C3968" s="3" t="inlineStr">
        <is>
          <t>PartsUnlimited</t>
        </is>
      </c>
    </row>
    <row collapsed="false" customFormat="false" customHeight="false" hidden="false" ht="12.1" outlineLevel="0" r="3969">
      <c r="A3969" s="3" t="s">
        <f>=HYPERLINK("https://mp39851918.megaplan.ua/deals/108400/card/","18381")</f>
      </c>
      <c r="B3969" s="3" t="inlineStr">
        <is>
          <t>114-4308442-1555462</t>
        </is>
      </c>
      <c r="C3969" s="3" t="inlineStr">
        <is>
          <t>TuckerRocky</t>
        </is>
      </c>
    </row>
    <row collapsed="false" customFormat="false" customHeight="false" hidden="false" ht="12.1" outlineLevel="0" r="3970">
      <c r="A3970" s="3" t="s">
        <f>=HYPERLINK("https://mp39851918.megaplan.ua/deals/108405/card/","18382")</f>
      </c>
      <c r="B3970" s="3" t="inlineStr">
        <is>
          <t>112-0453920-0888236</t>
        </is>
      </c>
      <c r="C3970" s="3" t="inlineStr">
        <is>
          <t>TuckerRocky</t>
        </is>
      </c>
    </row>
    <row collapsed="false" customFormat="false" customHeight="false" hidden="false" ht="12.1" outlineLevel="0" r="3971">
      <c r="A3971" s="3" t="s">
        <f>=HYPERLINK("https://mp39851918.megaplan.ua/deals/108417/card/","18383")</f>
      </c>
      <c r="B3971" s="3" t="inlineStr">
        <is>
          <t>112-4591536-0945001</t>
        </is>
      </c>
      <c r="C3971" s="3" t="inlineStr">
        <is>
          <t>Autodist</t>
        </is>
      </c>
    </row>
    <row collapsed="false" customFormat="false" customHeight="false" hidden="false" ht="12.1" outlineLevel="0" r="3972">
      <c r="A3972" s="3" t="s">
        <f>=HYPERLINK("https://mp39851918.megaplan.ua/deals/108418/card/","18384")</f>
      </c>
      <c r="B3972" s="3" t="inlineStr">
        <is>
          <t>112-4724679-9732244</t>
        </is>
      </c>
      <c r="C3972" s="3" t="inlineStr">
        <is>
          <t>Autodist</t>
        </is>
      </c>
    </row>
    <row collapsed="false" customFormat="false" customHeight="false" hidden="false" ht="12.1" outlineLevel="0" r="3973">
      <c r="A3973" s="3" t="s">
        <f>=HYPERLINK("https://mp39851918.megaplan.ua/deals/108420/card/","18385")</f>
      </c>
      <c r="B3973" s="3" t="inlineStr">
        <is>
          <t>113-1648294-9314621</t>
        </is>
      </c>
      <c r="C3973" s="3" t="inlineStr">
        <is>
          <t>TuckerRocky</t>
        </is>
      </c>
    </row>
    <row collapsed="false" customFormat="false" customHeight="false" hidden="false" ht="12.1" outlineLevel="0" r="3974">
      <c r="A3974" s="3" t="s">
        <f>=HYPERLINK("https://mp39851918.megaplan.ua/deals/108423/card/","18386")</f>
      </c>
      <c r="B3974" s="3" t="inlineStr">
        <is>
          <t>112-5681059-3050661</t>
        </is>
      </c>
      <c r="C3974" s="3" t="inlineStr">
        <is>
          <t>Autodist</t>
        </is>
      </c>
    </row>
    <row collapsed="false" customFormat="false" customHeight="false" hidden="false" ht="12.1" outlineLevel="0" r="3975">
      <c r="A3975" s="3" t="s">
        <f>=HYPERLINK("https://mp39851918.megaplan.ua/deals/108425/card/","18387")</f>
      </c>
      <c r="B3975" s="3" t="inlineStr">
        <is>
          <t>114-5624349-1981806</t>
        </is>
      </c>
      <c r="C3975" s="3" t="inlineStr">
        <is>
          <t>Autodist</t>
        </is>
      </c>
    </row>
    <row collapsed="false" customFormat="false" customHeight="false" hidden="false" ht="12.1" outlineLevel="0" r="3976">
      <c r="A3976" s="3" t="s">
        <f>=HYPERLINK("https://mp39851918.megaplan.ua/deals/108426/card/","18388")</f>
      </c>
      <c r="B3976" s="3" t="inlineStr">
        <is>
          <t>111-1720454-5866601</t>
        </is>
      </c>
      <c r="C3976" s="3" t="inlineStr">
        <is>
          <t>Autodist</t>
        </is>
      </c>
    </row>
    <row collapsed="false" customFormat="false" customHeight="false" hidden="false" ht="12.1" outlineLevel="0" r="3977">
      <c r="A3977" s="3" t="s">
        <f>=HYPERLINK("https://mp39851918.megaplan.ua/deals/108429/card/","18389")</f>
      </c>
      <c r="B3977" s="3" t="inlineStr">
        <is>
          <t>114-1581151-4914661</t>
        </is>
      </c>
      <c r="C3977" s="3" t="inlineStr">
        <is>
          <t>TuckerRocky</t>
        </is>
      </c>
    </row>
    <row collapsed="false" customFormat="false" customHeight="false" hidden="false" ht="12.1" outlineLevel="0" r="3978">
      <c r="A3978" s="3" t="s">
        <f>=HYPERLINK("https://mp39851918.megaplan.ua/deals/108434/card/","18390")</f>
      </c>
      <c r="B3978" s="3" t="inlineStr">
        <is>
          <t>114-5780651-5899451</t>
        </is>
      </c>
      <c r="C3978" s="3" t="inlineStr">
        <is>
          <t>PartsUnlimited</t>
        </is>
      </c>
    </row>
    <row collapsed="false" customFormat="false" customHeight="false" hidden="false" ht="12.1" outlineLevel="0" r="3979">
      <c r="A3979" s="3" t="s">
        <f>=HYPERLINK("https://mp39851918.megaplan.ua/deals/108437/card/","18391")</f>
      </c>
      <c r="B3979" s="3" t="inlineStr">
        <is>
          <t>113-1497967-2211420</t>
        </is>
      </c>
      <c r="C3979" s="3" t="inlineStr">
        <is>
          <t>PartsUnlimited</t>
        </is>
      </c>
    </row>
    <row collapsed="false" customFormat="false" customHeight="false" hidden="false" ht="12.1" outlineLevel="0" r="3980">
      <c r="A3980" s="3" t="s">
        <f>=HYPERLINK("https://mp39851918.megaplan.ua/deals/108439/card/","18392")</f>
      </c>
      <c r="B3980" s="3" t="inlineStr">
        <is>
          <t>113-3211103-4065823</t>
        </is>
      </c>
      <c r="C3980" s="3" t="inlineStr">
        <is>
          <t>Autodist</t>
        </is>
      </c>
    </row>
    <row collapsed="false" customFormat="false" customHeight="false" hidden="false" ht="12.1" outlineLevel="0" r="3981">
      <c r="A3981" s="3" t="s">
        <f>=HYPERLINK("https://mp39851918.megaplan.ua/deals/108440/card/","18393")</f>
      </c>
      <c r="B3981" s="3" t="inlineStr">
        <is>
          <t>113-3211103-4065823</t>
        </is>
      </c>
      <c r="C3981" s="3" t="inlineStr">
        <is>
          <t>PartsUnlimited</t>
        </is>
      </c>
    </row>
    <row collapsed="false" customFormat="false" customHeight="false" hidden="false" ht="12.1" outlineLevel="0" r="3982">
      <c r="A3982" s="3" t="s">
        <f>=HYPERLINK("https://mp39851918.megaplan.ua/deals/108441/card/","18394")</f>
      </c>
      <c r="B3982" s="3" t="inlineStr">
        <is>
          <t>112-8467786-9530630</t>
        </is>
      </c>
      <c r="C3982" s="3" t="inlineStr">
        <is>
          <t>Autodist</t>
        </is>
      </c>
    </row>
    <row collapsed="false" customFormat="false" customHeight="false" hidden="false" ht="12.1" outlineLevel="0" r="3983">
      <c r="A3983" s="3" t="s">
        <f>=HYPERLINK("https://mp39851918.megaplan.ua/deals/108447/card/","18395")</f>
      </c>
      <c r="B3983" s="3" t="inlineStr">
        <is>
          <t>113-7652563-9765021</t>
        </is>
      </c>
      <c r="C3983" s="3" t="inlineStr">
        <is>
          <t>other</t>
        </is>
      </c>
    </row>
    <row collapsed="false" customFormat="false" customHeight="false" hidden="false" ht="12.1" outlineLevel="0" r="3984">
      <c r="A3984" s="3" t="s">
        <f>=HYPERLINK("https://mp39851918.megaplan.ua/deals/108463/card/","18397")</f>
      </c>
      <c r="B3984" s="3" t="inlineStr">
        <is>
          <t>113-7279040-0712224</t>
        </is>
      </c>
      <c r="C3984" s="3" t="inlineStr">
        <is>
          <t>PartsUnlimited</t>
        </is>
      </c>
    </row>
    <row collapsed="false" customFormat="false" customHeight="false" hidden="false" ht="12.1" outlineLevel="0" r="3985">
      <c r="A3985" s="3" t="s">
        <f>=HYPERLINK("https://mp39851918.megaplan.ua/deals/108485/card/","18401")</f>
      </c>
      <c r="B3985" s="3" t="inlineStr">
        <is>
          <t>112-3603948-7485061</t>
        </is>
      </c>
      <c r="C3985" s="3" t="inlineStr">
        <is>
          <t>TuckerRocky</t>
        </is>
      </c>
    </row>
    <row collapsed="false" customFormat="false" customHeight="false" hidden="false" ht="12.1" outlineLevel="0" r="3986">
      <c r="A3986" s="3" t="s">
        <f>=HYPERLINK("https://mp39851918.megaplan.ua/deals/108488/card/","18402")</f>
      </c>
      <c r="B3986" s="3" t="inlineStr">
        <is>
          <t>114-9137754-3865831</t>
        </is>
      </c>
      <c r="C3986" s="3" t="inlineStr">
        <is>
          <t>Autodist</t>
        </is>
      </c>
    </row>
    <row collapsed="false" customFormat="false" customHeight="false" hidden="false" ht="12.1" outlineLevel="0" r="3987">
      <c r="A3987" s="3" t="s">
        <f>=HYPERLINK("https://mp39851918.megaplan.ua/deals/108501/card/","18404")</f>
      </c>
      <c r="B3987" s="3" t="inlineStr">
        <is>
          <t>114-9087670-3065864</t>
        </is>
      </c>
      <c r="C3987" s="3" t="inlineStr">
        <is>
          <t>TuckerRocky</t>
        </is>
      </c>
    </row>
    <row collapsed="false" customFormat="false" customHeight="false" hidden="false" ht="12.1" outlineLevel="0" r="3988">
      <c r="A3988" s="3" t="s">
        <f>=HYPERLINK("https://mp39851918.megaplan.ua/deals/108525/card/","18405")</f>
      </c>
      <c r="B3988" s="3" t="inlineStr">
        <is>
          <t>112-8192661-9289037</t>
        </is>
      </c>
      <c r="C3988" s="3" t="inlineStr">
        <is>
          <t>Autodist</t>
        </is>
      </c>
    </row>
    <row collapsed="false" customFormat="false" customHeight="false" hidden="false" ht="12.1" outlineLevel="0" r="3989">
      <c r="A3989" s="3" t="s">
        <f>=HYPERLINK("https://mp39851918.megaplan.ua/deals/108532/card/","18406")</f>
      </c>
      <c r="B3989" s="3" t="inlineStr">
        <is>
          <t>111-2648362-9477048</t>
        </is>
      </c>
      <c r="C3989" s="3" t="inlineStr">
        <is>
          <t>RockyMountain</t>
        </is>
      </c>
    </row>
    <row collapsed="false" customFormat="false" customHeight="false" hidden="false" ht="12.1" outlineLevel="0" r="3990">
      <c r="A3990" s="3" t="s">
        <f>=HYPERLINK("https://mp39851918.megaplan.ua/deals/108533/card/","18407")</f>
      </c>
      <c r="B3990" s="3" t="inlineStr">
        <is>
          <t>111-0190190-0244220</t>
        </is>
      </c>
      <c r="C3990" s="3" t="inlineStr">
        <is>
          <t>Autodist</t>
        </is>
      </c>
    </row>
    <row collapsed="false" customFormat="false" customHeight="false" hidden="false" ht="12.1" outlineLevel="0" r="3991">
      <c r="A3991" s="3" t="s">
        <f>=HYPERLINK("https://mp39851918.megaplan.ua/deals/108537/card/","18408")</f>
      </c>
      <c r="B3991" s="3" t="inlineStr">
        <is>
          <t>114-4543981-1051413</t>
        </is>
      </c>
      <c r="C3991" s="3" t="inlineStr">
        <is>
          <t>TuckerRocky</t>
        </is>
      </c>
    </row>
    <row collapsed="false" customFormat="false" customHeight="false" hidden="false" ht="12.1" outlineLevel="0" r="3992">
      <c r="A3992" s="3" t="s">
        <f>=HYPERLINK("https://mp39851918.megaplan.ua/deals/108546/card/","18409")</f>
      </c>
      <c r="B3992" s="3" t="inlineStr">
        <is>
          <t>111-3993501-5199405</t>
        </is>
      </c>
      <c r="C3992" s="3" t="inlineStr">
        <is>
          <t>PartsUnlimited</t>
        </is>
      </c>
    </row>
    <row collapsed="false" customFormat="false" customHeight="false" hidden="false" ht="12.1" outlineLevel="0" r="3993">
      <c r="A3993" s="3" t="s">
        <f>=HYPERLINK("https://mp39851918.megaplan.ua/deals/108557/card/","18411")</f>
      </c>
      <c r="B3993" s="3" t="inlineStr">
        <is>
          <t>111-2684836-6788263</t>
        </is>
      </c>
      <c r="C3993" s="3" t="inlineStr">
        <is>
          <t>TuckerRocky</t>
        </is>
      </c>
    </row>
    <row collapsed="false" customFormat="false" customHeight="false" hidden="false" ht="12.1" outlineLevel="0" r="3994">
      <c r="A3994" s="3" t="s">
        <f>=HYPERLINK("https://mp39851918.megaplan.ua/deals/108568/card/","18413")</f>
      </c>
      <c r="B3994" s="3" t="inlineStr">
        <is>
          <t>112-0526855-9873812</t>
        </is>
      </c>
      <c r="C3994" s="3" t="inlineStr">
        <is>
          <t>RockyMountain</t>
        </is>
      </c>
    </row>
    <row collapsed="false" customFormat="false" customHeight="false" hidden="false" ht="12.1" outlineLevel="0" r="3995">
      <c r="A3995" s="3" t="s">
        <f>=HYPERLINK("https://mp39851918.megaplan.ua/deals/108575/card/","18414")</f>
      </c>
      <c r="B3995" s="3" t="inlineStr">
        <is>
          <t>112-4839383-3341866</t>
        </is>
      </c>
      <c r="C3995" s="3" t="inlineStr">
        <is>
          <t>Autodist</t>
        </is>
      </c>
    </row>
    <row collapsed="false" customFormat="false" customHeight="false" hidden="false" ht="12.1" outlineLevel="0" r="3996">
      <c r="A3996" s="3" t="s">
        <f>=HYPERLINK("https://mp39851918.megaplan.ua/deals/108576/card/","18415")</f>
      </c>
      <c r="B3996" s="3" t="inlineStr">
        <is>
          <t>114-9120609-8841801</t>
        </is>
      </c>
      <c r="C3996" s="3" t="inlineStr">
        <is>
          <t>Autodist</t>
        </is>
      </c>
    </row>
    <row collapsed="false" customFormat="false" customHeight="false" hidden="false" ht="12.1" outlineLevel="0" r="3997">
      <c r="A3997" s="3" t="s">
        <f>=HYPERLINK("https://mp39851918.megaplan.ua/deals/108581/card/","18416")</f>
      </c>
      <c r="B3997" s="3" t="inlineStr">
        <is>
          <t>112-9919880-8839444</t>
        </is>
      </c>
      <c r="C3997" s="3" t="inlineStr">
        <is>
          <t>PartsUnlimited</t>
        </is>
      </c>
    </row>
    <row collapsed="false" customFormat="false" customHeight="false" hidden="false" ht="12.1" outlineLevel="0" r="3998">
      <c r="A3998" s="3" t="s">
        <f>=HYPERLINK("https://mp39851918.megaplan.ua/deals/108593/card/","18417")</f>
      </c>
      <c r="B3998" s="3" t="inlineStr">
        <is>
          <t>113-1741877-1753830</t>
        </is>
      </c>
      <c r="C3998" s="3" t="inlineStr">
        <is>
          <t>Autodist</t>
        </is>
      </c>
    </row>
    <row collapsed="false" customFormat="false" customHeight="false" hidden="false" ht="12.1" outlineLevel="0" r="3999">
      <c r="A3999" s="3" t="s">
        <f>=HYPERLINK("https://mp39851918.megaplan.ua/deals/108596/card/","18418")</f>
      </c>
      <c r="B3999" s="3" t="inlineStr">
        <is>
          <t>112-1958030-3997041</t>
        </is>
      </c>
      <c r="C3999" s="3" t="inlineStr">
        <is>
          <t>TuckerRocky</t>
        </is>
      </c>
    </row>
    <row collapsed="false" customFormat="false" customHeight="false" hidden="false" ht="12.1" outlineLevel="0" r="4000">
      <c r="A4000" s="3" t="s">
        <f>=HYPERLINK("https://mp39851918.megaplan.ua/deals/108597/card/","18419")</f>
      </c>
      <c r="B4000" s="3" t="inlineStr">
        <is>
          <t>114-6194907-8739423</t>
        </is>
      </c>
      <c r="C4000" s="3" t="inlineStr">
        <is>
          <t>RockyMountain</t>
        </is>
      </c>
    </row>
    <row collapsed="false" customFormat="false" customHeight="false" hidden="false" ht="12.1" outlineLevel="0" r="4001">
      <c r="A4001" s="3" t="s">
        <f>=HYPERLINK("https://mp39851918.megaplan.ua/deals/108598/card/","18420")</f>
      </c>
      <c r="B4001" s="3" t="inlineStr">
        <is>
          <t>114-9657862-9852233</t>
        </is>
      </c>
      <c r="C4001" s="3" t="inlineStr">
        <is>
          <t>Autodist</t>
        </is>
      </c>
    </row>
    <row collapsed="false" customFormat="false" customHeight="false" hidden="false" ht="12.1" outlineLevel="0" r="4002">
      <c r="A4002" s="3" t="s">
        <f>=HYPERLINK("https://mp39851918.megaplan.ua/deals/108612/card/","18421")</f>
      </c>
      <c r="B4002" s="3" t="inlineStr">
        <is>
          <t>113-7801926-4645052</t>
        </is>
      </c>
      <c r="C4002" s="3" t="inlineStr">
        <is>
          <t>TuckerRocky</t>
        </is>
      </c>
    </row>
    <row collapsed="false" customFormat="false" customHeight="false" hidden="false" ht="12.1" outlineLevel="0" r="4003">
      <c r="A4003" s="3" t="s">
        <f>=HYPERLINK("https://mp39851918.megaplan.ua/deals/108613/card/","18422")</f>
      </c>
      <c r="B4003" s="3" t="inlineStr">
        <is>
          <t>113-1955911-6009045</t>
        </is>
      </c>
      <c r="C4003" s="3" t="inlineStr">
        <is>
          <t>TuckerRocky</t>
        </is>
      </c>
    </row>
    <row collapsed="false" customFormat="false" customHeight="false" hidden="false" ht="12.1" outlineLevel="0" r="4004">
      <c r="A4004" s="3" t="s">
        <f>=HYPERLINK("https://mp39851918.megaplan.ua/deals/108614/card/","18423")</f>
      </c>
      <c r="B4004" s="3" t="inlineStr">
        <is>
          <t>113-0762881-4552241</t>
        </is>
      </c>
      <c r="C4004" s="3" t="inlineStr">
        <is>
          <t>TuckerRocky</t>
        </is>
      </c>
    </row>
    <row collapsed="false" customFormat="false" customHeight="false" hidden="false" ht="12.1" outlineLevel="0" r="4005">
      <c r="A4005" s="3" t="s">
        <f>=HYPERLINK("https://mp39851918.megaplan.ua/deals/108616/card/","18424")</f>
      </c>
      <c r="B4005" s="3" t="inlineStr">
        <is>
          <t>113-8684612-8137062</t>
        </is>
      </c>
      <c r="C4005" s="3" t="inlineStr">
        <is>
          <t>Autodist</t>
        </is>
      </c>
    </row>
    <row collapsed="false" customFormat="false" customHeight="false" hidden="false" ht="12.1" outlineLevel="0" r="4006">
      <c r="A4006" s="3" t="s">
        <f>=HYPERLINK("https://mp39851918.megaplan.ua/deals/108617/card/","18425")</f>
      </c>
      <c r="B4006" s="3" t="inlineStr">
        <is>
          <t>113-8264999-7402640</t>
        </is>
      </c>
      <c r="C4006" s="3" t="inlineStr">
        <is>
          <t>TuckerRocky</t>
        </is>
      </c>
    </row>
    <row collapsed="false" customFormat="false" customHeight="false" hidden="false" ht="12.1" outlineLevel="0" r="4007">
      <c r="A4007" s="3" t="s">
        <f>=HYPERLINK("https://mp39851918.megaplan.ua/deals/108632/card/","18428")</f>
      </c>
      <c r="B4007" s="3" t="inlineStr">
        <is>
          <t>114-2312323-7118649</t>
        </is>
      </c>
      <c r="C4007" s="3" t="inlineStr">
        <is>
          <t>PartsUnlimited</t>
        </is>
      </c>
    </row>
    <row collapsed="false" customFormat="false" customHeight="false" hidden="false" ht="12.1" outlineLevel="0" r="4008">
      <c r="A4008" s="3" t="s">
        <f>=HYPERLINK("https://mp39851918.megaplan.ua/deals/108635/card/","18429")</f>
      </c>
      <c r="B4008" s="3" t="inlineStr">
        <is>
          <t>114-7261726-8585824</t>
        </is>
      </c>
      <c r="C4008" s="3" t="inlineStr">
        <is>
          <t>TuckerRocky</t>
        </is>
      </c>
    </row>
    <row collapsed="false" customFormat="false" customHeight="false" hidden="false" ht="12.1" outlineLevel="0" r="4009">
      <c r="A4009" s="3" t="s">
        <f>=HYPERLINK("https://mp39851918.megaplan.ua/deals/108636/card/","18430")</f>
      </c>
      <c r="B4009" s="3" t="inlineStr">
        <is>
          <t>114-6436829-9881020</t>
        </is>
      </c>
      <c r="C4009" s="3" t="inlineStr">
        <is>
          <t>Autodist</t>
        </is>
      </c>
    </row>
    <row collapsed="false" customFormat="false" customHeight="false" hidden="false" ht="12.1" outlineLevel="0" r="4010">
      <c r="A4010" s="3" t="s">
        <f>=HYPERLINK("https://mp39851918.megaplan.ua/deals/108645/card/","18432")</f>
      </c>
      <c r="B4010" s="3" t="inlineStr">
        <is>
          <t>113-9019363-5594652</t>
        </is>
      </c>
      <c r="C4010" s="3" t="inlineStr">
        <is>
          <t>TuckerRocky</t>
        </is>
      </c>
    </row>
    <row collapsed="false" customFormat="false" customHeight="false" hidden="false" ht="12.1" outlineLevel="0" r="4011">
      <c r="A4011" s="3" t="s">
        <f>=HYPERLINK("https://mp39851918.megaplan.ua/deals/108646/card/","18433")</f>
      </c>
      <c r="B4011" s="3" t="inlineStr">
        <is>
          <t>114-5602137-7350642</t>
        </is>
      </c>
      <c r="C4011" s="3" t="inlineStr">
        <is>
          <t>PartsUnlimited</t>
        </is>
      </c>
    </row>
    <row collapsed="false" customFormat="false" customHeight="false" hidden="false" ht="12.1" outlineLevel="0" r="4012">
      <c r="A4012" s="3" t="s">
        <f>=HYPERLINK("https://mp39851918.megaplan.ua/deals/108654/card/","18435")</f>
      </c>
      <c r="B4012" s="3" t="inlineStr">
        <is>
          <t>113-6978578-7241839</t>
        </is>
      </c>
      <c r="C4012" s="3" t="inlineStr">
        <is>
          <t>RockyMountain</t>
        </is>
      </c>
    </row>
    <row collapsed="false" customFormat="false" customHeight="false" hidden="false" ht="12.1" outlineLevel="0" r="4013">
      <c r="A4013" s="3" t="s">
        <f>=HYPERLINK("https://mp39851918.megaplan.ua/deals/108655/card/","18436")</f>
      </c>
      <c r="B4013" s="3" t="inlineStr">
        <is>
          <t>112-7866070-8456202</t>
        </is>
      </c>
      <c r="C4013" s="3" t="inlineStr">
        <is>
          <t>Autodist</t>
        </is>
      </c>
    </row>
    <row collapsed="false" customFormat="false" customHeight="false" hidden="false" ht="12.1" outlineLevel="0" r="4014">
      <c r="A4014" s="3" t="s">
        <f>=HYPERLINK("https://mp39851918.megaplan.ua/deals/108661/card/","18437")</f>
      </c>
      <c r="B4014" s="3" t="inlineStr">
        <is>
          <t>113-5729277-3371437</t>
        </is>
      </c>
      <c r="C4014" s="3" t="inlineStr">
        <is>
          <t>RockyMountain</t>
        </is>
      </c>
    </row>
    <row collapsed="false" customFormat="false" customHeight="false" hidden="false" ht="12.1" outlineLevel="0" r="4015">
      <c r="A4015" s="3" t="s">
        <f>=HYPERLINK("https://mp39851918.megaplan.ua/deals/108681/card/","18440")</f>
      </c>
      <c r="B4015" s="3" t="inlineStr">
        <is>
          <t>111-1514668-7318647</t>
        </is>
      </c>
      <c r="C4015" s="3" t="inlineStr">
        <is>
          <t>Autodist</t>
        </is>
      </c>
    </row>
    <row collapsed="false" customFormat="false" customHeight="false" hidden="false" ht="12.1" outlineLevel="0" r="4016">
      <c r="A4016" s="3" t="s">
        <f>=HYPERLINK("https://mp39851918.megaplan.ua/deals/108682/card/","18441")</f>
      </c>
      <c r="B4016" s="3" t="inlineStr">
        <is>
          <t>113-3179214-0705816</t>
        </is>
      </c>
      <c r="C4016" s="3" t="inlineStr">
        <is>
          <t>TuckerRocky</t>
        </is>
      </c>
    </row>
    <row collapsed="false" customFormat="false" customHeight="false" hidden="false" ht="12.1" outlineLevel="0" r="4017">
      <c r="A4017" s="3" t="s">
        <f>=HYPERLINK("https://mp39851918.megaplan.ua/deals/108700/card/","18442")</f>
      </c>
      <c r="B4017" s="3" t="inlineStr">
        <is>
          <t>114-5932201-6985034</t>
        </is>
      </c>
      <c r="C4017" s="3" t="inlineStr">
        <is>
          <t>Autodist</t>
        </is>
      </c>
    </row>
    <row collapsed="false" customFormat="false" customHeight="false" hidden="false" ht="12.1" outlineLevel="0" r="4018">
      <c r="A4018" s="3" t="s">
        <f>=HYPERLINK("https://mp39851918.megaplan.ua/deals/108728/card/","18445")</f>
      </c>
      <c r="B4018" s="3" t="inlineStr">
        <is>
          <t>111-0366824-0688209</t>
        </is>
      </c>
      <c r="C4018" s="3" t="inlineStr">
        <is>
          <t>RockyMountain</t>
        </is>
      </c>
    </row>
    <row collapsed="false" customFormat="false" customHeight="false" hidden="false" ht="12.1" outlineLevel="0" r="4019">
      <c r="A4019" s="3" t="s">
        <f>=HYPERLINK("https://mp39851918.megaplan.ua/deals/108731/card/","18446")</f>
      </c>
      <c r="B4019" s="3" t="inlineStr">
        <is>
          <t>112-3330703-5909052</t>
        </is>
      </c>
      <c r="C4019" s="3" t="inlineStr">
        <is>
          <t>RockyMountain</t>
        </is>
      </c>
    </row>
    <row collapsed="false" customFormat="false" customHeight="false" hidden="false" ht="12.1" outlineLevel="0" r="4020">
      <c r="A4020" s="3" t="s">
        <f>=HYPERLINK("https://mp39851918.megaplan.ua/deals/108735/card/","18447")</f>
      </c>
      <c r="B4020" s="3" t="inlineStr">
        <is>
          <t>114-6439279-4377062</t>
        </is>
      </c>
      <c r="C4020" s="3" t="inlineStr">
        <is>
          <t>TuckerRocky</t>
        </is>
      </c>
    </row>
    <row collapsed="false" customFormat="false" customHeight="false" hidden="false" ht="12.1" outlineLevel="0" r="4021">
      <c r="A4021" s="3" t="s">
        <f>=HYPERLINK("https://mp39851918.megaplan.ua/deals/108737/card/","18448")</f>
      </c>
      <c r="B4021" s="3" t="inlineStr">
        <is>
          <t>112-7575923-6723408</t>
        </is>
      </c>
      <c r="C4021" s="3" t="inlineStr">
        <is>
          <t>RockyMountain</t>
        </is>
      </c>
    </row>
    <row collapsed="false" customFormat="false" customHeight="false" hidden="false" ht="12.1" outlineLevel="0" r="4022">
      <c r="A4022" s="3" t="s">
        <f>=HYPERLINK("https://mp39851918.megaplan.ua/deals/108738/card/","18449")</f>
      </c>
      <c r="B4022" s="3" t="inlineStr">
        <is>
          <t>112-3818678-2717040</t>
        </is>
      </c>
      <c r="C4022" s="3" t="inlineStr">
        <is>
          <t>TuckerRocky</t>
        </is>
      </c>
    </row>
    <row collapsed="false" customFormat="false" customHeight="false" hidden="false" ht="12.1" outlineLevel="0" r="4023">
      <c r="A4023" s="3" t="s">
        <f>=HYPERLINK("https://mp39851918.megaplan.ua/deals/108743/card/","18450")</f>
      </c>
      <c r="B4023" s="3" t="inlineStr">
        <is>
          <t>111-9722780-8802655</t>
        </is>
      </c>
      <c r="C4023" s="3" t="inlineStr">
        <is>
          <t>TuckerRocky</t>
        </is>
      </c>
    </row>
    <row collapsed="false" customFormat="false" customHeight="false" hidden="false" ht="12.1" outlineLevel="0" r="4024">
      <c r="A4024" s="3" t="s">
        <f>=HYPERLINK("https://mp39851918.megaplan.ua/deals/108752/card/","18452")</f>
      </c>
      <c r="B4024" s="3" t="inlineStr">
        <is>
          <t>114-7120214-2900211</t>
        </is>
      </c>
      <c r="C4024" s="3" t="inlineStr">
        <is>
          <t>TuckerRocky</t>
        </is>
      </c>
    </row>
    <row collapsed="false" customFormat="false" customHeight="false" hidden="false" ht="12.1" outlineLevel="0" r="4025">
      <c r="A4025" s="3" t="s">
        <f>=HYPERLINK("https://mp39851918.megaplan.ua/deals/108758/card/","18454")</f>
      </c>
      <c r="B4025" s="3" t="inlineStr">
        <is>
          <t>114-0511972-3350665</t>
        </is>
      </c>
      <c r="C4025" s="3" t="inlineStr">
        <is>
          <t>TuckerRocky</t>
        </is>
      </c>
    </row>
    <row collapsed="false" customFormat="false" customHeight="false" hidden="false" ht="12.1" outlineLevel="0" r="4026">
      <c r="A4026" s="3" t="s">
        <f>=HYPERLINK("https://mp39851918.megaplan.ua/deals/108789/card/","18458")</f>
      </c>
      <c r="B4026" s="3" t="inlineStr">
        <is>
          <t>112-7035035-5437027</t>
        </is>
      </c>
      <c r="C4026" s="3" t="inlineStr">
        <is>
          <t>Autodist</t>
        </is>
      </c>
    </row>
    <row collapsed="false" customFormat="false" customHeight="false" hidden="false" ht="12.1" outlineLevel="0" r="4027">
      <c r="A4027" s="3" t="s">
        <f>=HYPERLINK("https://mp39851918.megaplan.ua/deals/108799/card/","18459")</f>
      </c>
      <c r="B4027" s="3" t="inlineStr">
        <is>
          <t>113-8884427-4283405</t>
        </is>
      </c>
      <c r="C4027" s="3" t="inlineStr">
        <is>
          <t>Autodist</t>
        </is>
      </c>
    </row>
    <row collapsed="false" customFormat="false" customHeight="false" hidden="false" ht="12.1" outlineLevel="0" r="4028">
      <c r="A4028" s="3" t="s">
        <f>=HYPERLINK("https://mp39851918.megaplan.ua/deals/108814/card/","18461")</f>
      </c>
      <c r="B4028" s="3" t="inlineStr">
        <is>
          <t>114-8666805-9198617</t>
        </is>
      </c>
      <c r="C4028" s="3" t="inlineStr">
        <is>
          <t>TuckerRocky</t>
        </is>
      </c>
    </row>
    <row collapsed="false" customFormat="false" customHeight="false" hidden="false" ht="12.1" outlineLevel="0" r="4029">
      <c r="A4029" s="3" t="s">
        <f>=HYPERLINK("https://mp39851918.megaplan.ua/deals/108820/card/","18464")</f>
      </c>
      <c r="B4029" s="3" t="inlineStr">
        <is>
          <t>111-6521408-7365002</t>
        </is>
      </c>
      <c r="C4029" s="3" t="inlineStr">
        <is>
          <t>TuckerRocky</t>
        </is>
      </c>
    </row>
    <row collapsed="false" customFormat="false" customHeight="false" hidden="false" ht="12.1" outlineLevel="0" r="4030">
      <c r="A4030" s="3" t="s">
        <f>=HYPERLINK("https://mp39851918.megaplan.ua/deals/108822/card/","18465")</f>
      </c>
      <c r="B4030" s="3" t="inlineStr">
        <is>
          <t>111-8342843-3405069</t>
        </is>
      </c>
      <c r="C4030" s="3" t="inlineStr">
        <is>
          <t>Autodist</t>
        </is>
      </c>
    </row>
    <row collapsed="false" customFormat="false" customHeight="false" hidden="false" ht="12.1" outlineLevel="0" r="4031">
      <c r="A4031" s="3" t="s">
        <f>=HYPERLINK("https://mp39851918.megaplan.ua/deals/108823/card/","18466")</f>
      </c>
      <c r="B4031" s="3" t="inlineStr">
        <is>
          <t>113-2105807-0902623</t>
        </is>
      </c>
      <c r="C4031" s="3" t="inlineStr">
        <is>
          <t>PartsUnlimited</t>
        </is>
      </c>
    </row>
    <row collapsed="false" customFormat="false" customHeight="false" hidden="false" ht="12.1" outlineLevel="0" r="4032">
      <c r="A4032" s="3" t="s">
        <f>=HYPERLINK("https://mp39851918.megaplan.ua/deals/108824/card/","18467")</f>
      </c>
      <c r="B4032" s="3" t="inlineStr">
        <is>
          <t>112-4485125-2756262</t>
        </is>
      </c>
      <c r="C4032" s="3" t="inlineStr">
        <is>
          <t>Autodist</t>
        </is>
      </c>
    </row>
    <row collapsed="false" customFormat="false" customHeight="false" hidden="false" ht="12.1" outlineLevel="0" r="4033">
      <c r="A4033" s="3" t="s">
        <f>=HYPERLINK("https://mp39851918.megaplan.ua/deals/108825/card/","18468")</f>
      </c>
      <c r="B4033" s="3" t="inlineStr">
        <is>
          <t>114-7651622-5753844</t>
        </is>
      </c>
      <c r="C4033" s="3" t="inlineStr">
        <is>
          <t>TuckerRocky</t>
        </is>
      </c>
    </row>
    <row collapsed="false" customFormat="false" customHeight="false" hidden="false" ht="12.1" outlineLevel="0" r="4034">
      <c r="A4034" s="3" t="s">
        <f>=HYPERLINK("https://mp39851918.megaplan.ua/deals/108826/card/","18469")</f>
      </c>
      <c r="B4034" s="3" t="inlineStr">
        <is>
          <t>114-8074708-0529022</t>
        </is>
      </c>
      <c r="C4034" s="3" t="inlineStr">
        <is>
          <t>PartsUnlimited</t>
        </is>
      </c>
    </row>
    <row collapsed="false" customFormat="false" customHeight="false" hidden="false" ht="12.1" outlineLevel="0" r="4035">
      <c r="A4035" s="3" t="s">
        <f>=HYPERLINK("https://mp39851918.megaplan.ua/deals/108828/card/","18470")</f>
      </c>
      <c r="B4035" s="3" t="inlineStr">
        <is>
          <t>111-6052057-8331432</t>
        </is>
      </c>
      <c r="C4035" s="3" t="inlineStr">
        <is>
          <t>TuckerRocky</t>
        </is>
      </c>
    </row>
    <row collapsed="false" customFormat="false" customHeight="false" hidden="false" ht="12.1" outlineLevel="0" r="4036">
      <c r="A4036" s="3" t="s">
        <f>=HYPERLINK("https://mp39851918.megaplan.ua/deals/108829/card/","18471")</f>
      </c>
      <c r="B4036" s="3" t="inlineStr">
        <is>
          <t>112-8458053-1001846</t>
        </is>
      </c>
      <c r="C4036" s="3" t="inlineStr">
        <is>
          <t>Autodist</t>
        </is>
      </c>
    </row>
    <row collapsed="false" customFormat="false" customHeight="false" hidden="false" ht="12.1" outlineLevel="0" r="4037">
      <c r="A4037" s="3" t="s">
        <f>=HYPERLINK("https://mp39851918.megaplan.ua/deals/108830/card/","18472")</f>
      </c>
      <c r="B4037" s="3" t="inlineStr">
        <is>
          <t>111-6088392-9068264</t>
        </is>
      </c>
      <c r="C4037" s="3" t="inlineStr">
        <is>
          <t>RockyMountain</t>
        </is>
      </c>
    </row>
    <row collapsed="false" customFormat="false" customHeight="false" hidden="false" ht="12.1" outlineLevel="0" r="4038">
      <c r="A4038" s="3" t="s">
        <f>=HYPERLINK("https://mp39851918.megaplan.ua/deals/108837/card/","18473")</f>
      </c>
      <c r="B4038" s="3" t="inlineStr">
        <is>
          <t>111-7203581-5115441</t>
        </is>
      </c>
      <c r="C4038" s="3" t="inlineStr">
        <is>
          <t>RockyMountain</t>
        </is>
      </c>
    </row>
    <row collapsed="false" customFormat="false" customHeight="false" hidden="false" ht="12.1" outlineLevel="0" r="4039">
      <c r="A4039" s="3" t="s">
        <f>=HYPERLINK("https://mp39851918.megaplan.ua/deals/108864/card/","18475")</f>
      </c>
      <c r="B4039" s="3" t="inlineStr">
        <is>
          <t>112-1930420-0916233</t>
        </is>
      </c>
      <c r="C4039" s="3" t="inlineStr">
        <is>
          <t>Autodist</t>
        </is>
      </c>
    </row>
    <row collapsed="false" customFormat="false" customHeight="false" hidden="false" ht="12.1" outlineLevel="0" r="4040">
      <c r="A4040" s="3" t="s">
        <f>=HYPERLINK("https://mp39851918.megaplan.ua/deals/108895/card/","18477")</f>
      </c>
      <c r="B4040" s="3" t="inlineStr">
        <is>
          <t>112-6598086-3670615</t>
        </is>
      </c>
      <c r="C4040" s="3" t="inlineStr">
        <is>
          <t>TuckerRocky</t>
        </is>
      </c>
    </row>
    <row collapsed="false" customFormat="false" customHeight="false" hidden="false" ht="12.1" outlineLevel="0" r="4041">
      <c r="A4041" s="3" t="s">
        <f>=HYPERLINK("https://mp39851918.megaplan.ua/deals/108898/card/","18478")</f>
      </c>
      <c r="B4041" s="3" t="inlineStr">
        <is>
          <t>111-1966870-4533050</t>
        </is>
      </c>
      <c r="C4041" s="3" t="inlineStr">
        <is>
          <t>Autodist</t>
        </is>
      </c>
    </row>
    <row collapsed="false" customFormat="false" customHeight="false" hidden="false" ht="12.1" outlineLevel="0" r="4042">
      <c r="A4042" s="3" t="s">
        <f>=HYPERLINK("https://mp39851918.megaplan.ua/deals/108899/card/","18479")</f>
      </c>
      <c r="B4042" s="3" t="inlineStr">
        <is>
          <t>112-9698056-1294666</t>
        </is>
      </c>
      <c r="C4042" s="3" t="inlineStr">
        <is>
          <t>TuckerRocky</t>
        </is>
      </c>
    </row>
    <row collapsed="false" customFormat="false" customHeight="false" hidden="false" ht="12.1" outlineLevel="0" r="4043">
      <c r="A4043" s="3" t="s">
        <f>=HYPERLINK("https://mp39851918.megaplan.ua/deals/108900/card/","18480")</f>
      </c>
      <c r="B4043" s="3" t="inlineStr">
        <is>
          <t>113-2991512-1689049</t>
        </is>
      </c>
      <c r="C4043" s="3" t="inlineStr">
        <is>
          <t>Autodist</t>
        </is>
      </c>
    </row>
    <row collapsed="false" customFormat="false" customHeight="false" hidden="false" ht="12.1" outlineLevel="0" r="4044">
      <c r="A4044" s="3" t="s">
        <f>=HYPERLINK("https://mp39851918.megaplan.ua/deals/108917/card/","18481")</f>
      </c>
      <c r="B4044" s="3" t="inlineStr">
        <is>
          <t>114-8450948-7657856</t>
        </is>
      </c>
      <c r="C4044" s="3" t="inlineStr">
        <is>
          <t>Autodist</t>
        </is>
      </c>
    </row>
    <row collapsed="false" customFormat="false" customHeight="false" hidden="false" ht="12.1" outlineLevel="0" r="4045">
      <c r="A4045" s="3" t="s">
        <f>=HYPERLINK("https://mp39851918.megaplan.ua/deals/108927/card/","18482")</f>
      </c>
      <c r="B4045" s="3" t="inlineStr">
        <is>
          <t>111-4015998-9555412</t>
        </is>
      </c>
      <c r="C4045" s="3" t="inlineStr">
        <is>
          <t>RockyMountain</t>
        </is>
      </c>
    </row>
    <row collapsed="false" customFormat="false" customHeight="false" hidden="false" ht="12.1" outlineLevel="0" r="4046">
      <c r="A4046" s="3" t="s">
        <f>=HYPERLINK("https://mp39851918.megaplan.ua/deals/108930/card/","18483")</f>
      </c>
      <c r="B4046" s="3" t="inlineStr">
        <is>
          <t>112-9013711-6590610</t>
        </is>
      </c>
      <c r="C4046" s="3" t="inlineStr">
        <is>
          <t>Autodist</t>
        </is>
      </c>
    </row>
    <row collapsed="false" customFormat="false" customHeight="false" hidden="false" ht="12.1" outlineLevel="0" r="4047">
      <c r="A4047" s="3" t="s">
        <f>=HYPERLINK("https://mp39851918.megaplan.ua/deals/108931/card/","18484")</f>
      </c>
      <c r="B4047" s="3" t="inlineStr">
        <is>
          <t>111-2041397-6207460</t>
        </is>
      </c>
      <c r="C4047" s="3" t="inlineStr">
        <is>
          <t>TuckerRocky</t>
        </is>
      </c>
    </row>
    <row collapsed="false" customFormat="false" customHeight="false" hidden="false" ht="12.1" outlineLevel="0" r="4048">
      <c r="A4048" s="3" t="s">
        <f>=HYPERLINK("https://mp39851918.megaplan.ua/deals/108933/card/","18485")</f>
      </c>
      <c r="B4048" s="3" t="inlineStr">
        <is>
          <t>114-4223701-6597801</t>
        </is>
      </c>
      <c r="C4048" s="3" t="inlineStr">
        <is>
          <t>RockyMountain</t>
        </is>
      </c>
    </row>
    <row collapsed="false" customFormat="false" customHeight="false" hidden="false" ht="12.1" outlineLevel="0" r="4049">
      <c r="A4049" s="3" t="s">
        <f>=HYPERLINK("https://mp39851918.megaplan.ua/deals/108934/card/","18486")</f>
      </c>
      <c r="B4049" s="3" t="inlineStr">
        <is>
          <t>111-2613175-8952238</t>
        </is>
      </c>
      <c r="C4049" s="3" t="inlineStr">
        <is>
          <t>TuckerRocky</t>
        </is>
      </c>
    </row>
    <row collapsed="false" customFormat="false" customHeight="false" hidden="false" ht="12.1" outlineLevel="0" r="4050">
      <c r="A4050" s="3" t="s">
        <f>=HYPERLINK("https://mp39851918.megaplan.ua/deals/108944/card/","18487")</f>
      </c>
      <c r="B4050" s="3" t="inlineStr">
        <is>
          <t>114-3039031-9430615</t>
        </is>
      </c>
      <c r="C4050" s="3" t="inlineStr">
        <is>
          <t>PartsUnlimited</t>
        </is>
      </c>
    </row>
    <row collapsed="false" customFormat="false" customHeight="false" hidden="false" ht="12.1" outlineLevel="0" r="4051">
      <c r="A4051" s="3" t="s">
        <f>=HYPERLINK("https://mp39851918.megaplan.ua/deals/108945/card/","18488")</f>
      </c>
      <c r="B4051" s="3" t="inlineStr">
        <is>
          <t>113-5802338-2250601</t>
        </is>
      </c>
      <c r="C4051" s="3" t="inlineStr">
        <is>
          <t>TuckerRocky</t>
        </is>
      </c>
    </row>
    <row collapsed="false" customFormat="false" customHeight="false" hidden="false" ht="12.1" outlineLevel="0" r="4052">
      <c r="A4052" s="3" t="s">
        <f>=HYPERLINK("https://mp39851918.megaplan.ua/deals/108946/card/","18489")</f>
      </c>
      <c r="B4052" s="3" t="inlineStr">
        <is>
          <t>112-9525844-8393851</t>
        </is>
      </c>
      <c r="C4052" s="3" t="inlineStr">
        <is>
          <t>TuckerRocky</t>
        </is>
      </c>
    </row>
    <row collapsed="false" customFormat="false" customHeight="false" hidden="false" ht="12.1" outlineLevel="0" r="4053">
      <c r="A4053" s="3" t="s">
        <f>=HYPERLINK("https://mp39851918.megaplan.ua/deals/108948/card/","18490")</f>
      </c>
      <c r="B4053" s="3" t="inlineStr">
        <is>
          <t>113-6115087-2425807</t>
        </is>
      </c>
      <c r="C4053" s="3" t="inlineStr">
        <is>
          <t>Autodist</t>
        </is>
      </c>
    </row>
    <row collapsed="false" customFormat="false" customHeight="false" hidden="false" ht="12.1" outlineLevel="0" r="4054">
      <c r="A4054" s="3" t="s">
        <f>=HYPERLINK("https://mp39851918.megaplan.ua/deals/108949/card/","18491")</f>
      </c>
      <c r="B4054" s="3" t="inlineStr">
        <is>
          <t>111-5696075-5298638</t>
        </is>
      </c>
      <c r="C4054" s="3" t="inlineStr">
        <is>
          <t>TuckerRocky</t>
        </is>
      </c>
    </row>
    <row collapsed="false" customFormat="false" customHeight="false" hidden="false" ht="12.1" outlineLevel="0" r="4055">
      <c r="A4055" s="3" t="s">
        <f>=HYPERLINK("https://mp39851918.megaplan.ua/deals/108950/card/","18492")</f>
      </c>
      <c r="B4055" s="3" t="inlineStr">
        <is>
          <t>111-6185648-5021018</t>
        </is>
      </c>
      <c r="C4055" s="3" t="inlineStr">
        <is>
          <t>TuckerRocky</t>
        </is>
      </c>
    </row>
    <row collapsed="false" customFormat="false" customHeight="false" hidden="false" ht="12.1" outlineLevel="0" r="4056">
      <c r="A4056" s="3" t="s">
        <f>=HYPERLINK("https://mp39851918.megaplan.ua/deals/108951/card/","18493")</f>
      </c>
      <c r="B4056" s="3" t="inlineStr">
        <is>
          <t>114-6231226-8489835</t>
        </is>
      </c>
      <c r="C4056" s="3" t="inlineStr">
        <is>
          <t>TuckerRocky</t>
        </is>
      </c>
    </row>
    <row collapsed="false" customFormat="false" customHeight="false" hidden="false" ht="12.1" outlineLevel="0" r="4057">
      <c r="A4057" s="3" t="s">
        <f>=HYPERLINK("https://mp39851918.megaplan.ua/deals/108952/card/","18494")</f>
      </c>
      <c r="B4057" s="3" t="inlineStr">
        <is>
          <t>113-5118129-3377066</t>
        </is>
      </c>
      <c r="C4057" s="3" t="inlineStr">
        <is>
          <t>TuckerRocky</t>
        </is>
      </c>
    </row>
    <row collapsed="false" customFormat="false" customHeight="false" hidden="false" ht="12.1" outlineLevel="0" r="4058">
      <c r="A4058" s="3" t="s">
        <f>=HYPERLINK("https://mp39851918.megaplan.ua/deals/108966/card/","18498")</f>
      </c>
      <c r="B4058" s="3" t="inlineStr">
        <is>
          <t>114-4196618-7631431</t>
        </is>
      </c>
      <c r="C4058" s="3" t="inlineStr">
        <is>
          <t>RockyMountain</t>
        </is>
      </c>
    </row>
    <row collapsed="false" customFormat="false" customHeight="false" hidden="false" ht="12.1" outlineLevel="0" r="4059">
      <c r="A4059" s="3" t="s">
        <f>=HYPERLINK("https://mp39851918.megaplan.ua/deals/108980/card/","18500")</f>
      </c>
      <c r="B4059" s="3" t="inlineStr">
        <is>
          <t>112-8170121-4225048</t>
        </is>
      </c>
      <c r="C4059" s="3" t="inlineStr">
        <is>
          <t>Autodist</t>
        </is>
      </c>
    </row>
    <row collapsed="false" customFormat="false" customHeight="false" hidden="false" ht="12.1" outlineLevel="0" r="4060">
      <c r="A4060" s="3" t="s">
        <f>=HYPERLINK("https://mp39851918.megaplan.ua/deals/108986/card/","18501")</f>
      </c>
      <c r="B4060" s="3" t="inlineStr">
        <is>
          <t>113-8430987-4846608</t>
        </is>
      </c>
      <c r="C4060" s="3" t="inlineStr">
        <is>
          <t>PartsUnlimited</t>
        </is>
      </c>
    </row>
    <row collapsed="false" customFormat="false" customHeight="false" hidden="false" ht="12.1" outlineLevel="0" r="4061">
      <c r="A4061" s="3" t="s">
        <f>=HYPERLINK("https://mp39851918.megaplan.ua/deals/108995/card/","18502")</f>
      </c>
      <c r="B4061" s="3" t="inlineStr">
        <is>
          <t>111-9286302-7987400</t>
        </is>
      </c>
      <c r="C4061" s="3" t="inlineStr">
        <is>
          <t>Autodist</t>
        </is>
      </c>
    </row>
    <row collapsed="false" customFormat="false" customHeight="false" hidden="false" ht="12.1" outlineLevel="0" r="4062">
      <c r="A4062" s="3" t="s">
        <f>=HYPERLINK("https://mp39851918.megaplan.ua/deals/108996/card/","18503")</f>
      </c>
      <c r="B4062" s="3" t="inlineStr">
        <is>
          <t>113-1508653-7077845</t>
        </is>
      </c>
      <c r="C4062" s="3" t="inlineStr">
        <is>
          <t>RockyMountain</t>
        </is>
      </c>
    </row>
    <row collapsed="false" customFormat="false" customHeight="false" hidden="false" ht="12.1" outlineLevel="0" r="4063">
      <c r="A4063" s="3" t="s">
        <f>=HYPERLINK("https://mp39851918.megaplan.ua/deals/108998/card/","18504")</f>
      </c>
      <c r="B4063" s="3" t="inlineStr">
        <is>
          <t>112-9941878-5859431</t>
        </is>
      </c>
      <c r="C4063" s="3" t="inlineStr">
        <is>
          <t>Autodist</t>
        </is>
      </c>
    </row>
    <row collapsed="false" customFormat="false" customHeight="false" hidden="false" ht="12.1" outlineLevel="0" r="4064">
      <c r="A4064" s="3" t="s">
        <f>=HYPERLINK("https://mp39851918.megaplan.ua/deals/109020/card/","18505")</f>
      </c>
      <c r="B4064" s="3" t="inlineStr">
        <is>
          <t>111-0936803-2532240</t>
        </is>
      </c>
      <c r="C4064" s="3" t="inlineStr">
        <is>
          <t>Autodist</t>
        </is>
      </c>
    </row>
    <row collapsed="false" customFormat="false" customHeight="false" hidden="false" ht="12.1" outlineLevel="0" r="4065">
      <c r="A4065" s="3" t="s">
        <f>=HYPERLINK("https://mp39851918.megaplan.ua/deals/109021/card/","18506")</f>
      </c>
      <c r="B4065" s="3" t="inlineStr">
        <is>
          <t>112-5710191-8083437</t>
        </is>
      </c>
      <c r="C4065" s="3" t="inlineStr">
        <is>
          <t>TuckerRocky</t>
        </is>
      </c>
    </row>
    <row collapsed="false" customFormat="false" customHeight="false" hidden="false" ht="12.1" outlineLevel="0" r="4066">
      <c r="A4066" s="3" t="s">
        <f>=HYPERLINK("https://mp39851918.megaplan.ua/deals/109027/card/","18507")</f>
      </c>
      <c r="B4066" s="3" t="inlineStr">
        <is>
          <t>113-0714988-9456250</t>
        </is>
      </c>
      <c r="C4066" s="3" t="inlineStr">
        <is>
          <t>Autodist</t>
        </is>
      </c>
    </row>
    <row collapsed="false" customFormat="false" customHeight="false" hidden="false" ht="12.1" outlineLevel="0" r="4067">
      <c r="A4067" s="3" t="s">
        <f>=HYPERLINK("https://mp39851918.megaplan.ua/deals/109031/card/","18508")</f>
      </c>
      <c r="B4067" s="3" t="inlineStr">
        <is>
          <t>111-0500592-2447405</t>
        </is>
      </c>
      <c r="C4067" s="3" t="inlineStr">
        <is>
          <t>PartsUnlimited</t>
        </is>
      </c>
    </row>
    <row collapsed="false" customFormat="false" customHeight="false" hidden="false" ht="12.1" outlineLevel="0" r="4068">
      <c r="A4068" s="3" t="s">
        <f>=HYPERLINK("https://mp39851918.megaplan.ua/deals/109034/card/","18509")</f>
      </c>
      <c r="B4068" s="3" t="inlineStr">
        <is>
          <t>112-4152734-8745862</t>
        </is>
      </c>
      <c r="C4068" s="3" t="inlineStr">
        <is>
          <t>TuckerRocky</t>
        </is>
      </c>
    </row>
    <row collapsed="false" customFormat="false" customHeight="false" hidden="false" ht="12.1" outlineLevel="0" r="4069">
      <c r="A4069" s="3" t="s">
        <f>=HYPERLINK("https://mp39851918.megaplan.ua/deals/109046/card/","18510")</f>
      </c>
      <c r="B4069" s="3" t="inlineStr">
        <is>
          <t>114-4922893-7292239</t>
        </is>
      </c>
      <c r="C4069" s="3" t="inlineStr">
        <is>
          <t>Autodist</t>
        </is>
      </c>
    </row>
    <row collapsed="false" customFormat="false" customHeight="false" hidden="false" ht="12.1" outlineLevel="0" r="4070">
      <c r="A4070" s="3" t="s">
        <f>=HYPERLINK("https://mp39851918.megaplan.ua/deals/109062/card/","18512")</f>
      </c>
      <c r="B4070" s="3" t="inlineStr">
        <is>
          <t>111-2743022-7300224</t>
        </is>
      </c>
      <c r="C4070" s="3" t="inlineStr">
        <is>
          <t>RockyMountain</t>
        </is>
      </c>
    </row>
    <row collapsed="false" customFormat="false" customHeight="false" hidden="false" ht="12.1" outlineLevel="0" r="4071">
      <c r="A4071" s="3" t="s">
        <f>=HYPERLINK("https://mp39851918.megaplan.ua/deals/109063/card/","18513")</f>
      </c>
      <c r="B4071" s="3" t="inlineStr">
        <is>
          <t>114-4159765-1616266</t>
        </is>
      </c>
      <c r="C4071" s="3" t="inlineStr">
        <is>
          <t>RockyMountain</t>
        </is>
      </c>
    </row>
    <row collapsed="false" customFormat="false" customHeight="false" hidden="false" ht="12.1" outlineLevel="0" r="4072">
      <c r="A4072" s="3" t="s">
        <f>=HYPERLINK("https://mp39851918.megaplan.ua/deals/109064/card/","18514")</f>
      </c>
      <c r="B4072" s="3" t="inlineStr">
        <is>
          <t>112-7491724-1306629</t>
        </is>
      </c>
      <c r="C4072" s="3" t="inlineStr">
        <is>
          <t>Autodist</t>
        </is>
      </c>
    </row>
    <row collapsed="false" customFormat="false" customHeight="false" hidden="false" ht="12.1" outlineLevel="0" r="4073">
      <c r="A4073" s="3" t="s">
        <f>=HYPERLINK("https://mp39851918.megaplan.ua/deals/109088/card/","18516")</f>
      </c>
      <c r="B4073" s="3" t="inlineStr">
        <is>
          <t>113-7606586-9269033</t>
        </is>
      </c>
      <c r="C4073" s="3" t="inlineStr">
        <is>
          <t>TuckerRocky</t>
        </is>
      </c>
    </row>
    <row collapsed="false" customFormat="false" customHeight="false" hidden="false" ht="12.1" outlineLevel="0" r="4074">
      <c r="A4074" s="3" t="s">
        <f>=HYPERLINK("https://mp39851918.megaplan.ua/deals/109090/card/","18517")</f>
      </c>
      <c r="B4074" s="3" t="inlineStr">
        <is>
          <t>114-2091543-0182606</t>
        </is>
      </c>
      <c r="C4074" s="3" t="inlineStr">
        <is>
          <t>TuckerRocky</t>
        </is>
      </c>
    </row>
    <row collapsed="false" customFormat="false" customHeight="false" hidden="false" ht="12.1" outlineLevel="0" r="4075">
      <c r="A4075" s="3" t="s">
        <f>=HYPERLINK("https://mp39851918.megaplan.ua/deals/109091/card/","18518")</f>
      </c>
      <c r="B4075" s="3" t="inlineStr">
        <is>
          <t>111-4089987-6873037</t>
        </is>
      </c>
      <c r="C4075" s="3" t="inlineStr">
        <is>
          <t>Autodist</t>
        </is>
      </c>
    </row>
    <row collapsed="false" customFormat="false" customHeight="false" hidden="false" ht="12.1" outlineLevel="0" r="4076">
      <c r="A4076" s="3" t="s">
        <f>=HYPERLINK("https://mp39851918.megaplan.ua/deals/109093/card/","18519")</f>
      </c>
      <c r="B4076" s="3" t="inlineStr">
        <is>
          <t>112-1281710-7925804</t>
        </is>
      </c>
      <c r="C4076" s="3" t="inlineStr">
        <is>
          <t>PartsUnlimited</t>
        </is>
      </c>
    </row>
    <row collapsed="false" customFormat="false" customHeight="false" hidden="false" ht="12.1" outlineLevel="0" r="4077">
      <c r="A4077" s="3" t="s">
        <f>=HYPERLINK("https://mp39851918.megaplan.ua/deals/109100/card/","18520")</f>
      </c>
      <c r="B4077" s="3" t="inlineStr">
        <is>
          <t>113-1774127-9565022</t>
        </is>
      </c>
      <c r="C4077" s="3" t="inlineStr">
        <is>
          <t>Autodist</t>
        </is>
      </c>
    </row>
    <row collapsed="false" customFormat="false" customHeight="false" hidden="false" ht="12.1" outlineLevel="0" r="4078">
      <c r="A4078" s="3" t="s">
        <f>=HYPERLINK("https://mp39851918.megaplan.ua/deals/109101/card/","18521")</f>
      </c>
      <c r="B4078" s="3" t="inlineStr">
        <is>
          <t>113-4243735-9770604</t>
        </is>
      </c>
      <c r="C4078" s="3" t="inlineStr">
        <is>
          <t>TuckerRocky</t>
        </is>
      </c>
    </row>
    <row collapsed="false" customFormat="false" customHeight="false" hidden="false" ht="12.1" outlineLevel="0" r="4079">
      <c r="A4079" s="3" t="s">
        <f>=HYPERLINK("https://mp39851918.megaplan.ua/deals/109102/card/","18522")</f>
      </c>
      <c r="B4079" s="3" t="inlineStr">
        <is>
          <t>114-6398804-9179459</t>
        </is>
      </c>
      <c r="C4079" s="3" t="inlineStr">
        <is>
          <t>TuckerRocky</t>
        </is>
      </c>
    </row>
    <row collapsed="false" customFormat="false" customHeight="false" hidden="false" ht="12.1" outlineLevel="0" r="4080">
      <c r="A4080" s="3" t="s">
        <f>=HYPERLINK("https://mp39851918.megaplan.ua/deals/109115/card/","18525")</f>
      </c>
      <c r="B4080" s="3" t="inlineStr">
        <is>
          <t>111-7065616-8226626</t>
        </is>
      </c>
      <c r="C4080" s="3" t="inlineStr">
        <is>
          <t>Autodist</t>
        </is>
      </c>
    </row>
    <row collapsed="false" customFormat="false" customHeight="false" hidden="false" ht="12.1" outlineLevel="0" r="4081">
      <c r="A4081" s="3" t="s">
        <f>=HYPERLINK("https://mp39851918.megaplan.ua/deals/109116/card/","18526")</f>
      </c>
      <c r="B4081" s="3" t="inlineStr">
        <is>
          <t>112-8695711-8873802</t>
        </is>
      </c>
      <c r="C4081" s="3" t="inlineStr">
        <is>
          <t>TuckerRocky</t>
        </is>
      </c>
    </row>
    <row collapsed="false" customFormat="false" customHeight="false" hidden="false" ht="12.1" outlineLevel="0" r="4082">
      <c r="A4082" s="3" t="s">
        <f>=HYPERLINK("https://mp39851918.megaplan.ua/deals/109123/card/","18527")</f>
      </c>
      <c r="B4082" s="3" t="inlineStr">
        <is>
          <t>112-1307275-7145038</t>
        </is>
      </c>
      <c r="C4082" s="3" t="inlineStr">
        <is>
          <t>RockyMountain</t>
        </is>
      </c>
    </row>
    <row collapsed="false" customFormat="false" customHeight="false" hidden="false" ht="12.1" outlineLevel="0" r="4083">
      <c r="A4083" s="3" t="s">
        <f>=HYPERLINK("https://mp39851918.megaplan.ua/deals/109125/card/","18528")</f>
      </c>
      <c r="B4083" s="3" t="inlineStr">
        <is>
          <t>111-5507003-9282666</t>
        </is>
      </c>
      <c r="C4083" s="3" t="inlineStr">
        <is>
          <t>Autodist</t>
        </is>
      </c>
    </row>
    <row collapsed="false" customFormat="false" customHeight="false" hidden="false" ht="12.1" outlineLevel="0" r="4084">
      <c r="A4084" s="3" t="s">
        <f>=HYPERLINK("https://mp39851918.megaplan.ua/deals/109135/card/","18529")</f>
      </c>
      <c r="B4084" s="3" t="inlineStr">
        <is>
          <t>114-5193210-9162627</t>
        </is>
      </c>
      <c r="C4084" s="3" t="inlineStr">
        <is>
          <t>RockyMountain</t>
        </is>
      </c>
    </row>
    <row collapsed="false" customFormat="false" customHeight="false" hidden="false" ht="12.1" outlineLevel="0" r="4085">
      <c r="A4085" s="3" t="s">
        <f>=HYPERLINK("https://mp39851918.megaplan.ua/deals/109139/card/","18531")</f>
      </c>
      <c r="B4085" s="3" t="inlineStr">
        <is>
          <t>113-5578785-6727465</t>
        </is>
      </c>
      <c r="C4085" s="3" t="inlineStr">
        <is>
          <t>Autodist</t>
        </is>
      </c>
    </row>
    <row collapsed="false" customFormat="false" customHeight="false" hidden="false" ht="12.1" outlineLevel="0" r="4086">
      <c r="A4086" s="3" t="s">
        <f>=HYPERLINK("https://mp39851918.megaplan.ua/deals/109171/card/","18534")</f>
      </c>
      <c r="B4086" s="3" t="inlineStr">
        <is>
          <t>114-9842934-4703425</t>
        </is>
      </c>
      <c r="C4086" s="3" t="inlineStr">
        <is>
          <t>TuckerRocky</t>
        </is>
      </c>
    </row>
    <row collapsed="false" customFormat="false" customHeight="false" hidden="false" ht="12.1" outlineLevel="0" r="4087">
      <c r="A4087" s="3" t="s">
        <f>=HYPERLINK("https://mp39851918.megaplan.ua/deals/109174/card/","18535")</f>
      </c>
      <c r="B4087" s="3" t="inlineStr">
        <is>
          <t>112-3193882-9611462</t>
        </is>
      </c>
      <c r="C4087" s="3" t="inlineStr">
        <is>
          <t>Autodist</t>
        </is>
      </c>
    </row>
    <row collapsed="false" customFormat="false" customHeight="false" hidden="false" ht="12.1" outlineLevel="0" r="4088">
      <c r="A4088" s="3" t="s">
        <f>=HYPERLINK("https://mp39851918.megaplan.ua/deals/109175/card/","18536")</f>
      </c>
      <c r="B4088" s="3" t="inlineStr">
        <is>
          <t>112-5479347-9469807</t>
        </is>
      </c>
      <c r="C4088" s="3" t="inlineStr">
        <is>
          <t>TuckerRocky</t>
        </is>
      </c>
    </row>
    <row collapsed="false" customFormat="false" customHeight="false" hidden="false" ht="12.1" outlineLevel="0" r="4089">
      <c r="A4089" s="3" t="s">
        <f>=HYPERLINK("https://mp39851918.megaplan.ua/deals/109176/card/","18537")</f>
      </c>
      <c r="B4089" s="3" t="inlineStr">
        <is>
          <t>113-4202235-5614635</t>
        </is>
      </c>
      <c r="C4089" s="3" t="inlineStr">
        <is>
          <t>TuckerRocky</t>
        </is>
      </c>
    </row>
    <row collapsed="false" customFormat="false" customHeight="false" hidden="false" ht="12.1" outlineLevel="0" r="4090">
      <c r="A4090" s="3" t="s">
        <f>=HYPERLINK("https://mp39851918.megaplan.ua/deals/109185/card/","18538")</f>
      </c>
      <c r="B4090" s="3" t="inlineStr">
        <is>
          <t>114-6228885-1010603</t>
        </is>
      </c>
      <c r="C4090" s="3" t="inlineStr">
        <is>
          <t>RockyMountain</t>
        </is>
      </c>
    </row>
    <row collapsed="false" customFormat="false" customHeight="false" hidden="false" ht="12.1" outlineLevel="0" r="4091">
      <c r="A4091" s="3" t="s">
        <f>=HYPERLINK("https://mp39851918.megaplan.ua/deals/109188/card/","18539")</f>
      </c>
      <c r="B4091" s="3" t="inlineStr">
        <is>
          <t>114-9707456-5838644</t>
        </is>
      </c>
      <c r="C4091" s="3" t="inlineStr">
        <is>
          <t>PartsUnlimited</t>
        </is>
      </c>
    </row>
    <row collapsed="false" customFormat="false" customHeight="false" hidden="false" ht="12.1" outlineLevel="0" r="4092">
      <c r="A4092" s="3" t="s">
        <f>=HYPERLINK("https://mp39851918.megaplan.ua/deals/109191/card/","18540")</f>
      </c>
      <c r="B4092" s="3" t="inlineStr">
        <is>
          <t>114-6095482-8307422</t>
        </is>
      </c>
      <c r="C4092" s="3" t="inlineStr">
        <is>
          <t>PartsUnlimited</t>
        </is>
      </c>
    </row>
    <row collapsed="false" customFormat="false" customHeight="false" hidden="false" ht="12.1" outlineLevel="0" r="4093">
      <c r="A4093" s="3" t="s">
        <f>=HYPERLINK("https://mp39851918.megaplan.ua/deals/109192/card/","18541")</f>
      </c>
      <c r="B4093" s="3" t="inlineStr">
        <is>
          <t>114-8840156-6445014</t>
        </is>
      </c>
      <c r="C4093" s="3" t="inlineStr">
        <is>
          <t>PartsUnlimited</t>
        </is>
      </c>
    </row>
    <row collapsed="false" customFormat="false" customHeight="false" hidden="false" ht="12.1" outlineLevel="0" r="4094">
      <c r="A4094" s="3" t="s">
        <f>=HYPERLINK("https://mp39851918.megaplan.ua/deals/109209/card/","18543")</f>
      </c>
      <c r="B4094" s="3" t="inlineStr">
        <is>
          <t>111-6711667-7909840</t>
        </is>
      </c>
      <c r="C4094" s="3" t="inlineStr">
        <is>
          <t>RockyMountain</t>
        </is>
      </c>
    </row>
    <row collapsed="false" customFormat="false" customHeight="false" hidden="false" ht="12.1" outlineLevel="0" r="4095">
      <c r="A4095" s="3" t="s">
        <f>=HYPERLINK("https://mp39851918.megaplan.ua/deals/109210/card/","18544")</f>
      </c>
      <c r="B4095" s="3" t="inlineStr">
        <is>
          <t>112-4929254-8093857</t>
        </is>
      </c>
      <c r="C4095" s="3" t="inlineStr">
        <is>
          <t>RockyMountain</t>
        </is>
      </c>
    </row>
    <row collapsed="false" customFormat="false" customHeight="false" hidden="false" ht="12.1" outlineLevel="0" r="4096">
      <c r="A4096" s="3" t="s">
        <f>=HYPERLINK("https://mp39851918.megaplan.ua/deals/109211/card/","18545")</f>
      </c>
      <c r="B4096" s="3" t="inlineStr">
        <is>
          <t>113-9181946-5401054</t>
        </is>
      </c>
      <c r="C4096" s="3" t="inlineStr">
        <is>
          <t>Autodist</t>
        </is>
      </c>
    </row>
    <row collapsed="false" customFormat="false" customHeight="false" hidden="false" ht="12.1" outlineLevel="0" r="4097">
      <c r="A4097" s="3" t="s">
        <f>=HYPERLINK("https://mp39851918.megaplan.ua/deals/109219/card/","18546")</f>
      </c>
      <c r="B4097" s="3" t="inlineStr">
        <is>
          <t>111-5323998-9679464</t>
        </is>
      </c>
      <c r="C4097" s="3" t="inlineStr">
        <is>
          <t>TuckerRocky</t>
        </is>
      </c>
    </row>
    <row collapsed="false" customFormat="false" customHeight="false" hidden="false" ht="12.1" outlineLevel="0" r="4098">
      <c r="A4098" s="3" t="s">
        <f>=HYPERLINK("https://mp39851918.megaplan.ua/deals/109220/card/","18547")</f>
      </c>
      <c r="B4098" s="3" t="inlineStr">
        <is>
          <t>113-9077549-2376265</t>
        </is>
      </c>
      <c r="C4098" s="3" t="inlineStr">
        <is>
          <t>TuckerRocky</t>
        </is>
      </c>
    </row>
    <row collapsed="false" customFormat="false" customHeight="false" hidden="false" ht="12.1" outlineLevel="0" r="4099">
      <c r="A4099" s="3" t="s">
        <f>=HYPERLINK("https://mp39851918.megaplan.ua/deals/109221/card/","18548")</f>
      </c>
      <c r="B4099" s="3" t="inlineStr">
        <is>
          <t>114-9789741-7233007</t>
        </is>
      </c>
      <c r="C4099" s="3" t="inlineStr">
        <is>
          <t>TuckerRocky</t>
        </is>
      </c>
    </row>
    <row collapsed="false" customFormat="false" customHeight="false" hidden="false" ht="12.1" outlineLevel="0" r="4100">
      <c r="A4100" s="3" t="s">
        <f>=HYPERLINK("https://mp39851918.megaplan.ua/deals/109231/card/","18549")</f>
      </c>
      <c r="B4100" s="3" t="inlineStr">
        <is>
          <t>112-9552188-9965036</t>
        </is>
      </c>
      <c r="C4100" s="3" t="inlineStr">
        <is>
          <t>RockyMountain</t>
        </is>
      </c>
    </row>
    <row collapsed="false" customFormat="false" customHeight="false" hidden="false" ht="12.1" outlineLevel="0" r="4101">
      <c r="A4101" s="3" t="s">
        <f>=HYPERLINK("https://mp39851918.megaplan.ua/deals/109244/card/","18551")</f>
      </c>
      <c r="B4101" s="3" t="inlineStr">
        <is>
          <t>113-7178983-5173000</t>
        </is>
      </c>
      <c r="C4101" s="3" t="inlineStr">
        <is>
          <t>TuckerRocky</t>
        </is>
      </c>
    </row>
    <row collapsed="false" customFormat="false" customHeight="false" hidden="false" ht="12.1" outlineLevel="0" r="4102">
      <c r="A4102" s="3" t="s">
        <f>=HYPERLINK("https://mp39851918.megaplan.ua/deals/109245/card/","18552")</f>
      </c>
      <c r="B4102" s="3" t="inlineStr">
        <is>
          <t>114-2707133-5882633</t>
        </is>
      </c>
      <c r="C4102" s="3" t="inlineStr">
        <is>
          <t>RockyMountain</t>
        </is>
      </c>
    </row>
    <row collapsed="false" customFormat="false" customHeight="false" hidden="false" ht="12.1" outlineLevel="0" r="4103">
      <c r="A4103" s="3" t="s">
        <f>=HYPERLINK("https://mp39851918.megaplan.ua/deals/109251/card/","18553")</f>
      </c>
      <c r="B4103" s="3" t="inlineStr">
        <is>
          <t>112-6996193-6692219</t>
        </is>
      </c>
      <c r="C4103" s="3" t="inlineStr">
        <is>
          <t>Autodist</t>
        </is>
      </c>
    </row>
    <row collapsed="false" customFormat="false" customHeight="false" hidden="false" ht="12.1" outlineLevel="0" r="4104">
      <c r="A4104" s="3" t="s">
        <f>=HYPERLINK("https://mp39851918.megaplan.ua/deals/109255/card/","18554")</f>
      </c>
      <c r="B4104" s="3" t="inlineStr">
        <is>
          <t>112-6925792-2859465</t>
        </is>
      </c>
      <c r="C4104" s="3" t="inlineStr">
        <is>
          <t>RockyMountain</t>
        </is>
      </c>
    </row>
    <row collapsed="false" customFormat="false" customHeight="false" hidden="false" ht="12.1" outlineLevel="0" r="4105">
      <c r="A4105" s="3" t="s">
        <f>=HYPERLINK("https://mp39851918.megaplan.ua/deals/109269/card/","18555")</f>
      </c>
      <c r="B4105" s="3" t="inlineStr">
        <is>
          <t>111-7085125-6709846</t>
        </is>
      </c>
      <c r="C4105" s="3" t="inlineStr">
        <is>
          <t>RockyMountain</t>
        </is>
      </c>
    </row>
    <row collapsed="false" customFormat="false" customHeight="false" hidden="false" ht="12.1" outlineLevel="0" r="4106">
      <c r="A4106" s="3" t="s">
        <f>=HYPERLINK("https://mp39851918.megaplan.ua/deals/109270/card/","18556")</f>
      </c>
      <c r="B4106" s="3" t="inlineStr">
        <is>
          <t>112-6457077-0593046</t>
        </is>
      </c>
      <c r="C4106" s="3" t="inlineStr">
        <is>
          <t>RockyMountain</t>
        </is>
      </c>
    </row>
    <row collapsed="false" customFormat="false" customHeight="false" hidden="false" ht="12.1" outlineLevel="0" r="4107">
      <c r="A4107" s="3" t="s">
        <f>=HYPERLINK("https://mp39851918.megaplan.ua/deals/109271/card/","18557")</f>
      </c>
      <c r="B4107" s="3" t="inlineStr">
        <is>
          <t>113-9472858-5218603</t>
        </is>
      </c>
      <c r="C4107" s="3" t="inlineStr">
        <is>
          <t>TuckerRocky</t>
        </is>
      </c>
    </row>
    <row collapsed="false" customFormat="false" customHeight="false" hidden="false" ht="12.1" outlineLevel="0" r="4108">
      <c r="A4108" s="3" t="s">
        <f>=HYPERLINK("https://mp39851918.megaplan.ua/deals/109277/card/","18558")</f>
      </c>
      <c r="B4108" s="3" t="inlineStr">
        <is>
          <t>113-8027101-3945847</t>
        </is>
      </c>
      <c r="C4108" s="3" t="inlineStr">
        <is>
          <t>RockyMountain</t>
        </is>
      </c>
    </row>
    <row collapsed="false" customFormat="false" customHeight="false" hidden="false" ht="12.1" outlineLevel="0" r="4109">
      <c r="A4109" s="3" t="s">
        <f>=HYPERLINK("https://mp39851918.megaplan.ua/deals/109293/card/","18559")</f>
      </c>
      <c r="B4109" s="3" t="inlineStr">
        <is>
          <t>114-2891457-4763416</t>
        </is>
      </c>
      <c r="C4109" s="3" t="inlineStr">
        <is>
          <t>TuckerRocky</t>
        </is>
      </c>
    </row>
    <row collapsed="false" customFormat="false" customHeight="false" hidden="false" ht="12.1" outlineLevel="0" r="4110">
      <c r="A4110" s="3" t="s">
        <f>=HYPERLINK("https://mp39851918.megaplan.ua/deals/109298/card/","18560")</f>
      </c>
      <c r="B4110" s="3" t="inlineStr">
        <is>
          <t>111-9556321-0386636</t>
        </is>
      </c>
      <c r="C4110" s="3" t="inlineStr">
        <is>
          <t>TuckerRocky</t>
        </is>
      </c>
    </row>
    <row collapsed="false" customFormat="false" customHeight="false" hidden="false" ht="12.1" outlineLevel="0" r="4111">
      <c r="A4111" s="3" t="s">
        <f>=HYPERLINK("https://mp39851918.megaplan.ua/deals/109301/card/","18561")</f>
      </c>
      <c r="B4111" s="3" t="inlineStr">
        <is>
          <t>113-7249483-1481048</t>
        </is>
      </c>
      <c r="C4111" s="3" t="inlineStr">
        <is>
          <t>Autodist</t>
        </is>
      </c>
    </row>
    <row collapsed="false" customFormat="false" customHeight="false" hidden="false" ht="12.1" outlineLevel="0" r="4112">
      <c r="A4112" s="3" t="s">
        <f>=HYPERLINK("https://mp39851918.megaplan.ua/deals/109306/card/","18562")</f>
      </c>
      <c r="B4112" s="3" t="inlineStr">
        <is>
          <t>114-3198143-1033000</t>
        </is>
      </c>
      <c r="C4112" s="3" t="inlineStr">
        <is>
          <t>TuckerRocky</t>
        </is>
      </c>
    </row>
    <row collapsed="false" customFormat="false" customHeight="false" hidden="false" ht="12.1" outlineLevel="0" r="4113">
      <c r="A4113" s="3" t="s">
        <f>=HYPERLINK("https://mp39851918.megaplan.ua/deals/109321/card/","18563")</f>
      </c>
      <c r="B4113" s="3" t="inlineStr">
        <is>
          <t>112-6838388-4918605</t>
        </is>
      </c>
      <c r="C4113" s="3" t="inlineStr">
        <is>
          <t>TuckerRocky</t>
        </is>
      </c>
    </row>
    <row collapsed="false" customFormat="false" customHeight="false" hidden="false" ht="12.1" outlineLevel="0" r="4114">
      <c r="A4114" s="3" t="s">
        <f>=HYPERLINK("https://mp39851918.megaplan.ua/deals/109323/card/","18564")</f>
      </c>
      <c r="B4114" s="3" t="inlineStr">
        <is>
          <t>112-2173664-5709002</t>
        </is>
      </c>
      <c r="C4114" s="3" t="inlineStr">
        <is>
          <t>TuckerRocky</t>
        </is>
      </c>
    </row>
    <row collapsed="false" customFormat="false" customHeight="false" hidden="false" ht="12.1" outlineLevel="0" r="4115">
      <c r="A4115" s="3" t="s">
        <f>=HYPERLINK("https://mp39851918.megaplan.ua/deals/109340/card/","18566")</f>
      </c>
      <c r="B4115" s="3" t="inlineStr">
        <is>
          <t>112-1251138-3443462</t>
        </is>
      </c>
      <c r="C4115" s="3" t="inlineStr">
        <is>
          <t>Autodist</t>
        </is>
      </c>
    </row>
    <row collapsed="false" customFormat="false" customHeight="false" hidden="false" ht="12.1" outlineLevel="0" r="4116">
      <c r="A4116" s="3" t="s">
        <f>=HYPERLINK("https://mp39851918.megaplan.ua/deals/109345/card/","18567")</f>
      </c>
      <c r="B4116" s="3" t="inlineStr">
        <is>
          <t>111-9118585-3493840</t>
        </is>
      </c>
      <c r="C4116" s="3" t="inlineStr">
        <is>
          <t>TuckerRocky</t>
        </is>
      </c>
    </row>
    <row collapsed="false" customFormat="false" customHeight="false" hidden="false" ht="12.1" outlineLevel="0" r="4117">
      <c r="A4117" s="3" t="s">
        <f>=HYPERLINK("https://mp39851918.megaplan.ua/deals/109348/card/","18568")</f>
      </c>
      <c r="B4117" s="3" t="inlineStr">
        <is>
          <t>111-1981596-2870654</t>
        </is>
      </c>
      <c r="C4117" s="3" t="inlineStr">
        <is>
          <t>TuckerRocky</t>
        </is>
      </c>
    </row>
    <row collapsed="false" customFormat="false" customHeight="false" hidden="false" ht="12.1" outlineLevel="0" r="4118">
      <c r="A4118" s="3" t="s">
        <f>=HYPERLINK("https://mp39851918.megaplan.ua/deals/109350/card/","18569")</f>
      </c>
      <c r="B4118" s="3" t="inlineStr">
        <is>
          <t>113-2019184-4769840</t>
        </is>
      </c>
      <c r="C4118" s="3" t="inlineStr">
        <is>
          <t>TuckerRocky</t>
        </is>
      </c>
    </row>
    <row collapsed="false" customFormat="false" customHeight="false" hidden="false" ht="12.1" outlineLevel="0" r="4119">
      <c r="A4119" s="3" t="s">
        <f>=HYPERLINK("https://mp39851918.megaplan.ua/deals/109351/card/","18570")</f>
      </c>
      <c r="B4119" s="3" t="inlineStr">
        <is>
          <t>111-7974995-1261050</t>
        </is>
      </c>
      <c r="C4119" s="3" t="inlineStr">
        <is>
          <t>TuckerRocky</t>
        </is>
      </c>
    </row>
    <row collapsed="false" customFormat="false" customHeight="false" hidden="false" ht="12.1" outlineLevel="0" r="4120">
      <c r="A4120" s="3" t="s">
        <f>=HYPERLINK("https://mp39851918.megaplan.ua/deals/109354/card/","18571")</f>
      </c>
      <c r="B4120" s="3" t="inlineStr">
        <is>
          <t>112-3618482-8938631</t>
        </is>
      </c>
      <c r="C4120" s="3" t="inlineStr">
        <is>
          <t>PartsUnlimited</t>
        </is>
      </c>
    </row>
    <row collapsed="false" customFormat="false" customHeight="false" hidden="false" ht="12.1" outlineLevel="0" r="4121">
      <c r="A4121" s="3" t="s">
        <f>=HYPERLINK("https://mp39851918.megaplan.ua/deals/109357/card/","18572")</f>
      </c>
      <c r="B4121" s="3" t="inlineStr">
        <is>
          <t>112-9810822-3101807</t>
        </is>
      </c>
      <c r="C4121" s="3" t="inlineStr">
        <is>
          <t>TuckerRocky</t>
        </is>
      </c>
    </row>
    <row collapsed="false" customFormat="false" customHeight="false" hidden="false" ht="12.1" outlineLevel="0" r="4122">
      <c r="A4122" s="3" t="s">
        <f>=HYPERLINK("https://mp39851918.megaplan.ua/deals/109362/card/","18574")</f>
      </c>
      <c r="B4122" s="3" t="inlineStr">
        <is>
          <t>114-5112777-4100263</t>
        </is>
      </c>
      <c r="C4122" s="3" t="inlineStr">
        <is>
          <t>TuckerRocky</t>
        </is>
      </c>
    </row>
    <row collapsed="false" customFormat="false" customHeight="false" hidden="false" ht="12.1" outlineLevel="0" r="4123">
      <c r="A4123" s="3" t="s">
        <f>=HYPERLINK("https://mp39851918.megaplan.ua/deals/109373/card/","18578")</f>
      </c>
      <c r="B4123" s="3" t="inlineStr">
        <is>
          <t>114-6047434-4768246</t>
        </is>
      </c>
      <c r="C4123" s="3" t="inlineStr">
        <is>
          <t>Autodist</t>
        </is>
      </c>
    </row>
    <row collapsed="false" customFormat="false" customHeight="false" hidden="false" ht="12.1" outlineLevel="0" r="4124">
      <c r="A4124" s="3" t="s">
        <f>=HYPERLINK("https://mp39851918.megaplan.ua/deals/109389/card/","18579")</f>
      </c>
      <c r="B4124" s="3" t="inlineStr">
        <is>
          <t>114-1446338-2709001</t>
        </is>
      </c>
      <c r="C4124" s="3" t="inlineStr">
        <is>
          <t>TuckerRocky</t>
        </is>
      </c>
    </row>
    <row collapsed="false" customFormat="false" customHeight="false" hidden="false" ht="12.1" outlineLevel="0" r="4125">
      <c r="A4125" s="3" t="s">
        <f>=HYPERLINK("https://mp39851918.megaplan.ua/deals/109391/card/","18580")</f>
      </c>
      <c r="B4125" s="3" t="inlineStr">
        <is>
          <t>111-9334514-9884269</t>
        </is>
      </c>
      <c r="C4125" s="3" t="inlineStr">
        <is>
          <t>Autodist</t>
        </is>
      </c>
    </row>
    <row collapsed="false" customFormat="false" customHeight="false" hidden="false" ht="12.1" outlineLevel="0" r="4126">
      <c r="A4126" s="3" t="s">
        <f>=HYPERLINK("https://mp39851918.megaplan.ua/deals/109397/card/","18581")</f>
      </c>
      <c r="B4126" s="3" t="inlineStr">
        <is>
          <t>111-3234136-7313862</t>
        </is>
      </c>
      <c r="C4126" s="3" t="inlineStr">
        <is>
          <t>TuckerRocky</t>
        </is>
      </c>
    </row>
    <row collapsed="false" customFormat="false" customHeight="false" hidden="false" ht="12.1" outlineLevel="0" r="4127">
      <c r="A4127" s="3" t="s">
        <f>=HYPERLINK("https://mp39851918.megaplan.ua/deals/109405/card/","18582")</f>
      </c>
      <c r="B4127" s="3" t="inlineStr">
        <is>
          <t>114-9609139-3301804</t>
        </is>
      </c>
      <c r="C4127" s="3" t="inlineStr">
        <is>
          <t>RockyMountain</t>
        </is>
      </c>
    </row>
    <row collapsed="false" customFormat="false" customHeight="false" hidden="false" ht="12.1" outlineLevel="0" r="4128">
      <c r="A4128" s="3" t="s">
        <f>=HYPERLINK("https://mp39851918.megaplan.ua/deals/109408/card/","18583")</f>
      </c>
      <c r="B4128" s="3" t="inlineStr">
        <is>
          <t>111-8452014-0709042</t>
        </is>
      </c>
      <c r="C4128" s="3" t="inlineStr">
        <is>
          <t>TuckerRocky</t>
        </is>
      </c>
    </row>
    <row collapsed="false" customFormat="false" customHeight="false" hidden="false" ht="12.1" outlineLevel="0" r="4129">
      <c r="A4129" s="3" t="s">
        <f>=HYPERLINK("https://mp39851918.megaplan.ua/deals/109413/card/","18585")</f>
      </c>
      <c r="B4129" s="3" t="inlineStr">
        <is>
          <t>111-2126483-1129867</t>
        </is>
      </c>
      <c r="C4129" s="3" t="inlineStr">
        <is>
          <t>TuckerRocky</t>
        </is>
      </c>
    </row>
    <row collapsed="false" customFormat="false" customHeight="false" hidden="false" ht="12.1" outlineLevel="0" r="4130">
      <c r="A4130" s="3" t="s">
        <f>=HYPERLINK("https://mp39851918.megaplan.ua/deals/109428/card/","18586")</f>
      </c>
      <c r="B4130" s="3" t="inlineStr">
        <is>
          <t>113-0065769-2238615</t>
        </is>
      </c>
      <c r="C4130" s="3" t="inlineStr">
        <is>
          <t>RockyMountain</t>
        </is>
      </c>
    </row>
    <row collapsed="false" customFormat="false" customHeight="false" hidden="false" ht="12.1" outlineLevel="0" r="4131">
      <c r="A4131" s="3" t="s">
        <f>=HYPERLINK("https://mp39851918.megaplan.ua/deals/109429/card/","18587")</f>
      </c>
      <c r="B4131" s="3" t="inlineStr">
        <is>
          <t>114-9640784-7153846</t>
        </is>
      </c>
      <c r="C4131" s="3" t="inlineStr">
        <is>
          <t>RockyMountain</t>
        </is>
      </c>
    </row>
    <row collapsed="false" customFormat="false" customHeight="false" hidden="false" ht="12.1" outlineLevel="0" r="4132">
      <c r="A4132" s="3" t="s">
        <f>=HYPERLINK("https://mp39851918.megaplan.ua/deals/109434/card/","18588")</f>
      </c>
      <c r="B4132" s="3" t="inlineStr">
        <is>
          <t>112-0208286-8412200</t>
        </is>
      </c>
      <c r="C4132" s="3" t="inlineStr">
        <is>
          <t>PartsUnlimited</t>
        </is>
      </c>
    </row>
    <row collapsed="false" customFormat="false" customHeight="false" hidden="false" ht="12.1" outlineLevel="0" r="4133">
      <c r="A4133" s="3" t="s">
        <f>=HYPERLINK("https://mp39851918.megaplan.ua/deals/109435/card/","18589")</f>
      </c>
      <c r="B4133" s="3" t="inlineStr">
        <is>
          <t>114-4159765-1616266</t>
        </is>
      </c>
      <c r="C4133" s="3" t="inlineStr">
        <is>
          <t>PartsUnlimited</t>
        </is>
      </c>
    </row>
    <row collapsed="false" customFormat="false" customHeight="false" hidden="false" ht="12.1" outlineLevel="0" r="4134">
      <c r="A4134" s="3" t="s">
        <f>=HYPERLINK("https://mp39851918.megaplan.ua/deals/109439/card/","18590")</f>
      </c>
      <c r="B4134" s="3" t="inlineStr">
        <is>
          <t>114-4458426-0201853</t>
        </is>
      </c>
      <c r="C4134" s="3" t="inlineStr">
        <is>
          <t>PartsUnlimited</t>
        </is>
      </c>
    </row>
    <row collapsed="false" customFormat="false" customHeight="false" hidden="false" ht="12.1" outlineLevel="0" r="4135">
      <c r="A4135" s="3" t="s">
        <f>=HYPERLINK("https://mp39851918.megaplan.ua/deals/109440/card/","18591")</f>
      </c>
      <c r="B4135" s="3" t="inlineStr">
        <is>
          <t>112-5329959-6707463</t>
        </is>
      </c>
      <c r="C4135" s="3" t="inlineStr">
        <is>
          <t>Autodist</t>
        </is>
      </c>
    </row>
    <row collapsed="false" customFormat="false" customHeight="false" hidden="false" ht="12.1" outlineLevel="0" r="4136">
      <c r="A4136" s="3" t="s">
        <f>=HYPERLINK("https://mp39851918.megaplan.ua/deals/109452/card/","18593")</f>
      </c>
      <c r="B4136" s="3" t="inlineStr">
        <is>
          <t>111-1331148-1967417</t>
        </is>
      </c>
      <c r="C4136" s="3" t="inlineStr">
        <is>
          <t>TuckerRocky</t>
        </is>
      </c>
    </row>
    <row collapsed="false" customFormat="false" customHeight="false" hidden="false" ht="12.1" outlineLevel="0" r="4137">
      <c r="A4137" s="3" t="s">
        <f>=HYPERLINK("https://mp39851918.megaplan.ua/deals/109469/card/","18594")</f>
      </c>
      <c r="B4137" s="3" t="inlineStr">
        <is>
          <t>113-3261893-8644252</t>
        </is>
      </c>
      <c r="C4137" s="3" t="inlineStr">
        <is>
          <t>RockyMountain</t>
        </is>
      </c>
    </row>
    <row collapsed="false" customFormat="false" customHeight="false" hidden="false" ht="12.1" outlineLevel="0" r="4138">
      <c r="A4138" s="3" t="s">
        <f>=HYPERLINK("https://mp39851918.megaplan.ua/deals/109474/card/","18595")</f>
      </c>
      <c r="B4138" s="3" t="inlineStr">
        <is>
          <t>111-5274010-6233825</t>
        </is>
      </c>
      <c r="C4138" s="3" t="inlineStr">
        <is>
          <t>RockyMountain</t>
        </is>
      </c>
    </row>
    <row collapsed="false" customFormat="false" customHeight="false" hidden="false" ht="12.1" outlineLevel="0" r="4139">
      <c r="A4139" s="3" t="s">
        <f>=HYPERLINK("https://mp39851918.megaplan.ua/deals/109478/card/","18596")</f>
      </c>
      <c r="B4139" s="3" t="inlineStr">
        <is>
          <t>112-3651589-0548238</t>
        </is>
      </c>
      <c r="C4139" s="3" t="inlineStr">
        <is>
          <t>RockyMountain</t>
        </is>
      </c>
    </row>
    <row collapsed="false" customFormat="false" customHeight="false" hidden="false" ht="12.1" outlineLevel="0" r="4140">
      <c r="A4140" s="3" t="s">
        <f>=HYPERLINK("https://mp39851918.megaplan.ua/deals/109480/card/","18597")</f>
      </c>
      <c r="B4140" s="3" t="inlineStr">
        <is>
          <t>112-7321028-2245855</t>
        </is>
      </c>
      <c r="C4140" s="3" t="inlineStr">
        <is>
          <t>TuckerRocky</t>
        </is>
      </c>
    </row>
    <row collapsed="false" customFormat="false" customHeight="false" hidden="false" ht="12.1" outlineLevel="0" r="4141">
      <c r="A4141" s="3" t="s">
        <f>=HYPERLINK("https://mp39851918.megaplan.ua/deals/109483/card/","18598")</f>
      </c>
      <c r="B4141" s="3" t="inlineStr">
        <is>
          <t>113-3605717-9256236</t>
        </is>
      </c>
      <c r="C4141" s="3" t="inlineStr">
        <is>
          <t>RockyMountain</t>
        </is>
      </c>
    </row>
    <row collapsed="false" customFormat="false" customHeight="false" hidden="false" ht="12.1" outlineLevel="0" r="4142">
      <c r="A4142" s="3" t="s">
        <f>=HYPERLINK("https://mp39851918.megaplan.ua/deals/109490/card/","18600")</f>
      </c>
      <c r="B4142" s="3" t="inlineStr">
        <is>
          <t>114-9797098-8614604</t>
        </is>
      </c>
      <c r="C4142" s="3" t="inlineStr">
        <is>
          <t>PartsUnlimited</t>
        </is>
      </c>
    </row>
    <row collapsed="false" customFormat="false" customHeight="false" hidden="false" ht="12.1" outlineLevel="0" r="4143">
      <c r="A4143" s="3" t="s">
        <f>=HYPERLINK("https://mp39851918.megaplan.ua/deals/109491/card/","18601")</f>
      </c>
      <c r="B4143" s="3" t="inlineStr">
        <is>
          <t>113-7331232-6363456</t>
        </is>
      </c>
      <c r="C4143" s="3" t="inlineStr">
        <is>
          <t>RockyMountain</t>
        </is>
      </c>
    </row>
    <row collapsed="false" customFormat="false" customHeight="false" hidden="false" ht="12.1" outlineLevel="0" r="4144">
      <c r="A4144" s="3" t="s">
        <f>=HYPERLINK("https://mp39851918.megaplan.ua/deals/109501/card/","18602")</f>
      </c>
      <c r="B4144" s="3" t="inlineStr">
        <is>
          <t>114-0097827-2907405</t>
        </is>
      </c>
      <c r="C4144" s="3" t="inlineStr">
        <is>
          <t>PartsUnlimited</t>
        </is>
      </c>
    </row>
    <row collapsed="false" customFormat="false" customHeight="false" hidden="false" ht="12.1" outlineLevel="0" r="4145">
      <c r="A4145" s="3" t="s">
        <f>=HYPERLINK("https://mp39851918.megaplan.ua/deals/109505/card/","18603")</f>
      </c>
      <c r="B4145" s="3" t="inlineStr">
        <is>
          <t>111-9023822-4260201</t>
        </is>
      </c>
      <c r="C4145" s="3" t="inlineStr">
        <is>
          <t>RockyMountain</t>
        </is>
      </c>
    </row>
    <row collapsed="false" customFormat="false" customHeight="false" hidden="false" ht="12.1" outlineLevel="0" r="4146">
      <c r="A4146" s="3" t="s">
        <f>=HYPERLINK("https://mp39851918.megaplan.ua/deals/109506/card/","18604")</f>
      </c>
      <c r="B4146" s="3" t="inlineStr">
        <is>
          <t>113-2105291-4429840</t>
        </is>
      </c>
      <c r="C4146" s="3" t="inlineStr">
        <is>
          <t>TuckerRocky</t>
        </is>
      </c>
    </row>
    <row collapsed="false" customFormat="false" customHeight="false" hidden="false" ht="12.1" outlineLevel="0" r="4147">
      <c r="A4147" s="3" t="s">
        <f>=HYPERLINK("https://mp39851918.megaplan.ua/deals/109511/card/","18605")</f>
      </c>
      <c r="B4147" s="3" t="inlineStr">
        <is>
          <t>111-7674194-7781061</t>
        </is>
      </c>
      <c r="C4147" s="3" t="inlineStr">
        <is>
          <t>TuckerRocky</t>
        </is>
      </c>
    </row>
    <row collapsed="false" customFormat="false" customHeight="false" hidden="false" ht="12.1" outlineLevel="0" r="4148">
      <c r="A4148" s="3" t="s">
        <f>=HYPERLINK("https://mp39851918.megaplan.ua/deals/109515/card/","18606")</f>
      </c>
      <c r="B4148" s="3" t="inlineStr">
        <is>
          <t>112-1096809-5021866</t>
        </is>
      </c>
      <c r="C4148" s="3" t="inlineStr">
        <is>
          <t>PartsUnlimited</t>
        </is>
      </c>
    </row>
    <row collapsed="false" customFormat="false" customHeight="false" hidden="false" ht="12.1" outlineLevel="0" r="4149">
      <c r="A4149" s="3" t="s">
        <f>=HYPERLINK("https://mp39851918.megaplan.ua/deals/109526/card/","18607")</f>
      </c>
      <c r="B4149" s="3" t="inlineStr">
        <is>
          <t>113-8120626-5490612</t>
        </is>
      </c>
      <c r="C4149" s="3" t="inlineStr">
        <is>
          <t>RockyMountain</t>
        </is>
      </c>
    </row>
    <row collapsed="false" customFormat="false" customHeight="false" hidden="false" ht="12.1" outlineLevel="0" r="4150">
      <c r="A4150" s="3" t="s">
        <f>=HYPERLINK("https://mp39851918.megaplan.ua/deals/109529/card/","18608")</f>
      </c>
      <c r="B4150" s="3" t="inlineStr">
        <is>
          <t>113-5290420-3521862</t>
        </is>
      </c>
      <c r="C4150" s="3" t="inlineStr">
        <is>
          <t>TuckerRocky</t>
        </is>
      </c>
    </row>
    <row collapsed="false" customFormat="false" customHeight="false" hidden="false" ht="12.1" outlineLevel="0" r="4151">
      <c r="A4151" s="3" t="s">
        <f>=HYPERLINK("https://mp39851918.megaplan.ua/deals/109530/card/","18609")</f>
      </c>
      <c r="B4151" s="3" t="inlineStr">
        <is>
          <t>113-8090369-0989855</t>
        </is>
      </c>
      <c r="C4151" s="3" t="inlineStr">
        <is>
          <t>TuckerRocky</t>
        </is>
      </c>
    </row>
    <row collapsed="false" customFormat="false" customHeight="false" hidden="false" ht="12.1" outlineLevel="0" r="4152">
      <c r="A4152" s="3" t="s">
        <f>=HYPERLINK("https://mp39851918.megaplan.ua/deals/109546/card/","18612")</f>
      </c>
      <c r="B4152" s="3" t="inlineStr">
        <is>
          <t>111-1728448-6109063</t>
        </is>
      </c>
      <c r="C4152" s="3" t="inlineStr">
        <is>
          <t>RockyMountain</t>
        </is>
      </c>
    </row>
    <row collapsed="false" customFormat="false" customHeight="false" hidden="false" ht="12.1" outlineLevel="0" r="4153">
      <c r="A4153" s="3" t="s">
        <f>=HYPERLINK("https://mp39851918.megaplan.ua/deals/109547/card/","18613")</f>
      </c>
      <c r="B4153" s="3" t="inlineStr">
        <is>
          <t>113-1717837-3145017</t>
        </is>
      </c>
      <c r="C4153" s="3" t="inlineStr">
        <is>
          <t>PartsUnlimited</t>
        </is>
      </c>
    </row>
    <row collapsed="false" customFormat="false" customHeight="false" hidden="false" ht="12.1" outlineLevel="0" r="4154">
      <c r="A4154" s="3" t="s">
        <f>=HYPERLINK("https://mp39851918.megaplan.ua/deals/109549/card/","18614")</f>
      </c>
      <c r="B4154" s="3" t="inlineStr">
        <is>
          <t>113-0017482-2901824</t>
        </is>
      </c>
      <c r="C4154" s="3" t="inlineStr">
        <is>
          <t>Autodist</t>
        </is>
      </c>
    </row>
    <row collapsed="false" customFormat="false" customHeight="false" hidden="false" ht="12.1" outlineLevel="0" r="4155">
      <c r="A4155" s="3" t="s">
        <f>=HYPERLINK("https://mp39851918.megaplan.ua/deals/109561/card/","18616")</f>
      </c>
      <c r="B4155" s="3" t="inlineStr">
        <is>
          <t>112-3028743-7772206</t>
        </is>
      </c>
      <c r="C4155" s="3" t="inlineStr">
        <is>
          <t>TuckerRocky</t>
        </is>
      </c>
    </row>
    <row collapsed="false" customFormat="false" customHeight="false" hidden="false" ht="12.1" outlineLevel="0" r="4156">
      <c r="A4156" s="3" t="s">
        <f>=HYPERLINK("https://mp39851918.megaplan.ua/deals/109571/card/","18617")</f>
      </c>
      <c r="B4156" s="3" t="inlineStr">
        <is>
          <t>113-7333233-4801825</t>
        </is>
      </c>
      <c r="C4156" s="3" t="inlineStr">
        <is>
          <t>RockyMountain</t>
        </is>
      </c>
    </row>
    <row collapsed="false" customFormat="false" customHeight="false" hidden="false" ht="12.1" outlineLevel="0" r="4157">
      <c r="A4157" s="3" t="s">
        <f>=HYPERLINK("https://mp39851918.megaplan.ua/deals/109577/card/","18618")</f>
      </c>
      <c r="B4157" s="3" t="inlineStr">
        <is>
          <t>112-0940696-3758638</t>
        </is>
      </c>
      <c r="C4157" s="3" t="inlineStr">
        <is>
          <t>PartsUnlimited</t>
        </is>
      </c>
    </row>
    <row collapsed="false" customFormat="false" customHeight="false" hidden="false" ht="12.1" outlineLevel="0" r="4158">
      <c r="A4158" s="3" t="s">
        <f>=HYPERLINK("https://mp39851918.megaplan.ua/deals/109579/card/","18619")</f>
      </c>
      <c r="B4158" s="3" t="inlineStr">
        <is>
          <t>113-0637197-7771416</t>
        </is>
      </c>
      <c r="C4158" s="3" t="inlineStr">
        <is>
          <t>Autodist</t>
        </is>
      </c>
    </row>
    <row collapsed="false" customFormat="false" customHeight="false" hidden="false" ht="12.1" outlineLevel="0" r="4159">
      <c r="A4159" s="3" t="s">
        <f>=HYPERLINK("https://mp39851918.megaplan.ua/deals/109586/card/","18620")</f>
      </c>
      <c r="B4159" s="3" t="inlineStr">
        <is>
          <t>111-3972967-1006628</t>
        </is>
      </c>
      <c r="C4159" s="3" t="inlineStr">
        <is>
          <t>RockyMountain</t>
        </is>
      </c>
    </row>
    <row collapsed="false" customFormat="false" customHeight="false" hidden="false" ht="12.1" outlineLevel="0" r="4160">
      <c r="A4160" s="3" t="s">
        <f>=HYPERLINK("https://mp39851918.megaplan.ua/deals/109603/card/","18621")</f>
      </c>
      <c r="B4160" s="3" t="inlineStr">
        <is>
          <t>112-3295201-1611466</t>
        </is>
      </c>
      <c r="C4160" s="3" t="inlineStr">
        <is>
          <t>TuckerRocky</t>
        </is>
      </c>
    </row>
    <row collapsed="false" customFormat="false" customHeight="false" hidden="false" ht="12.1" outlineLevel="0" r="4161">
      <c r="A4161" s="3" t="s">
        <f>=HYPERLINK("https://mp39851918.megaplan.ua/deals/109610/card/","18622")</f>
      </c>
      <c r="B4161" s="3" t="inlineStr">
        <is>
          <t>114-6787743-0055414</t>
        </is>
      </c>
      <c r="C4161" s="3" t="inlineStr">
        <is>
          <t>Autodist</t>
        </is>
      </c>
    </row>
    <row collapsed="false" customFormat="false" customHeight="false" hidden="false" ht="12.1" outlineLevel="0" r="4162">
      <c r="A4162" s="3" t="s">
        <f>=HYPERLINK("https://mp39851918.megaplan.ua/deals/109630/card/","18624")</f>
      </c>
      <c r="B4162" s="3" t="inlineStr">
        <is>
          <t>111-3077191-1136269</t>
        </is>
      </c>
      <c r="C4162" s="3" t="inlineStr">
        <is>
          <t>TuckerRocky</t>
        </is>
      </c>
    </row>
    <row collapsed="false" customFormat="false" customHeight="false" hidden="false" ht="12.1" outlineLevel="0" r="4163">
      <c r="A4163" s="3" t="s">
        <f>=HYPERLINK("https://mp39851918.megaplan.ua/deals/109642/card/","18625")</f>
      </c>
      <c r="B4163" s="3" t="inlineStr">
        <is>
          <t>114-4259769-0473818</t>
        </is>
      </c>
      <c r="C4163" s="3" t="inlineStr">
        <is>
          <t>PartsUnlimited</t>
        </is>
      </c>
    </row>
    <row collapsed="false" customFormat="false" customHeight="false" hidden="false" ht="12.1" outlineLevel="0" r="4164">
      <c r="A4164" s="3" t="s">
        <f>=HYPERLINK("https://mp39851918.megaplan.ua/deals/109644/card/","18626")</f>
      </c>
      <c r="B4164" s="3" t="inlineStr">
        <is>
          <t>114-6732497-1492253</t>
        </is>
      </c>
      <c r="C4164" s="3" t="inlineStr">
        <is>
          <t>RockyMountain</t>
        </is>
      </c>
    </row>
    <row collapsed="false" customFormat="false" customHeight="false" hidden="false" ht="12.1" outlineLevel="0" r="4165">
      <c r="A4165" s="3" t="s">
        <f>=HYPERLINK("https://mp39851918.megaplan.ua/deals/109651/card/","18627")</f>
      </c>
      <c r="B4165" s="3" t="inlineStr">
        <is>
          <t>111-9500765-6749816</t>
        </is>
      </c>
      <c r="C4165" s="3" t="inlineStr">
        <is>
          <t>Autodist</t>
        </is>
      </c>
    </row>
    <row collapsed="false" customFormat="false" customHeight="false" hidden="false" ht="12.1" outlineLevel="0" r="4166">
      <c r="A4166" s="3" t="s">
        <f>=HYPERLINK("https://mp39851918.megaplan.ua/deals/109652/card/","18628")</f>
      </c>
      <c r="B4166" s="3" t="inlineStr">
        <is>
          <t>112-2178003-7211461</t>
        </is>
      </c>
      <c r="C4166" s="3" t="inlineStr">
        <is>
          <t>Autodist</t>
        </is>
      </c>
    </row>
    <row collapsed="false" customFormat="false" customHeight="false" hidden="false" ht="12.1" outlineLevel="0" r="4167">
      <c r="A4167" s="3" t="s">
        <f>=HYPERLINK("https://mp39851918.megaplan.ua/deals/109658/card/","18630")</f>
      </c>
      <c r="B4167" s="3" t="inlineStr">
        <is>
          <t>112-3552325-5345011</t>
        </is>
      </c>
      <c r="C4167" s="3" t="inlineStr">
        <is>
          <t>RockyMountain</t>
        </is>
      </c>
    </row>
    <row collapsed="false" customFormat="false" customHeight="false" hidden="false" ht="12.1" outlineLevel="0" r="4168">
      <c r="A4168" s="3" t="s">
        <f>=HYPERLINK("https://mp39851918.megaplan.ua/deals/109671/card/","18632")</f>
      </c>
      <c r="B4168" s="3" t="inlineStr">
        <is>
          <t>112-1203914-9415413</t>
        </is>
      </c>
      <c r="C4168" s="3" t="inlineStr">
        <is>
          <t>PartsUnlimited</t>
        </is>
      </c>
    </row>
    <row collapsed="false" customFormat="false" customHeight="false" hidden="false" ht="12.1" outlineLevel="0" r="4169">
      <c r="A4169" s="3" t="s">
        <f>=HYPERLINK("https://mp39851918.megaplan.ua/deals/109672/card/","18633")</f>
      </c>
      <c r="B4169" s="3" t="inlineStr">
        <is>
          <t>112-2191828-8109031</t>
        </is>
      </c>
      <c r="C4169" s="3" t="inlineStr">
        <is>
          <t>Autodist</t>
        </is>
      </c>
    </row>
    <row collapsed="false" customFormat="false" customHeight="false" hidden="false" ht="12.1" outlineLevel="0" r="4170">
      <c r="A4170" s="3" t="s">
        <f>=HYPERLINK("https://mp39851918.megaplan.ua/deals/109676/card/","18635")</f>
      </c>
      <c r="B4170" s="3" t="inlineStr">
        <is>
          <t>111-2603191-0487459</t>
        </is>
      </c>
      <c r="C4170" s="3" t="inlineStr">
        <is>
          <t>RockyMountain</t>
        </is>
      </c>
    </row>
    <row collapsed="false" customFormat="false" customHeight="false" hidden="false" ht="12.1" outlineLevel="0" r="4171">
      <c r="A4171" s="3" t="s">
        <f>=HYPERLINK("https://mp39851918.megaplan.ua/deals/109690/card/","18636")</f>
      </c>
      <c r="B4171" s="3" t="inlineStr">
        <is>
          <t>111-4955700-7502633</t>
        </is>
      </c>
      <c r="C4171" s="3" t="inlineStr">
        <is>
          <t>TuckerRocky</t>
        </is>
      </c>
    </row>
    <row collapsed="false" customFormat="false" customHeight="false" hidden="false" ht="12.1" outlineLevel="0" r="4172">
      <c r="A4172" s="3" t="s">
        <f>=HYPERLINK("https://mp39851918.megaplan.ua/deals/109693/card/","18637")</f>
      </c>
      <c r="B4172" s="3" t="inlineStr">
        <is>
          <t>112-1029305-8241057</t>
        </is>
      </c>
      <c r="C4172" s="3" t="inlineStr">
        <is>
          <t>Autodist</t>
        </is>
      </c>
    </row>
    <row collapsed="false" customFormat="false" customHeight="false" hidden="false" ht="12.1" outlineLevel="0" r="4173">
      <c r="A4173" s="3" t="s">
        <f>=HYPERLINK("https://mp39851918.megaplan.ua/deals/109713/card/","18639")</f>
      </c>
      <c r="B4173" s="3" t="inlineStr">
        <is>
          <t>114-9295956-2893050</t>
        </is>
      </c>
      <c r="C4173" s="3" t="inlineStr">
        <is>
          <t>Autodist</t>
        </is>
      </c>
    </row>
    <row collapsed="false" customFormat="false" customHeight="false" hidden="false" ht="12.1" outlineLevel="0" r="4174">
      <c r="A4174" s="3" t="s">
        <f>=HYPERLINK("https://mp39851918.megaplan.ua/deals/109715/card/","18640")</f>
      </c>
      <c r="B4174" s="3" t="inlineStr">
        <is>
          <t>111-3629205-6153831</t>
        </is>
      </c>
      <c r="C4174" s="3" t="inlineStr">
        <is>
          <t>RockyMountain</t>
        </is>
      </c>
    </row>
    <row collapsed="false" customFormat="false" customHeight="false" hidden="false" ht="12.1" outlineLevel="0" r="4175">
      <c r="A4175" s="3" t="s">
        <f>=HYPERLINK("https://mp39851918.megaplan.ua/deals/109720/card/","18641")</f>
      </c>
      <c r="B4175" s="3" t="inlineStr">
        <is>
          <t>113-2378077-6945061</t>
        </is>
      </c>
      <c r="C4175" s="3" t="inlineStr">
        <is>
          <t>RockyMountain</t>
        </is>
      </c>
    </row>
    <row collapsed="false" customFormat="false" customHeight="false" hidden="false" ht="12.1" outlineLevel="0" r="4176">
      <c r="A4176" s="3" t="s">
        <f>=HYPERLINK("https://mp39851918.megaplan.ua/deals/109726/card/","18642")</f>
      </c>
      <c r="B4176" s="3" t="inlineStr">
        <is>
          <t>113-7338648-6655459</t>
        </is>
      </c>
      <c r="C4176" s="3" t="inlineStr">
        <is>
          <t>RockyMountain</t>
        </is>
      </c>
    </row>
    <row collapsed="false" customFormat="false" customHeight="false" hidden="false" ht="12.1" outlineLevel="0" r="4177">
      <c r="A4177" s="3" t="s">
        <f>=HYPERLINK("https://mp39851918.megaplan.ua/deals/109731/card/","18644")</f>
      </c>
      <c r="B4177" s="3" t="inlineStr">
        <is>
          <t>114-5248957-5880231</t>
        </is>
      </c>
      <c r="C4177" s="3" t="inlineStr">
        <is>
          <t>RockyMountain</t>
        </is>
      </c>
    </row>
    <row collapsed="false" customFormat="false" customHeight="false" hidden="false" ht="12.1" outlineLevel="0" r="4178">
      <c r="A4178" s="3" t="s">
        <f>=HYPERLINK("https://mp39851918.megaplan.ua/deals/109734/card/","18645")</f>
      </c>
      <c r="B4178" s="3" t="inlineStr">
        <is>
          <t>113-7341663-8598627</t>
        </is>
      </c>
      <c r="C4178" s="3" t="inlineStr">
        <is>
          <t>TuckerRocky</t>
        </is>
      </c>
    </row>
    <row collapsed="false" customFormat="false" customHeight="false" hidden="false" ht="12.1" outlineLevel="0" r="4179">
      <c r="A4179" s="3" t="s">
        <f>=HYPERLINK("https://mp39851918.megaplan.ua/deals/109738/card/","18646")</f>
      </c>
      <c r="B4179" s="3" t="inlineStr">
        <is>
          <t>111-2097902-9781057</t>
        </is>
      </c>
      <c r="C4179" s="3" t="inlineStr">
        <is>
          <t>TuckerRocky</t>
        </is>
      </c>
    </row>
    <row collapsed="false" customFormat="false" customHeight="false" hidden="false" ht="12.1" outlineLevel="0" r="4180">
      <c r="A4180" s="3" t="s">
        <f>=HYPERLINK("https://mp39851918.megaplan.ua/deals/109753/card/","18649")</f>
      </c>
      <c r="B4180" s="3" t="inlineStr">
        <is>
          <t>113-3823975-3613806</t>
        </is>
      </c>
      <c r="C4180" s="3" t="inlineStr">
        <is>
          <t>RockyMountain</t>
        </is>
      </c>
    </row>
    <row collapsed="false" customFormat="false" customHeight="false" hidden="false" ht="12.1" outlineLevel="0" r="4181">
      <c r="A4181" s="3" t="s">
        <f>=HYPERLINK("https://mp39851918.megaplan.ua/deals/109771/card/","18652")</f>
      </c>
      <c r="B4181" s="3" t="inlineStr">
        <is>
          <t>111-7191944-2681057</t>
        </is>
      </c>
      <c r="C4181" s="3" t="inlineStr">
        <is>
          <t>RockyMountain</t>
        </is>
      </c>
    </row>
    <row collapsed="false" customFormat="false" customHeight="false" hidden="false" ht="12.1" outlineLevel="0" r="4182">
      <c r="A4182" s="3" t="s">
        <f>=HYPERLINK("https://mp39851918.megaplan.ua/deals/109772/card/","18653")</f>
      </c>
      <c r="B4182" s="3" t="inlineStr">
        <is>
          <t>114-6181125-8208251</t>
        </is>
      </c>
      <c r="C4182" s="3" t="inlineStr">
        <is>
          <t>RockyMountain</t>
        </is>
      </c>
    </row>
    <row collapsed="false" customFormat="false" customHeight="false" hidden="false" ht="12.1" outlineLevel="0" r="4183">
      <c r="A4183" s="3" t="s">
        <f>=HYPERLINK("https://mp39851918.megaplan.ua/deals/109773/card/","18654")</f>
      </c>
      <c r="B4183" s="3" t="inlineStr">
        <is>
          <t>111-3385381-4942638</t>
        </is>
      </c>
      <c r="C4183" s="3" t="inlineStr">
        <is>
          <t>RockyMountain</t>
        </is>
      </c>
    </row>
    <row collapsed="false" customFormat="false" customHeight="false" hidden="false" ht="12.1" outlineLevel="0" r="4184">
      <c r="A4184" s="3" t="s">
        <f>=HYPERLINK("https://mp39851918.megaplan.ua/deals/109779/card/","18656")</f>
      </c>
      <c r="B4184" s="3" t="inlineStr">
        <is>
          <t>114-7278864-5516245</t>
        </is>
      </c>
      <c r="C4184" s="3" t="inlineStr">
        <is>
          <t>TuckerRocky</t>
        </is>
      </c>
    </row>
    <row collapsed="false" customFormat="false" customHeight="false" hidden="false" ht="12.1" outlineLevel="0" r="4185">
      <c r="A4185" s="3" t="s">
        <f>=HYPERLINK("https://mp39851918.megaplan.ua/deals/109781/card/","18657")</f>
      </c>
      <c r="B4185" s="3" t="inlineStr">
        <is>
          <t>113-6238127-0389825</t>
        </is>
      </c>
      <c r="C4185" s="3" t="inlineStr">
        <is>
          <t>RockyMountain</t>
        </is>
      </c>
    </row>
    <row collapsed="false" customFormat="false" customHeight="false" hidden="false" ht="12.1" outlineLevel="0" r="4186">
      <c r="A4186" s="3" t="s">
        <f>=HYPERLINK("https://mp39851918.megaplan.ua/deals/109789/card/","18659")</f>
      </c>
      <c r="B4186" s="3" t="inlineStr">
        <is>
          <t>114-9461131-5238630</t>
        </is>
      </c>
      <c r="C4186" s="3" t="inlineStr">
        <is>
          <t>PartsUnlimited</t>
        </is>
      </c>
    </row>
    <row collapsed="false" customFormat="false" customHeight="false" hidden="false" ht="12.1" outlineLevel="0" r="4187">
      <c r="A4187" s="3" t="s">
        <f>=HYPERLINK("https://mp39851918.megaplan.ua/deals/109811/card/","18661")</f>
      </c>
      <c r="B4187" s="3" t="inlineStr">
        <is>
          <t>113-5503583-2710644</t>
        </is>
      </c>
      <c r="C4187" s="3" t="inlineStr">
        <is>
          <t>TuckerRocky</t>
        </is>
      </c>
    </row>
    <row collapsed="false" customFormat="false" customHeight="false" hidden="false" ht="12.1" outlineLevel="0" r="4188">
      <c r="A4188" s="3" t="s">
        <f>=HYPERLINK("https://mp39851918.megaplan.ua/deals/109812/card/","18662")</f>
      </c>
      <c r="B4188" s="3" t="inlineStr">
        <is>
          <t>114-9191447-5806634</t>
        </is>
      </c>
      <c r="C4188" s="3" t="inlineStr">
        <is>
          <t>PartsUnlimited</t>
        </is>
      </c>
    </row>
    <row collapsed="false" customFormat="false" customHeight="false" hidden="false" ht="12.1" outlineLevel="0" r="4189">
      <c r="A4189" s="3" t="s">
        <f>=HYPERLINK("https://mp39851918.megaplan.ua/deals/109831/card/","18663")</f>
      </c>
      <c r="B4189" s="3" t="inlineStr">
        <is>
          <t>114-5417990-3394628</t>
        </is>
      </c>
      <c r="C4189" s="3" t="inlineStr">
        <is>
          <t>TuckerRocky</t>
        </is>
      </c>
    </row>
    <row collapsed="false" customFormat="false" customHeight="false" hidden="false" ht="12.1" outlineLevel="0" r="4190">
      <c r="A4190" s="3" t="s">
        <f>=HYPERLINK("https://mp39851918.megaplan.ua/deals/109834/card/","18664")</f>
      </c>
      <c r="B4190" s="3" t="inlineStr">
        <is>
          <t>111-2554955-8193840</t>
        </is>
      </c>
      <c r="C4190" s="3" t="inlineStr">
        <is>
          <t>RockyMountain</t>
        </is>
      </c>
    </row>
    <row collapsed="false" customFormat="false" customHeight="false" hidden="false" ht="12.1" outlineLevel="0" r="4191">
      <c r="A4191" s="3" t="s">
        <f>=HYPERLINK("https://mp39851918.megaplan.ua/deals/109836/card/","18665")</f>
      </c>
      <c r="B4191" s="3" t="inlineStr">
        <is>
          <t>114-4428432-7742648</t>
        </is>
      </c>
      <c r="C4191" s="3" t="inlineStr">
        <is>
          <t>TuckerRocky</t>
        </is>
      </c>
    </row>
    <row collapsed="false" customFormat="false" customHeight="false" hidden="false" ht="12.1" outlineLevel="0" r="4192">
      <c r="A4192" s="3" t="s">
        <f>=HYPERLINK("https://mp39851918.megaplan.ua/deals/109841/card/","18666")</f>
      </c>
      <c r="B4192" s="3" t="inlineStr">
        <is>
          <t>111-8228522-7773830</t>
        </is>
      </c>
      <c r="C4192" s="3" t="inlineStr">
        <is>
          <t>RockyMountain</t>
        </is>
      </c>
    </row>
    <row collapsed="false" customFormat="false" customHeight="false" hidden="false" ht="12.1" outlineLevel="0" r="4193">
      <c r="A4193" s="3" t="s">
        <f>=HYPERLINK("https://mp39851918.megaplan.ua/deals/109842/card/","18667")</f>
      </c>
      <c r="B4193" s="3" t="inlineStr">
        <is>
          <t>112-7908196-1729814</t>
        </is>
      </c>
      <c r="C4193" s="3" t="inlineStr">
        <is>
          <t>TuckerRocky</t>
        </is>
      </c>
    </row>
    <row collapsed="false" customFormat="false" customHeight="false" hidden="false" ht="12.1" outlineLevel="0" r="4194">
      <c r="A4194" s="3" t="s">
        <f>=HYPERLINK("https://mp39851918.megaplan.ua/deals/109862/card/","18669")</f>
      </c>
      <c r="B4194" s="3" t="inlineStr">
        <is>
          <t>112-9589325-4693059</t>
        </is>
      </c>
      <c r="C4194" s="3" t="inlineStr">
        <is>
          <t>RockyMountain</t>
        </is>
      </c>
    </row>
    <row collapsed="false" customFormat="false" customHeight="false" hidden="false" ht="12.1" outlineLevel="0" r="4195">
      <c r="A4195" s="3" t="s">
        <f>=HYPERLINK("https://mp39851918.megaplan.ua/deals/109868/card/","18670")</f>
      </c>
      <c r="B4195" s="3" t="inlineStr">
        <is>
          <t>114-0850743-9117043</t>
        </is>
      </c>
      <c r="C4195" s="3" t="inlineStr">
        <is>
          <t>TuckerRocky</t>
        </is>
      </c>
    </row>
    <row collapsed="false" customFormat="false" customHeight="false" hidden="false" ht="12.1" outlineLevel="0" r="4196">
      <c r="A4196" s="3" t="s">
        <f>=HYPERLINK("https://mp39851918.megaplan.ua/deals/109891/card/","18672")</f>
      </c>
      <c r="B4196" s="3" t="inlineStr">
        <is>
          <t>112-0822307-8157002</t>
        </is>
      </c>
      <c r="C4196" s="3" t="inlineStr">
        <is>
          <t>PartsUnlimited</t>
        </is>
      </c>
    </row>
    <row collapsed="false" customFormat="false" customHeight="false" hidden="false" ht="12.1" outlineLevel="0" r="4197">
      <c r="A4197" s="3" t="s">
        <f>=HYPERLINK("https://mp39851918.megaplan.ua/deals/109894/card/","18673")</f>
      </c>
      <c r="B4197" s="3" t="inlineStr">
        <is>
          <t>114-1996363-9683433</t>
        </is>
      </c>
      <c r="C4197" s="3" t="inlineStr">
        <is>
          <t>PartsUnlimited</t>
        </is>
      </c>
    </row>
    <row collapsed="false" customFormat="false" customHeight="false" hidden="false" ht="12.1" outlineLevel="0" r="4198">
      <c r="A4198" s="3" t="s">
        <f>=HYPERLINK("https://mp39851918.megaplan.ua/deals/109895/card/","18674")</f>
      </c>
      <c r="B4198" s="3" t="inlineStr">
        <is>
          <t>113-9350751-9420258</t>
        </is>
      </c>
      <c r="C4198" s="3" t="inlineStr">
        <is>
          <t>RockyMountain</t>
        </is>
      </c>
    </row>
    <row collapsed="false" customFormat="false" customHeight="false" hidden="false" ht="12.1" outlineLevel="0" r="4199">
      <c r="A4199" s="3" t="s">
        <f>=HYPERLINK("https://mp39851918.megaplan.ua/deals/109899/card/","18675")</f>
      </c>
      <c r="B4199" s="3" t="inlineStr">
        <is>
          <t>114-8300254-7910662</t>
        </is>
      </c>
      <c r="C4199" s="3" t="inlineStr">
        <is>
          <t>PartsUnlimited</t>
        </is>
      </c>
    </row>
    <row collapsed="false" customFormat="false" customHeight="false" hidden="false" ht="12.1" outlineLevel="0" r="4200">
      <c r="A4200" s="3" t="s">
        <f>=HYPERLINK("https://mp39851918.megaplan.ua/deals/109900/card/","18676")</f>
      </c>
      <c r="B4200" s="3" t="inlineStr">
        <is>
          <t>111-9283870-2821808</t>
        </is>
      </c>
      <c r="C4200" s="3" t="inlineStr">
        <is>
          <t>PartsUnlimited</t>
        </is>
      </c>
    </row>
    <row collapsed="false" customFormat="false" customHeight="false" hidden="false" ht="12.1" outlineLevel="0" r="4201">
      <c r="A4201" s="3" t="s">
        <f>=HYPERLINK("https://mp39851918.megaplan.ua/deals/109909/card/","18677")</f>
      </c>
      <c r="B4201" s="3" t="inlineStr">
        <is>
          <t>114-7828186-8288201</t>
        </is>
      </c>
      <c r="C4201" s="3" t="inlineStr">
        <is>
          <t>RockyMountain</t>
        </is>
      </c>
    </row>
    <row collapsed="false" customFormat="false" customHeight="false" hidden="false" ht="12.1" outlineLevel="0" r="4202">
      <c r="A4202" s="3" t="s">
        <f>=HYPERLINK("https://mp39851918.megaplan.ua/deals/109918/card/","18679")</f>
      </c>
      <c r="B4202" s="3" t="inlineStr">
        <is>
          <t>114-3911054-8361857</t>
        </is>
      </c>
      <c r="C4202" s="3" t="inlineStr">
        <is>
          <t>RockyMountain</t>
        </is>
      </c>
    </row>
    <row collapsed="false" customFormat="false" customHeight="false" hidden="false" ht="12.1" outlineLevel="0" r="4203">
      <c r="A4203" s="3" t="s">
        <f>=HYPERLINK("https://mp39851918.megaplan.ua/deals/109919/card/","18680")</f>
      </c>
      <c r="B4203" s="3" t="inlineStr">
        <is>
          <t>114-9893345-4557025</t>
        </is>
      </c>
      <c r="C4203" s="3" t="inlineStr">
        <is>
          <t>TuckerRocky</t>
        </is>
      </c>
    </row>
    <row collapsed="false" customFormat="false" customHeight="false" hidden="false" ht="12.1" outlineLevel="0" r="4204">
      <c r="A4204" s="3" t="s">
        <f>=HYPERLINK("https://mp39851918.megaplan.ua/deals/109930/card/","18682")</f>
      </c>
      <c r="B4204" s="3" t="inlineStr">
        <is>
          <t>111-0055067-1105838</t>
        </is>
      </c>
      <c r="C4204" s="3" t="inlineStr">
        <is>
          <t>TuckerRocky</t>
        </is>
      </c>
    </row>
    <row collapsed="false" customFormat="false" customHeight="false" hidden="false" ht="12.1" outlineLevel="0" r="4205">
      <c r="A4205" s="3" t="s">
        <f>=HYPERLINK("https://mp39851918.megaplan.ua/deals/109932/card/","18683")</f>
      </c>
      <c r="B4205" s="3" t="inlineStr">
        <is>
          <t>112-6847715-9776256</t>
        </is>
      </c>
      <c r="C4205" s="3" t="inlineStr">
        <is>
          <t>Autodist</t>
        </is>
      </c>
    </row>
    <row collapsed="false" customFormat="false" customHeight="false" hidden="false" ht="12.1" outlineLevel="0" r="4206">
      <c r="A4206" s="3" t="s">
        <f>=HYPERLINK("https://mp39851918.megaplan.ua/deals/109936/card/","18684")</f>
      </c>
      <c r="B4206" s="3" t="inlineStr">
        <is>
          <t>112-6184876-3798628</t>
        </is>
      </c>
      <c r="C4206" s="3" t="inlineStr">
        <is>
          <t>PartsUnlimited</t>
        </is>
      </c>
    </row>
    <row collapsed="false" customFormat="false" customHeight="false" hidden="false" ht="12.1" outlineLevel="0" r="4207">
      <c r="A4207" s="3" t="s">
        <f>=HYPERLINK("https://mp39851918.megaplan.ua/deals/109939/card/","18685")</f>
      </c>
      <c r="B4207" s="3" t="inlineStr">
        <is>
          <t>114-7203076-2512216</t>
        </is>
      </c>
      <c r="C4207" s="3" t="inlineStr">
        <is>
          <t>RockyMountain</t>
        </is>
      </c>
    </row>
    <row collapsed="false" customFormat="false" customHeight="false" hidden="false" ht="12.1" outlineLevel="0" r="4208">
      <c r="A4208" s="3" t="s">
        <f>=HYPERLINK("https://mp39851918.megaplan.ua/deals/109945/card/","18686")</f>
      </c>
      <c r="B4208" s="3" t="inlineStr">
        <is>
          <t>112-1719404-1050613</t>
        </is>
      </c>
      <c r="C4208" s="3" t="inlineStr">
        <is>
          <t>Autodist</t>
        </is>
      </c>
    </row>
    <row collapsed="false" customFormat="false" customHeight="false" hidden="false" ht="12.1" outlineLevel="0" r="4209">
      <c r="A4209" s="3" t="s">
        <f>=HYPERLINK("https://mp39851918.megaplan.ua/deals/109949/card/","18687")</f>
      </c>
      <c r="B4209" s="3" t="inlineStr">
        <is>
          <t>111-1746213-0988206</t>
        </is>
      </c>
      <c r="C4209" s="3" t="inlineStr">
        <is>
          <t>TuckerRocky</t>
        </is>
      </c>
    </row>
    <row collapsed="false" customFormat="false" customHeight="false" hidden="false" ht="12.1" outlineLevel="0" r="4210">
      <c r="A4210" s="3" t="s">
        <f>=HYPERLINK("https://mp39851918.megaplan.ua/deals/109959/card/","18688")</f>
      </c>
      <c r="B4210" s="3" t="inlineStr">
        <is>
          <t>111-3888599-7829002</t>
        </is>
      </c>
      <c r="C4210" s="3" t="inlineStr">
        <is>
          <t>Autodist</t>
        </is>
      </c>
    </row>
    <row collapsed="false" customFormat="false" customHeight="false" hidden="false" ht="12.1" outlineLevel="0" r="4211">
      <c r="A4211" s="3" t="s">
        <f>=HYPERLINK("https://mp39851918.megaplan.ua/deals/109964/card/","18690")</f>
      </c>
      <c r="B4211" s="3" t="inlineStr">
        <is>
          <t>111-2022088-8699406</t>
        </is>
      </c>
      <c r="C4211" s="3" t="inlineStr">
        <is>
          <t>TuckerRocky</t>
        </is>
      </c>
    </row>
    <row collapsed="false" customFormat="false" customHeight="false" hidden="false" ht="12.1" outlineLevel="0" r="4212">
      <c r="A4212" s="3" t="s">
        <f>=HYPERLINK("https://mp39851918.megaplan.ua/deals/109976/card/","18691")</f>
      </c>
      <c r="B4212" s="3" t="inlineStr">
        <is>
          <t>114-4440549-6474632</t>
        </is>
      </c>
      <c r="C4212" s="3" t="inlineStr">
        <is>
          <t>RockyMountain</t>
        </is>
      </c>
    </row>
    <row collapsed="false" customFormat="false" customHeight="false" hidden="false" ht="12.1" outlineLevel="0" r="4213">
      <c r="A4213" s="3" t="s">
        <f>=HYPERLINK("https://mp39851918.megaplan.ua/deals/109987/card/","18692")</f>
      </c>
      <c r="B4213" s="3" t="inlineStr">
        <is>
          <t>111-4910029-7767468</t>
        </is>
      </c>
      <c r="C4213" s="3" t="inlineStr">
        <is>
          <t>RockyMountain</t>
        </is>
      </c>
    </row>
    <row collapsed="false" customFormat="false" customHeight="false" hidden="false" ht="12.1" outlineLevel="0" r="4214">
      <c r="A4214" s="3" t="s">
        <f>=HYPERLINK("https://mp39851918.megaplan.ua/deals/109989/card/","18693")</f>
      </c>
      <c r="B4214" s="3" t="inlineStr">
        <is>
          <t>114-3630235-7389053</t>
        </is>
      </c>
      <c r="C4214" s="3" t="inlineStr">
        <is>
          <t>TuckerRocky</t>
        </is>
      </c>
    </row>
    <row collapsed="false" customFormat="false" customHeight="false" hidden="false" ht="12.1" outlineLevel="0" r="4215">
      <c r="A4215" s="3" t="s">
        <f>=HYPERLINK("https://mp39851918.megaplan.ua/deals/110006/card/","18694")</f>
      </c>
      <c r="B4215" s="3" t="inlineStr">
        <is>
          <t>113-0705347-6339431</t>
        </is>
      </c>
      <c r="C4215" s="3" t="inlineStr">
        <is>
          <t>TuckerRocky</t>
        </is>
      </c>
    </row>
    <row collapsed="false" customFormat="false" customHeight="false" hidden="false" ht="12.1" outlineLevel="0" r="4216">
      <c r="A4216" s="3" t="s">
        <f>=HYPERLINK("https://mp39851918.megaplan.ua/deals/110007/card/","18695")</f>
      </c>
      <c r="B4216" s="3" t="inlineStr">
        <is>
          <t>112-2652397-5521853</t>
        </is>
      </c>
      <c r="C4216" s="3" t="inlineStr">
        <is>
          <t>Autodist</t>
        </is>
      </c>
    </row>
    <row collapsed="false" customFormat="false" customHeight="false" hidden="false" ht="12.1" outlineLevel="0" r="4217">
      <c r="A4217" s="3" t="s">
        <f>=HYPERLINK("https://mp39851918.megaplan.ua/deals/110009/card/","18696")</f>
      </c>
      <c r="B4217" s="3" t="inlineStr">
        <is>
          <t>113-0100133-8978651</t>
        </is>
      </c>
      <c r="C4217" s="3" t="inlineStr">
        <is>
          <t>RockyMountain</t>
        </is>
      </c>
    </row>
    <row collapsed="false" customFormat="false" customHeight="false" hidden="false" ht="12.1" outlineLevel="0" r="4218">
      <c r="A4218" s="3" t="s">
        <f>=HYPERLINK("https://mp39851918.megaplan.ua/deals/110017/card/","18698")</f>
      </c>
      <c r="B4218" s="3" t="inlineStr">
        <is>
          <t>113-2192961-3504205</t>
        </is>
      </c>
      <c r="C4218" s="3" t="inlineStr">
        <is>
          <t>RockyMountain</t>
        </is>
      </c>
    </row>
    <row collapsed="false" customFormat="false" customHeight="false" hidden="false" ht="12.1" outlineLevel="0" r="4219">
      <c r="A4219" s="3" t="s">
        <f>=HYPERLINK("https://mp39851918.megaplan.ua/deals/110023/card/","18699")</f>
      </c>
      <c r="B4219" s="3" t="inlineStr">
        <is>
          <t>111-4561364-4066648</t>
        </is>
      </c>
      <c r="C4219" s="3" t="inlineStr">
        <is>
          <t>RockyMountain</t>
        </is>
      </c>
    </row>
    <row collapsed="false" customFormat="false" customHeight="false" hidden="false" ht="12.1" outlineLevel="0" r="4220">
      <c r="A4220" s="3" t="s">
        <f>=HYPERLINK("https://mp39851918.megaplan.ua/deals/110036/card/","18701")</f>
      </c>
      <c r="B4220" s="3" t="inlineStr">
        <is>
          <t>114-7605125-5565805</t>
        </is>
      </c>
      <c r="C4220" s="3" t="inlineStr">
        <is>
          <t>RockyMountain</t>
        </is>
      </c>
    </row>
    <row collapsed="false" customFormat="false" customHeight="false" hidden="false" ht="12.1" outlineLevel="0" r="4221">
      <c r="A4221" s="3" t="s">
        <f>=HYPERLINK("https://mp39851918.megaplan.ua/deals/110058/card/","18704")</f>
      </c>
      <c r="B4221" s="3" t="inlineStr">
        <is>
          <t>111-0903360-5389064</t>
        </is>
      </c>
      <c r="C4221" s="3" t="inlineStr">
        <is>
          <t>PartsUnlimited</t>
        </is>
      </c>
    </row>
    <row collapsed="false" customFormat="false" customHeight="false" hidden="false" ht="12.1" outlineLevel="0" r="4222">
      <c r="A4222" s="3" t="s">
        <f>=HYPERLINK("https://mp39851918.megaplan.ua/deals/110063/card/","18705")</f>
      </c>
      <c r="B4222" s="3" t="inlineStr">
        <is>
          <t>114-3198831-2779461</t>
        </is>
      </c>
      <c r="C4222" s="3" t="inlineStr">
        <is>
          <t>Autodist</t>
        </is>
      </c>
    </row>
    <row collapsed="false" customFormat="false" customHeight="false" hidden="false" ht="12.1" outlineLevel="0" r="4223">
      <c r="A4223" s="3" t="s">
        <f>=HYPERLINK("https://mp39851918.megaplan.ua/deals/110071/card/","18706")</f>
      </c>
      <c r="B4223" s="3" t="inlineStr">
        <is>
          <t>111-0710714-8265845</t>
        </is>
      </c>
      <c r="C4223" s="3" t="inlineStr">
        <is>
          <t>RockyMountain</t>
        </is>
      </c>
    </row>
    <row collapsed="false" customFormat="false" customHeight="false" hidden="false" ht="12.1" outlineLevel="0" r="4224">
      <c r="A4224" s="3" t="s">
        <f>=HYPERLINK("https://mp39851918.megaplan.ua/deals/110074/card/","18707")</f>
      </c>
      <c r="B4224" s="3" t="inlineStr">
        <is>
          <t>112-7117087-8934663</t>
        </is>
      </c>
      <c r="C4224" s="3" t="inlineStr">
        <is>
          <t>RockyMountain</t>
        </is>
      </c>
    </row>
    <row collapsed="false" customFormat="false" customHeight="false" hidden="false" ht="12.1" outlineLevel="0" r="4225">
      <c r="A4225" s="3" t="s">
        <f>=HYPERLINK("https://mp39851918.megaplan.ua/deals/110076/card/","18708")</f>
      </c>
      <c r="B4225" s="3" t="inlineStr">
        <is>
          <t>111-2791795-6593012</t>
        </is>
      </c>
      <c r="C4225" s="3" t="inlineStr">
        <is>
          <t>Autodist</t>
        </is>
      </c>
    </row>
    <row collapsed="false" customFormat="false" customHeight="false" hidden="false" ht="12.1" outlineLevel="0" r="4226">
      <c r="A4226" s="3" t="s">
        <f>=HYPERLINK("https://mp39851918.megaplan.ua/deals/110084/card/","18709")</f>
      </c>
      <c r="B4226" s="3" t="inlineStr">
        <is>
          <t>112-2947253-0241829</t>
        </is>
      </c>
      <c r="C4226" s="3" t="inlineStr">
        <is>
          <t>Autodist</t>
        </is>
      </c>
    </row>
    <row collapsed="false" customFormat="false" customHeight="false" hidden="false" ht="12.1" outlineLevel="0" r="4227">
      <c r="A4227" s="3" t="s">
        <f>=HYPERLINK("https://mp39851918.megaplan.ua/deals/110093/card/","18710")</f>
      </c>
      <c r="B4227" s="3" t="inlineStr">
        <is>
          <t>113-6876357-7062637</t>
        </is>
      </c>
      <c r="C4227" s="3" t="inlineStr">
        <is>
          <t>RockyMountain</t>
        </is>
      </c>
    </row>
    <row collapsed="false" customFormat="false" customHeight="false" hidden="false" ht="12.1" outlineLevel="0" r="4228">
      <c r="A4228" s="3" t="s">
        <f>=HYPERLINK("https://mp39851918.megaplan.ua/deals/110094/card/","18711")</f>
      </c>
      <c r="B4228" s="3" t="inlineStr">
        <is>
          <t>114-2485539-7511412</t>
        </is>
      </c>
      <c r="C4228" s="3" t="inlineStr">
        <is>
          <t>TuckerRocky</t>
        </is>
      </c>
    </row>
    <row collapsed="false" customFormat="false" customHeight="false" hidden="false" ht="12.1" outlineLevel="0" r="4229">
      <c r="A4229" s="3" t="s">
        <f>=HYPERLINK("https://mp39851918.megaplan.ua/deals/110095/card/","18712")</f>
      </c>
      <c r="B4229" s="3" t="inlineStr">
        <is>
          <t>113-7664372-0097859</t>
        </is>
      </c>
      <c r="C4229" s="3" t="inlineStr">
        <is>
          <t>TuckerRocky</t>
        </is>
      </c>
    </row>
    <row collapsed="false" customFormat="false" customHeight="false" hidden="false" ht="12.1" outlineLevel="0" r="4230">
      <c r="A4230" s="3" t="s">
        <f>=HYPERLINK("https://mp39851918.megaplan.ua/deals/110096/card/","18713")</f>
      </c>
      <c r="B4230" s="3" t="inlineStr">
        <is>
          <t>114-2165538-5253813</t>
        </is>
      </c>
      <c r="C4230" s="3" t="inlineStr">
        <is>
          <t>TuckerRocky</t>
        </is>
      </c>
    </row>
    <row collapsed="false" customFormat="false" customHeight="false" hidden="false" ht="12.1" outlineLevel="0" r="4231">
      <c r="A4231" s="3" t="s">
        <f>=HYPERLINK("https://mp39851918.megaplan.ua/deals/110097/card/","18714")</f>
      </c>
      <c r="B4231" s="3" t="inlineStr">
        <is>
          <t>111-4976080-8257048</t>
        </is>
      </c>
      <c r="C4231" s="3" t="inlineStr">
        <is>
          <t>Autodist</t>
        </is>
      </c>
    </row>
    <row collapsed="false" customFormat="false" customHeight="false" hidden="false" ht="12.1" outlineLevel="0" r="4232">
      <c r="A4232" s="3" t="s">
        <f>=HYPERLINK("https://mp39851918.megaplan.ua/deals/110101/card/","18715")</f>
      </c>
      <c r="B4232" s="3" t="inlineStr">
        <is>
          <t>111-8768598-0571405</t>
        </is>
      </c>
      <c r="C4232" s="3" t="inlineStr">
        <is>
          <t>RockyMountain</t>
        </is>
      </c>
    </row>
    <row collapsed="false" customFormat="false" customHeight="false" hidden="false" ht="12.1" outlineLevel="0" r="4233">
      <c r="A4233" s="3" t="s">
        <f>=HYPERLINK("https://mp39851918.megaplan.ua/deals/110106/card/","18716")</f>
      </c>
      <c r="B4233" s="3" t="inlineStr">
        <is>
          <t>113-5991746-0984213</t>
        </is>
      </c>
      <c r="C4233" s="3" t="inlineStr">
        <is>
          <t>RockyMountain</t>
        </is>
      </c>
    </row>
    <row collapsed="false" customFormat="false" customHeight="false" hidden="false" ht="12.1" outlineLevel="0" r="4234">
      <c r="A4234" s="3" t="s">
        <f>=HYPERLINK("https://mp39851918.megaplan.ua/deals/110107/card/","18717")</f>
      </c>
      <c r="B4234" s="3" t="inlineStr">
        <is>
          <t>112-8112635-0012232</t>
        </is>
      </c>
      <c r="C4234" s="3" t="inlineStr">
        <is>
          <t>PartsUnlimited</t>
        </is>
      </c>
    </row>
    <row collapsed="false" customFormat="false" customHeight="false" hidden="false" ht="12.1" outlineLevel="0" r="4235">
      <c r="A4235" s="3" t="s">
        <f>=HYPERLINK("https://mp39851918.megaplan.ua/deals/110108/card/","18718")</f>
      </c>
      <c r="B4235" s="3" t="inlineStr">
        <is>
          <t>112-3620054-2561025</t>
        </is>
      </c>
      <c r="C4235" s="3" t="inlineStr">
        <is>
          <t>RockyMountain</t>
        </is>
      </c>
    </row>
    <row collapsed="false" customFormat="false" customHeight="false" hidden="false" ht="12.1" outlineLevel="0" r="4236">
      <c r="A4236" s="3" t="s">
        <f>=HYPERLINK("https://mp39851918.megaplan.ua/deals/110119/card/","18720")</f>
      </c>
      <c r="B4236" s="3" t="inlineStr">
        <is>
          <t>114-1428217-6930646</t>
        </is>
      </c>
      <c r="C4236" s="3" t="inlineStr">
        <is>
          <t>RockyMountain</t>
        </is>
      </c>
    </row>
    <row collapsed="false" customFormat="false" customHeight="false" hidden="false" ht="12.1" outlineLevel="0" r="4237">
      <c r="A4237" s="3" t="s">
        <f>=HYPERLINK("https://mp39851918.megaplan.ua/deals/110123/card/","18721")</f>
      </c>
      <c r="B4237" s="3" t="inlineStr">
        <is>
          <t>112-8032433-4412209</t>
        </is>
      </c>
      <c r="C4237" s="3" t="inlineStr">
        <is>
          <t>RockyMountain</t>
        </is>
      </c>
    </row>
    <row collapsed="false" customFormat="false" customHeight="false" hidden="false" ht="12.1" outlineLevel="0" r="4238">
      <c r="A4238" s="3" t="s">
        <f>=HYPERLINK("https://mp39851918.megaplan.ua/deals/110137/card/","18723")</f>
      </c>
      <c r="B4238" s="3" t="inlineStr">
        <is>
          <t>112-4009611-4068225</t>
        </is>
      </c>
      <c r="C4238" s="3" t="inlineStr">
        <is>
          <t>RockyMountain</t>
        </is>
      </c>
    </row>
    <row collapsed="false" customFormat="false" customHeight="false" hidden="false" ht="12.1" outlineLevel="0" r="4239">
      <c r="A4239" s="3" t="s">
        <f>=HYPERLINK("https://mp39851918.megaplan.ua/deals/110139/card/","18725")</f>
      </c>
      <c r="B4239" s="3" t="inlineStr">
        <is>
          <t>114-4402657-9556236</t>
        </is>
      </c>
      <c r="C4239" s="3" t="inlineStr">
        <is>
          <t>TuckerRocky</t>
        </is>
      </c>
    </row>
    <row collapsed="false" customFormat="false" customHeight="false" hidden="false" ht="12.1" outlineLevel="0" r="4240">
      <c r="A4240" s="3" t="s">
        <f>=HYPERLINK("https://mp39851918.megaplan.ua/deals/110154/card/","18727")</f>
      </c>
      <c r="B4240" s="3" t="inlineStr">
        <is>
          <t>111-6339976-5222628</t>
        </is>
      </c>
      <c r="C4240" s="3" t="inlineStr">
        <is>
          <t>PartsUnlimited</t>
        </is>
      </c>
    </row>
    <row collapsed="false" customFormat="false" customHeight="false" hidden="false" ht="12.1" outlineLevel="0" r="4241">
      <c r="A4241" s="3" t="s">
        <f>=HYPERLINK("https://mp39851918.megaplan.ua/deals/110172/card/","18730")</f>
      </c>
      <c r="B4241" s="3" t="inlineStr">
        <is>
          <t>111-3872444-8928228</t>
        </is>
      </c>
      <c r="C4241" s="3" t="inlineStr">
        <is>
          <t>Autodist</t>
        </is>
      </c>
    </row>
    <row collapsed="false" customFormat="false" customHeight="false" hidden="false" ht="12.1" outlineLevel="0" r="4242">
      <c r="A4242" s="3" t="s">
        <f>=HYPERLINK("https://mp39851918.megaplan.ua/deals/110177/card/","18732")</f>
      </c>
      <c r="B4242" s="3" t="inlineStr">
        <is>
          <t>112-5256928-6129807</t>
        </is>
      </c>
      <c r="C4242" s="3" t="inlineStr">
        <is>
          <t>RockyMountain</t>
        </is>
      </c>
    </row>
    <row collapsed="false" customFormat="false" customHeight="false" hidden="false" ht="12.1" outlineLevel="0" r="4243">
      <c r="A4243" s="3" t="s">
        <f>=HYPERLINK("https://mp39851918.megaplan.ua/deals/110184/card/","18733")</f>
      </c>
      <c r="B4243" s="3" t="inlineStr">
        <is>
          <t>112-2480402-9390625</t>
        </is>
      </c>
      <c r="C4243" s="3" t="inlineStr">
        <is>
          <t>RockyMountain</t>
        </is>
      </c>
    </row>
    <row collapsed="false" customFormat="false" customHeight="false" hidden="false" ht="12.1" outlineLevel="0" r="4244">
      <c r="A4244" s="3" t="s">
        <f>=HYPERLINK("https://mp39851918.megaplan.ua/deals/110192/card/","18734")</f>
      </c>
      <c r="B4244" s="3" t="inlineStr">
        <is>
          <t>114-7567635-8949044</t>
        </is>
      </c>
      <c r="C4244" s="3" t="inlineStr">
        <is>
          <t>TuckerRocky</t>
        </is>
      </c>
    </row>
    <row collapsed="false" customFormat="false" customHeight="false" hidden="false" ht="12.1" outlineLevel="0" r="4245">
      <c r="A4245" s="3" t="s">
        <f>=HYPERLINK("https://mp39851918.megaplan.ua/deals/110193/card/","18735")</f>
      </c>
      <c r="B4245" s="3" t="inlineStr">
        <is>
          <t>112-7400548-5383446</t>
        </is>
      </c>
      <c r="C4245" s="3" t="inlineStr">
        <is>
          <t>PartsUnlimited</t>
        </is>
      </c>
    </row>
    <row collapsed="false" customFormat="false" customHeight="false" hidden="false" ht="12.1" outlineLevel="0" r="4246">
      <c r="A4246" s="3" t="s">
        <f>=HYPERLINK("https://mp39851918.megaplan.ua/deals/110213/card/","18736")</f>
      </c>
      <c r="B4246" s="3" t="inlineStr">
        <is>
          <t>113-4729023-0881021</t>
        </is>
      </c>
      <c r="C4246" s="3" t="inlineStr">
        <is>
          <t>TuckerRocky</t>
        </is>
      </c>
    </row>
    <row collapsed="false" customFormat="false" customHeight="false" hidden="false" ht="12.1" outlineLevel="0" r="4247">
      <c r="A4247" s="3" t="s">
        <f>=HYPERLINK("https://mp39851918.megaplan.ua/deals/110216/card/","18737")</f>
      </c>
      <c r="B4247" s="3" t="inlineStr">
        <is>
          <t>114-8579739-6765005</t>
        </is>
      </c>
      <c r="C4247" s="3" t="inlineStr">
        <is>
          <t>TuckerRocky</t>
        </is>
      </c>
    </row>
    <row collapsed="false" customFormat="false" customHeight="false" hidden="false" ht="12.1" outlineLevel="0" r="4248">
      <c r="A4248" s="3" t="s">
        <f>=HYPERLINK("https://mp39851918.megaplan.ua/deals/110224/card/","18738")</f>
      </c>
      <c r="B4248" s="3" t="inlineStr">
        <is>
          <t>113-0312372-2503433</t>
        </is>
      </c>
      <c r="C4248" s="3" t="inlineStr">
        <is>
          <t>TuckerRocky</t>
        </is>
      </c>
    </row>
    <row collapsed="false" customFormat="false" customHeight="false" hidden="false" ht="12.1" outlineLevel="0" r="4249">
      <c r="A4249" s="3" t="s">
        <f>=HYPERLINK("https://mp39851918.megaplan.ua/deals/110241/card/","18740")</f>
      </c>
      <c r="B4249" s="3" t="inlineStr">
        <is>
          <t>113-3286118-4415445</t>
        </is>
      </c>
      <c r="C4249" s="3" t="inlineStr">
        <is>
          <t>Autodist</t>
        </is>
      </c>
    </row>
    <row collapsed="false" customFormat="false" customHeight="false" hidden="false" ht="12.1" outlineLevel="0" r="4250">
      <c r="A4250" s="3" t="s">
        <f>=HYPERLINK("https://mp39851918.megaplan.ua/deals/110248/card/","18741")</f>
      </c>
      <c r="B4250" s="3" t="inlineStr">
        <is>
          <t>113-7100148-7670620</t>
        </is>
      </c>
      <c r="C4250" s="3" t="inlineStr">
        <is>
          <t>PartsUnlimited</t>
        </is>
      </c>
    </row>
    <row collapsed="false" customFormat="false" customHeight="false" hidden="false" ht="12.1" outlineLevel="0" r="4251">
      <c r="A4251" s="3" t="s">
        <f>=HYPERLINK("https://mp39851918.megaplan.ua/deals/110254/card/","18742")</f>
      </c>
      <c r="B4251" s="3" t="inlineStr">
        <is>
          <t>112-5894984-9762666</t>
        </is>
      </c>
      <c r="C4251" s="3" t="inlineStr">
        <is>
          <t>TuckerRocky</t>
        </is>
      </c>
    </row>
    <row collapsed="false" customFormat="false" customHeight="false" hidden="false" ht="12.1" outlineLevel="0" r="4252">
      <c r="A4252" s="3" t="s">
        <f>=HYPERLINK("https://mp39851918.megaplan.ua/deals/110256/card/","18743")</f>
      </c>
      <c r="B4252" s="3" t="inlineStr">
        <is>
          <t>114-7894910-3199461</t>
        </is>
      </c>
      <c r="C4252" s="3" t="inlineStr">
        <is>
          <t>RockyMountain</t>
        </is>
      </c>
    </row>
    <row collapsed="false" customFormat="false" customHeight="false" hidden="false" ht="12.1" outlineLevel="0" r="4253">
      <c r="A4253" s="3" t="s">
        <f>=HYPERLINK("https://mp39851918.megaplan.ua/deals/110267/card/","18745")</f>
      </c>
      <c r="B4253" s="3" t="inlineStr">
        <is>
          <t>111-4998102-5056232</t>
        </is>
      </c>
      <c r="C4253" s="3" t="inlineStr">
        <is>
          <t>Autodist</t>
        </is>
      </c>
    </row>
    <row collapsed="false" customFormat="false" customHeight="false" hidden="false" ht="12.1" outlineLevel="0" r="4254">
      <c r="A4254" s="3" t="s">
        <f>=HYPERLINK("https://mp39851918.megaplan.ua/deals/110268/card/","18746")</f>
      </c>
      <c r="B4254" s="3" t="inlineStr">
        <is>
          <t>114-5142988-6122636</t>
        </is>
      </c>
      <c r="C4254" s="3" t="inlineStr">
        <is>
          <t>RockyMountain</t>
        </is>
      </c>
    </row>
    <row collapsed="false" customFormat="false" customHeight="false" hidden="false" ht="12.1" outlineLevel="0" r="4255">
      <c r="A4255" s="3" t="s">
        <f>=HYPERLINK("https://mp39851918.megaplan.ua/deals/110269/card/","18747")</f>
      </c>
      <c r="B4255" s="3" t="inlineStr">
        <is>
          <t>111-3223950-9429015</t>
        </is>
      </c>
      <c r="C4255" s="3" t="inlineStr">
        <is>
          <t>Autodist</t>
        </is>
      </c>
    </row>
    <row collapsed="false" customFormat="false" customHeight="false" hidden="false" ht="12.1" outlineLevel="0" r="4256">
      <c r="A4256" s="3" t="s">
        <f>=HYPERLINK("https://mp39851918.megaplan.ua/deals/110271/card/","18748")</f>
      </c>
      <c r="B4256" s="3" t="inlineStr">
        <is>
          <t>113-6096187-3421002</t>
        </is>
      </c>
      <c r="C4256" s="3" t="inlineStr">
        <is>
          <t>RockyMountain</t>
        </is>
      </c>
    </row>
    <row collapsed="false" customFormat="false" customHeight="false" hidden="false" ht="12.1" outlineLevel="0" r="4257">
      <c r="A4257" s="3" t="s">
        <f>=HYPERLINK("https://mp39851918.megaplan.ua/deals/110282/card/","18749")</f>
      </c>
      <c r="B4257" s="3" t="inlineStr">
        <is>
          <t>113-5014147-9373066</t>
        </is>
      </c>
      <c r="C4257" s="3" t="inlineStr">
        <is>
          <t>RockyMountain</t>
        </is>
      </c>
    </row>
    <row collapsed="false" customFormat="false" customHeight="false" hidden="false" ht="12.1" outlineLevel="0" r="4258">
      <c r="A4258" s="3" t="s">
        <f>=HYPERLINK("https://mp39851918.megaplan.ua/deals/110285/card/","18750")</f>
      </c>
      <c r="B4258" s="3" t="inlineStr">
        <is>
          <t>113-9876696-4010663</t>
        </is>
      </c>
      <c r="C4258" s="3" t="inlineStr">
        <is>
          <t>PartsUnlimited</t>
        </is>
      </c>
    </row>
    <row collapsed="false" customFormat="false" customHeight="false" hidden="false" ht="12.1" outlineLevel="0" r="4259">
      <c r="A4259" s="3" t="s">
        <f>=HYPERLINK("https://mp39851918.megaplan.ua/deals/110286/card/","18751")</f>
      </c>
      <c r="B4259" s="3" t="inlineStr">
        <is>
          <t>114-1549409-5092204</t>
        </is>
      </c>
      <c r="C4259" s="3" t="inlineStr">
        <is>
          <t>TuckerRocky</t>
        </is>
      </c>
    </row>
    <row collapsed="false" customFormat="false" customHeight="false" hidden="false" ht="12.1" outlineLevel="0" r="4260">
      <c r="A4260" s="3" t="s">
        <f>=HYPERLINK("https://mp39851918.megaplan.ua/deals/110296/card/","18753")</f>
      </c>
      <c r="B4260" s="3" t="inlineStr">
        <is>
          <t>111-1778184-8800230</t>
        </is>
      </c>
      <c r="C4260" s="3" t="inlineStr">
        <is>
          <t>TuckerRocky</t>
        </is>
      </c>
    </row>
    <row collapsed="false" customFormat="false" customHeight="false" hidden="false" ht="12.1" outlineLevel="0" r="4261">
      <c r="A4261" s="3" t="s">
        <f>=HYPERLINK("https://mp39851918.megaplan.ua/deals/110300/card/","18754")</f>
      </c>
      <c r="B4261" s="3" t="inlineStr">
        <is>
          <t>112-3983474-3235425</t>
        </is>
      </c>
      <c r="C4261" s="3" t="inlineStr">
        <is>
          <t>TuckerRocky</t>
        </is>
      </c>
    </row>
    <row collapsed="false" customFormat="false" customHeight="false" hidden="false" ht="12.1" outlineLevel="0" r="4262">
      <c r="A4262" s="3" t="s">
        <f>=HYPERLINK("https://mp39851918.megaplan.ua/deals/110302/card/","18755")</f>
      </c>
      <c r="B4262" s="3" t="inlineStr">
        <is>
          <t>113-8558153-2493832</t>
        </is>
      </c>
      <c r="C4262" s="3" t="inlineStr">
        <is>
          <t>RockyMountain</t>
        </is>
      </c>
    </row>
    <row collapsed="false" customFormat="false" customHeight="false" hidden="false" ht="12.1" outlineLevel="0" r="4263">
      <c r="A4263" s="3" t="s">
        <f>=HYPERLINK("https://mp39851918.megaplan.ua/deals/110311/card/","18757")</f>
      </c>
      <c r="B4263" s="3" t="inlineStr">
        <is>
          <t>111-9595423-8461013</t>
        </is>
      </c>
      <c r="C4263" s="3" t="inlineStr">
        <is>
          <t>PartsUnlimited</t>
        </is>
      </c>
    </row>
    <row collapsed="false" customFormat="false" customHeight="false" hidden="false" ht="12.1" outlineLevel="0" r="4264">
      <c r="A4264" s="3" t="s">
        <f>=HYPERLINK("https://mp39851918.megaplan.ua/deals/110321/card/","18758")</f>
      </c>
      <c r="B4264" s="3" t="inlineStr">
        <is>
          <t>113-1091043-5461846</t>
        </is>
      </c>
      <c r="C4264" s="3" t="inlineStr">
        <is>
          <t>RockyMountain</t>
        </is>
      </c>
    </row>
    <row collapsed="false" customFormat="false" customHeight="false" hidden="false" ht="12.1" outlineLevel="0" r="4265">
      <c r="A4265" s="3" t="s">
        <f>=HYPERLINK("https://mp39851918.megaplan.ua/deals/110335/card/","18759")</f>
      </c>
      <c r="B4265" s="3" t="inlineStr">
        <is>
          <t>113-0902760-1623431</t>
        </is>
      </c>
      <c r="C4265" s="3" t="inlineStr">
        <is>
          <t>RockyMountain</t>
        </is>
      </c>
    </row>
    <row collapsed="false" customFormat="false" customHeight="false" hidden="false" ht="12.1" outlineLevel="0" r="4266">
      <c r="A4266" s="3" t="s">
        <f>=HYPERLINK("https://mp39851918.megaplan.ua/deals/110338/card/","18760")</f>
      </c>
      <c r="B4266" s="3" t="inlineStr">
        <is>
          <t>114-8694777-4010643</t>
        </is>
      </c>
      <c r="C4266" s="3" t="inlineStr">
        <is>
          <t>Autodist</t>
        </is>
      </c>
    </row>
    <row collapsed="false" customFormat="false" customHeight="false" hidden="false" ht="12.1" outlineLevel="0" r="4267">
      <c r="A4267" s="3" t="s">
        <f>=HYPERLINK("https://mp39851918.megaplan.ua/deals/110342/card/","18761")</f>
      </c>
      <c r="B4267" s="3" t="inlineStr">
        <is>
          <t>113-2737669-4264210</t>
        </is>
      </c>
      <c r="C4267" s="3" t="inlineStr">
        <is>
          <t>RockyMountain</t>
        </is>
      </c>
    </row>
    <row collapsed="false" customFormat="false" customHeight="false" hidden="false" ht="12.1" outlineLevel="0" r="4268">
      <c r="A4268" s="3" t="s">
        <f>=HYPERLINK("https://mp39851918.megaplan.ua/deals/110345/card/","18762")</f>
      </c>
      <c r="B4268" s="3" t="inlineStr">
        <is>
          <t>113-7158867-8109822</t>
        </is>
      </c>
      <c r="C4268" s="3" t="inlineStr">
        <is>
          <t>Autodist</t>
        </is>
      </c>
    </row>
    <row collapsed="false" customFormat="false" customHeight="false" hidden="false" ht="12.1" outlineLevel="0" r="4269">
      <c r="A4269" s="3" t="s">
        <f>=HYPERLINK("https://mp39851918.megaplan.ua/deals/110348/card/","18763")</f>
      </c>
      <c r="B4269" s="3" t="inlineStr">
        <is>
          <t>114-1442621-6865849</t>
        </is>
      </c>
      <c r="C4269" s="3" t="inlineStr">
        <is>
          <t>RockyMountain</t>
        </is>
      </c>
    </row>
    <row collapsed="false" customFormat="false" customHeight="false" hidden="false" ht="12.1" outlineLevel="0" r="4270">
      <c r="A4270" s="3" t="s">
        <f>=HYPERLINK("https://mp39851918.megaplan.ua/deals/110349/card/","18764")</f>
      </c>
      <c r="B4270" s="3" t="inlineStr">
        <is>
          <t>113-9673478-4404244</t>
        </is>
      </c>
      <c r="C4270" s="3" t="inlineStr">
        <is>
          <t>PartsUnlimited</t>
        </is>
      </c>
    </row>
    <row collapsed="false" customFormat="false" customHeight="false" hidden="false" ht="12.1" outlineLevel="0" r="4271">
      <c r="A4271" s="3" t="s">
        <f>=HYPERLINK("https://mp39851918.megaplan.ua/deals/110354/card/","18768")</f>
      </c>
      <c r="B4271" s="3" t="inlineStr">
        <is>
          <t>112-2014518-6175410</t>
        </is>
      </c>
      <c r="C4271" s="3" t="inlineStr">
        <is>
          <t>PartsUnlimited</t>
        </is>
      </c>
    </row>
    <row collapsed="false" customFormat="false" customHeight="false" hidden="false" ht="12.1" outlineLevel="0" r="4272">
      <c r="A4272" s="3" t="s">
        <f>=HYPERLINK("https://mp39851918.megaplan.ua/deals/110358/card/","18769")</f>
      </c>
      <c r="B4272" s="3" t="inlineStr">
        <is>
          <t>114-6404502-1464202</t>
        </is>
      </c>
      <c r="C4272" s="3" t="inlineStr">
        <is>
          <t>RockyMountain</t>
        </is>
      </c>
    </row>
    <row collapsed="false" customFormat="false" customHeight="false" hidden="false" ht="12.1" outlineLevel="0" r="4273">
      <c r="A4273" s="3" t="s">
        <f>=HYPERLINK("https://mp39851918.megaplan.ua/deals/110359/card/","18770")</f>
      </c>
      <c r="B4273" s="3" t="inlineStr">
        <is>
          <t>112-7880242-9613055</t>
        </is>
      </c>
      <c r="C4273" s="3" t="inlineStr">
        <is>
          <t>Autodist</t>
        </is>
      </c>
    </row>
    <row collapsed="false" customFormat="false" customHeight="false" hidden="false" ht="12.1" outlineLevel="0" r="4274">
      <c r="A4274" s="3" t="s">
        <f>=HYPERLINK("https://mp39851918.megaplan.ua/deals/110367/card/","18771")</f>
      </c>
      <c r="B4274" s="3" t="inlineStr">
        <is>
          <t>114-8892570-6592216</t>
        </is>
      </c>
      <c r="C4274" s="3" t="inlineStr">
        <is>
          <t>TuckerRocky</t>
        </is>
      </c>
    </row>
    <row collapsed="false" customFormat="false" customHeight="false" hidden="false" ht="12.1" outlineLevel="0" r="4275">
      <c r="A4275" s="3" t="s">
        <f>=HYPERLINK("https://mp39851918.megaplan.ua/deals/110383/card/","18772")</f>
      </c>
      <c r="B4275" s="3" t="inlineStr">
        <is>
          <t>114-8205785-6377830</t>
        </is>
      </c>
      <c r="C4275" s="3" t="inlineStr">
        <is>
          <t>RockyMountain</t>
        </is>
      </c>
    </row>
    <row collapsed="false" customFormat="false" customHeight="false" hidden="false" ht="12.1" outlineLevel="0" r="4276">
      <c r="A4276" s="3" t="s">
        <f>=HYPERLINK("https://mp39851918.megaplan.ua/deals/110390/card/","18773")</f>
      </c>
      <c r="B4276" s="3" t="inlineStr">
        <is>
          <t>112-5714368-7749063</t>
        </is>
      </c>
      <c r="C4276" s="3" t="inlineStr">
        <is>
          <t>RockyMountain</t>
        </is>
      </c>
    </row>
    <row collapsed="false" customFormat="false" customHeight="false" hidden="false" ht="12.1" outlineLevel="0" r="4277">
      <c r="A4277" s="3" t="s">
        <f>=HYPERLINK("https://mp39851918.megaplan.ua/deals/110403/card/","18775")</f>
      </c>
      <c r="B4277" s="3" t="inlineStr">
        <is>
          <t>111-4162870-5560209</t>
        </is>
      </c>
      <c r="C4277" s="3" t="inlineStr">
        <is>
          <t>PartsUnlimited</t>
        </is>
      </c>
    </row>
    <row collapsed="false" customFormat="false" customHeight="false" hidden="false" ht="12.1" outlineLevel="0" r="4278">
      <c r="A4278" s="3" t="s">
        <f>=HYPERLINK("https://mp39851918.megaplan.ua/deals/110406/card/","18776")</f>
      </c>
      <c r="B4278" s="3" t="inlineStr">
        <is>
          <t>114-1352791-4549855</t>
        </is>
      </c>
      <c r="C4278" s="3" t="inlineStr">
        <is>
          <t>TuckerRocky</t>
        </is>
      </c>
    </row>
    <row collapsed="false" customFormat="false" customHeight="false" hidden="false" ht="12.1" outlineLevel="0" r="4279">
      <c r="A4279" s="3" t="s">
        <f>=HYPERLINK("https://mp39851918.megaplan.ua/deals/110413/card/","18777")</f>
      </c>
      <c r="B4279" s="3" t="inlineStr">
        <is>
          <t>113-3027595-0589048</t>
        </is>
      </c>
      <c r="C4279" s="3" t="inlineStr">
        <is>
          <t>TuckerRocky</t>
        </is>
      </c>
    </row>
    <row collapsed="false" customFormat="false" customHeight="false" hidden="false" ht="12.1" outlineLevel="0" r="4280">
      <c r="A4280" s="3" t="s">
        <f>=HYPERLINK("https://mp39851918.megaplan.ua/deals/110414/card/","18778")</f>
      </c>
      <c r="B4280" s="3" t="inlineStr">
        <is>
          <t>112-6929797-9545047</t>
        </is>
      </c>
      <c r="C4280" s="3" t="inlineStr">
        <is>
          <t>TuckerRocky</t>
        </is>
      </c>
    </row>
    <row collapsed="false" customFormat="false" customHeight="false" hidden="false" ht="12.1" outlineLevel="0" r="4281">
      <c r="A4281" s="3" t="s">
        <f>=HYPERLINK("https://mp39851918.megaplan.ua/deals/110415/card/","18779")</f>
      </c>
      <c r="B4281" s="3" t="inlineStr">
        <is>
          <t>114-5810220-5629838</t>
        </is>
      </c>
      <c r="C4281" s="3" t="inlineStr">
        <is>
          <t>TuckerRocky</t>
        </is>
      </c>
    </row>
    <row collapsed="false" customFormat="false" customHeight="false" hidden="false" ht="12.1" outlineLevel="0" r="4282">
      <c r="A4282" s="3" t="s">
        <f>=HYPERLINK("https://mp39851918.megaplan.ua/deals/110416/card/","18780")</f>
      </c>
      <c r="B4282" s="3" t="inlineStr">
        <is>
          <t>112-2997610-9637023</t>
        </is>
      </c>
      <c r="C4282" s="3" t="inlineStr">
        <is>
          <t>RockyMountain</t>
        </is>
      </c>
    </row>
    <row collapsed="false" customFormat="false" customHeight="false" hidden="false" ht="12.1" outlineLevel="0" r="4283">
      <c r="A4283" s="3" t="s">
        <f>=HYPERLINK("https://mp39851918.megaplan.ua/deals/110421/card/","18781")</f>
      </c>
      <c r="B4283" s="3" t="inlineStr">
        <is>
          <t>114-8371470-3518635</t>
        </is>
      </c>
      <c r="C4283" s="3" t="inlineStr">
        <is>
          <t>TuckerRocky</t>
        </is>
      </c>
    </row>
    <row collapsed="false" customFormat="false" customHeight="false" hidden="false" ht="12.1" outlineLevel="0" r="4284">
      <c r="A4284" s="3" t="s">
        <f>=HYPERLINK("https://mp39851918.megaplan.ua/deals/110422/card/","18782")</f>
      </c>
      <c r="B4284" s="3" t="inlineStr">
        <is>
          <t>112-4902603-8229831</t>
        </is>
      </c>
      <c r="C4284" s="3" t="inlineStr">
        <is>
          <t>Autodist</t>
        </is>
      </c>
    </row>
    <row collapsed="false" customFormat="false" customHeight="false" hidden="false" ht="12.1" outlineLevel="0" r="4285">
      <c r="A4285" s="3" t="s">
        <f>=HYPERLINK("https://mp39851918.megaplan.ua/deals/110425/card/","18783")</f>
      </c>
      <c r="B4285" s="3" t="inlineStr">
        <is>
          <t>114-3848958-0302610</t>
        </is>
      </c>
      <c r="C4285" s="3" t="inlineStr">
        <is>
          <t>TuckerRocky</t>
        </is>
      </c>
    </row>
    <row collapsed="false" customFormat="false" customHeight="false" hidden="false" ht="12.1" outlineLevel="0" r="4286">
      <c r="A4286" s="3" t="s">
        <f>=HYPERLINK("https://mp39851918.megaplan.ua/deals/110431/card/","18784")</f>
      </c>
      <c r="B4286" s="3" t="inlineStr">
        <is>
          <t>111-2785584-5965066</t>
        </is>
      </c>
      <c r="C4286" s="3" t="inlineStr">
        <is>
          <t>Autodist</t>
        </is>
      </c>
    </row>
    <row collapsed="false" customFormat="false" customHeight="false" hidden="false" ht="12.1" outlineLevel="0" r="4287">
      <c r="A4287" s="3" t="s">
        <f>=HYPERLINK("https://mp39851918.megaplan.ua/deals/110440/card/","18785")</f>
      </c>
      <c r="B4287" s="3" t="inlineStr">
        <is>
          <t>113-3741728-1201840</t>
        </is>
      </c>
      <c r="C4287" s="3" t="inlineStr">
        <is>
          <t>RockyMountain</t>
        </is>
      </c>
    </row>
    <row collapsed="false" customFormat="false" customHeight="false" hidden="false" ht="12.1" outlineLevel="0" r="4288">
      <c r="A4288" s="3" t="s">
        <f>=HYPERLINK("https://mp39851918.megaplan.ua/deals/110471/card/","18786")</f>
      </c>
      <c r="B4288" s="3" t="inlineStr">
        <is>
          <t>112-7871166-6035458</t>
        </is>
      </c>
      <c r="C4288" s="3" t="inlineStr">
        <is>
          <t>Autodist</t>
        </is>
      </c>
    </row>
    <row collapsed="false" customFormat="false" customHeight="false" hidden="false" ht="12.1" outlineLevel="0" r="4289">
      <c r="A4289" s="3" t="s">
        <f>=HYPERLINK("https://mp39851918.megaplan.ua/deals/110474/card/","18787")</f>
      </c>
      <c r="B4289" s="3" t="inlineStr">
        <is>
          <t>112-2811555-6587454</t>
        </is>
      </c>
      <c r="C4289" s="3" t="inlineStr">
        <is>
          <t>Autodist</t>
        </is>
      </c>
    </row>
    <row collapsed="false" customFormat="false" customHeight="false" hidden="false" ht="12.1" outlineLevel="0" r="4290">
      <c r="A4290" s="3" t="s">
        <f>=HYPERLINK("https://mp39851918.megaplan.ua/deals/110490/card/","18789")</f>
      </c>
      <c r="B4290" s="3" t="inlineStr">
        <is>
          <t>113-3061142-6043410</t>
        </is>
      </c>
      <c r="C4290" s="3" t="inlineStr">
        <is>
          <t>TuckerRocky</t>
        </is>
      </c>
    </row>
    <row collapsed="false" customFormat="false" customHeight="false" hidden="false" ht="12.1" outlineLevel="0" r="4291">
      <c r="A4291" s="3" t="s">
        <f>=HYPERLINK("https://mp39851918.megaplan.ua/deals/110497/card/","18790")</f>
      </c>
      <c r="B4291" s="3" t="inlineStr">
        <is>
          <t>111-8301796-5619459</t>
        </is>
      </c>
      <c r="C4291" s="3" t="inlineStr">
        <is>
          <t>TuckerRocky</t>
        </is>
      </c>
    </row>
    <row collapsed="false" customFormat="false" customHeight="false" hidden="false" ht="12.1" outlineLevel="0" r="4292">
      <c r="A4292" s="3" t="s">
        <f>=HYPERLINK("https://mp39851918.megaplan.ua/deals/110498/card/","18791")</f>
      </c>
      <c r="B4292" s="3" t="inlineStr">
        <is>
          <t>113-9320471-9596234</t>
        </is>
      </c>
      <c r="C4292" s="3" t="inlineStr">
        <is>
          <t>Autodist</t>
        </is>
      </c>
    </row>
    <row collapsed="false" customFormat="false" customHeight="false" hidden="false" ht="12.1" outlineLevel="0" r="4293">
      <c r="A4293" s="3" t="s">
        <f>=HYPERLINK("https://mp39851918.megaplan.ua/deals/110512/card/","18792")</f>
      </c>
      <c r="B4293" s="3" t="inlineStr">
        <is>
          <t>113-3533440-0906626</t>
        </is>
      </c>
      <c r="C4293" s="3" t="inlineStr">
        <is>
          <t>TuckerRocky</t>
        </is>
      </c>
    </row>
    <row collapsed="false" customFormat="false" customHeight="false" hidden="false" ht="12.1" outlineLevel="0" r="4294">
      <c r="A4294" s="3" t="s">
        <f>=HYPERLINK("https://mp39851918.megaplan.ua/deals/110517/card/","18793")</f>
      </c>
      <c r="B4294" s="3" t="inlineStr">
        <is>
          <t>112-6451513-7841014</t>
        </is>
      </c>
      <c r="C4294" s="3" t="inlineStr">
        <is>
          <t>TuckerRocky</t>
        </is>
      </c>
    </row>
    <row collapsed="false" customFormat="false" customHeight="false" hidden="false" ht="12.1" outlineLevel="0" r="4295">
      <c r="A4295" s="3" t="s">
        <f>=HYPERLINK("https://mp39851918.megaplan.ua/deals/110532/card/","18794")</f>
      </c>
      <c r="B4295" s="3" t="inlineStr">
        <is>
          <t>112-3709090-6800260</t>
        </is>
      </c>
      <c r="C4295" s="3" t="inlineStr">
        <is>
          <t>RockyMountain</t>
        </is>
      </c>
    </row>
    <row collapsed="false" customFormat="false" customHeight="false" hidden="false" ht="12.1" outlineLevel="0" r="4296">
      <c r="A4296" s="3" t="s">
        <f>=HYPERLINK("https://mp39851918.megaplan.ua/deals/110557/card/","18795")</f>
      </c>
      <c r="B4296" s="3" t="inlineStr">
        <is>
          <t>112-4550787-0673864</t>
        </is>
      </c>
      <c r="C4296" s="3" t="inlineStr">
        <is>
          <t>RockyMountain</t>
        </is>
      </c>
    </row>
    <row collapsed="false" customFormat="false" customHeight="false" hidden="false" ht="12.1" outlineLevel="0" r="4297">
      <c r="A4297" s="3" t="s">
        <f>=HYPERLINK("https://mp39851918.megaplan.ua/deals/110559/card/","18796")</f>
      </c>
      <c r="B4297" s="3" t="inlineStr">
        <is>
          <t>113-2907234-5928202</t>
        </is>
      </c>
      <c r="C4297" s="3" t="inlineStr">
        <is>
          <t>RockyMountain</t>
        </is>
      </c>
    </row>
    <row collapsed="false" customFormat="false" customHeight="false" hidden="false" ht="12.1" outlineLevel="0" r="4298">
      <c r="A4298" s="3" t="s">
        <f>=HYPERLINK("https://mp39851918.megaplan.ua/deals/110563/card/","18797")</f>
      </c>
      <c r="B4298" s="3" t="inlineStr">
        <is>
          <t>114-8405440-7306615</t>
        </is>
      </c>
      <c r="C4298" s="3" t="inlineStr">
        <is>
          <t>TuckerRocky</t>
        </is>
      </c>
    </row>
    <row collapsed="false" customFormat="false" customHeight="false" hidden="false" ht="12.1" outlineLevel="0" r="4299">
      <c r="A4299" s="3" t="s">
        <f>=HYPERLINK("https://mp39851918.megaplan.ua/deals/110568/card/","18798")</f>
      </c>
      <c r="B4299" s="3" t="inlineStr">
        <is>
          <t>113-1438136-3449006</t>
        </is>
      </c>
      <c r="C4299" s="3" t="inlineStr">
        <is>
          <t>RockyMountain</t>
        </is>
      </c>
    </row>
    <row collapsed="false" customFormat="false" customHeight="false" hidden="false" ht="12.1" outlineLevel="0" r="4300">
      <c r="A4300" s="3" t="s">
        <f>=HYPERLINK("https://mp39851918.megaplan.ua/deals/110573/card/","18799")</f>
      </c>
      <c r="B4300" s="3" t="inlineStr">
        <is>
          <t>114-0856418-2018663</t>
        </is>
      </c>
      <c r="C4300" s="3" t="inlineStr">
        <is>
          <t>TuckerRocky</t>
        </is>
      </c>
    </row>
    <row collapsed="false" customFormat="false" customHeight="false" hidden="false" ht="12.1" outlineLevel="0" r="4301">
      <c r="A4301" s="3" t="s">
        <f>=HYPERLINK("https://mp39851918.megaplan.ua/deals/110599/card/","18803")</f>
      </c>
      <c r="B4301" s="3" t="inlineStr">
        <is>
          <t>114-2502964-8442611</t>
        </is>
      </c>
      <c r="C4301" s="3" t="inlineStr">
        <is>
          <t>RockyMountain</t>
        </is>
      </c>
    </row>
    <row collapsed="false" customFormat="false" customHeight="false" hidden="false" ht="12.1" outlineLevel="0" r="4302">
      <c r="A4302" s="3" t="s">
        <f>=HYPERLINK("https://mp39851918.megaplan.ua/deals/110600/card/","18804")</f>
      </c>
      <c r="B4302" s="3" t="inlineStr">
        <is>
          <t>114-7137148-3121061</t>
        </is>
      </c>
      <c r="C4302" s="3" t="inlineStr">
        <is>
          <t>RockyMountain</t>
        </is>
      </c>
    </row>
    <row collapsed="false" customFormat="false" customHeight="false" hidden="false" ht="12.1" outlineLevel="0" r="4303">
      <c r="A4303" s="3" t="s">
        <f>=HYPERLINK("https://mp39851918.megaplan.ua/deals/110620/card/","18805")</f>
      </c>
      <c r="B4303" s="3" t="inlineStr">
        <is>
          <t>113-5683516-2677056</t>
        </is>
      </c>
      <c r="C4303" s="3" t="inlineStr">
        <is>
          <t>TuckerRocky</t>
        </is>
      </c>
    </row>
    <row collapsed="false" customFormat="false" customHeight="false" hidden="false" ht="12.1" outlineLevel="0" r="4304">
      <c r="A4304" s="3" t="s">
        <f>=HYPERLINK("https://mp39851918.megaplan.ua/deals/110623/card/","18806")</f>
      </c>
      <c r="B4304" s="3" t="inlineStr">
        <is>
          <t>113-6782666-5540205</t>
        </is>
      </c>
      <c r="C4304" s="3" t="inlineStr">
        <is>
          <t>RockyMountain</t>
        </is>
      </c>
    </row>
    <row collapsed="false" customFormat="false" customHeight="false" hidden="false" ht="12.1" outlineLevel="0" r="4305">
      <c r="A4305" s="3" t="s">
        <f>=HYPERLINK("https://mp39851918.megaplan.ua/deals/110625/card/","18807")</f>
      </c>
      <c r="B4305" s="3" t="inlineStr">
        <is>
          <t>113-7124688-2597809</t>
        </is>
      </c>
      <c r="C4305" s="3" t="inlineStr">
        <is>
          <t>RockyMountain</t>
        </is>
      </c>
    </row>
    <row collapsed="false" customFormat="false" customHeight="false" hidden="false" ht="12.1" outlineLevel="0" r="4306">
      <c r="A4306" s="3" t="s">
        <f>=HYPERLINK("https://mp39851918.megaplan.ua/deals/110637/card/","18808")</f>
      </c>
      <c r="B4306" s="3" t="inlineStr">
        <is>
          <t>113-3354614-3885809</t>
        </is>
      </c>
      <c r="C4306" s="3" t="inlineStr">
        <is>
          <t>Autodist</t>
        </is>
      </c>
    </row>
    <row collapsed="false" customFormat="false" customHeight="false" hidden="false" ht="12.1" outlineLevel="0" r="4307">
      <c r="A4307" s="3" t="s">
        <f>=HYPERLINK("https://mp39851918.megaplan.ua/deals/110644/card/","18809")</f>
      </c>
      <c r="B4307" s="3" t="inlineStr">
        <is>
          <t>111-2622426-5626620</t>
        </is>
      </c>
      <c r="C4307" s="3" t="inlineStr">
        <is>
          <t>TuckerRocky</t>
        </is>
      </c>
    </row>
    <row collapsed="false" customFormat="false" customHeight="false" hidden="false" ht="12.1" outlineLevel="0" r="4308">
      <c r="A4308" s="3" t="s">
        <f>=HYPERLINK("https://mp39851918.megaplan.ua/deals/110662/card/","18810")</f>
      </c>
      <c r="B4308" s="3" t="inlineStr">
        <is>
          <t>111-1534833-8654602</t>
        </is>
      </c>
      <c r="C4308" s="3" t="inlineStr">
        <is>
          <t>TuckerRocky</t>
        </is>
      </c>
    </row>
    <row collapsed="false" customFormat="false" customHeight="false" hidden="false" ht="12.1" outlineLevel="0" r="4309">
      <c r="A4309" s="3" t="s">
        <f>=HYPERLINK("https://mp39851918.megaplan.ua/deals/110663/card/","18811")</f>
      </c>
      <c r="B4309" s="3" t="inlineStr">
        <is>
          <t>114-1924355-6221864</t>
        </is>
      </c>
      <c r="C4309" s="3" t="inlineStr">
        <is>
          <t>TuckerRocky</t>
        </is>
      </c>
    </row>
    <row collapsed="false" customFormat="false" customHeight="false" hidden="false" ht="12.1" outlineLevel="0" r="4310">
      <c r="A4310" s="3" t="s">
        <f>=HYPERLINK("https://mp39851918.megaplan.ua/deals/110667/card/","18812")</f>
      </c>
      <c r="B4310" s="3" t="inlineStr">
        <is>
          <t>111-0188803-8219446</t>
        </is>
      </c>
      <c r="C4310" s="3" t="inlineStr">
        <is>
          <t>RockyMountain</t>
        </is>
      </c>
    </row>
    <row collapsed="false" customFormat="false" customHeight="false" hidden="false" ht="12.1" outlineLevel="0" r="4311">
      <c r="A4311" s="3" t="s">
        <f>=HYPERLINK("https://mp39851918.megaplan.ua/deals/110675/card/","18813")</f>
      </c>
      <c r="B4311" s="3" t="inlineStr">
        <is>
          <t>113-7769424-8457025</t>
        </is>
      </c>
      <c r="C4311" s="3" t="inlineStr">
        <is>
          <t>TuckerRocky</t>
        </is>
      </c>
    </row>
    <row collapsed="false" customFormat="false" customHeight="false" hidden="false" ht="12.1" outlineLevel="0" r="4312">
      <c r="A4312" s="3" t="s">
        <f>=HYPERLINK("https://mp39851918.megaplan.ua/deals/110683/card/","18814")</f>
      </c>
      <c r="B4312" s="3" t="inlineStr">
        <is>
          <t>113-3072558-6958631</t>
        </is>
      </c>
      <c r="C4312" s="3" t="inlineStr">
        <is>
          <t>Autodist</t>
        </is>
      </c>
    </row>
    <row collapsed="false" customFormat="false" customHeight="false" hidden="false" ht="12.1" outlineLevel="0" r="4313">
      <c r="A4313" s="3" t="s">
        <f>=HYPERLINK("https://mp39851918.megaplan.ua/deals/110684/card/","18815")</f>
      </c>
      <c r="B4313" s="3" t="inlineStr">
        <is>
          <t>112-6015793-5988257</t>
        </is>
      </c>
      <c r="C4313" s="3" t="inlineStr">
        <is>
          <t>RockyMountain</t>
        </is>
      </c>
    </row>
    <row collapsed="false" customFormat="false" customHeight="false" hidden="false" ht="12.1" outlineLevel="0" r="4314">
      <c r="A4314" s="3" t="s">
        <f>=HYPERLINK("https://mp39851918.megaplan.ua/deals/110685/card/","18816")</f>
      </c>
      <c r="B4314" s="3" t="inlineStr">
        <is>
          <t>113-8396759-3507421</t>
        </is>
      </c>
      <c r="C4314" s="3" t="inlineStr">
        <is>
          <t>RockyMountain</t>
        </is>
      </c>
    </row>
    <row collapsed="false" customFormat="false" customHeight="false" hidden="false" ht="12.1" outlineLevel="0" r="4315">
      <c r="A4315" s="3" t="s">
        <f>=HYPERLINK("https://mp39851918.megaplan.ua/deals/110702/card/","18817")</f>
      </c>
      <c r="B4315" s="3" t="inlineStr">
        <is>
          <t>113-8651667-4078642</t>
        </is>
      </c>
      <c r="C4315" s="3" t="inlineStr">
        <is>
          <t>TuckerRocky</t>
        </is>
      </c>
    </row>
    <row collapsed="false" customFormat="false" customHeight="false" hidden="false" ht="12.1" outlineLevel="0" r="4316">
      <c r="A4316" s="3" t="s">
        <f>=HYPERLINK("https://mp39851918.megaplan.ua/deals/110706/card/","18818")</f>
      </c>
      <c r="B4316" s="3" t="inlineStr">
        <is>
          <t>114-4333761-9181841</t>
        </is>
      </c>
      <c r="C4316" s="3" t="inlineStr">
        <is>
          <t>RockyMountain</t>
        </is>
      </c>
    </row>
    <row collapsed="false" customFormat="false" customHeight="false" hidden="false" ht="12.1" outlineLevel="0" r="4317">
      <c r="A4317" s="3" t="s">
        <f>=HYPERLINK("https://mp39851918.megaplan.ua/deals/110708/card/","18819")</f>
      </c>
      <c r="B4317" s="3" t="inlineStr">
        <is>
          <t>114-5555265-1209060</t>
        </is>
      </c>
      <c r="C4317" s="3" t="inlineStr">
        <is>
          <t>TuckerRocky</t>
        </is>
      </c>
    </row>
    <row collapsed="false" customFormat="false" customHeight="false" hidden="false" ht="12.1" outlineLevel="0" r="4318">
      <c r="A4318" s="3" t="s">
        <f>=HYPERLINK("https://mp39851918.megaplan.ua/deals/110714/card/","18821")</f>
      </c>
      <c r="B4318" s="3" t="inlineStr">
        <is>
          <t>114-6809930-5592252</t>
        </is>
      </c>
      <c r="C4318" s="3" t="inlineStr">
        <is>
          <t>PartsUnlimited</t>
        </is>
      </c>
    </row>
    <row collapsed="false" customFormat="false" customHeight="false" hidden="false" ht="12.1" outlineLevel="0" r="4319">
      <c r="A4319" s="3" t="s">
        <f>=HYPERLINK("https://mp39851918.megaplan.ua/deals/110720/card/","18822")</f>
      </c>
      <c r="B4319" s="3" t="inlineStr">
        <is>
          <t>113-6691812-6894615</t>
        </is>
      </c>
      <c r="C4319" s="3" t="inlineStr">
        <is>
          <t>Autodist</t>
        </is>
      </c>
    </row>
    <row collapsed="false" customFormat="false" customHeight="false" hidden="false" ht="12.1" outlineLevel="0" r="4320">
      <c r="A4320" s="3" t="s">
        <f>=HYPERLINK("https://mp39851918.megaplan.ua/deals/110724/card/","18823")</f>
      </c>
      <c r="B4320" s="3" t="inlineStr">
        <is>
          <t>111-9197840-7269026</t>
        </is>
      </c>
      <c r="C4320" s="3" t="inlineStr">
        <is>
          <t>RockyMountain</t>
        </is>
      </c>
    </row>
    <row collapsed="false" customFormat="false" customHeight="false" hidden="false" ht="12.1" outlineLevel="0" r="4321">
      <c r="A4321" s="3" t="s">
        <f>=HYPERLINK("https://mp39851918.megaplan.ua/deals/110728/card/","18824")</f>
      </c>
      <c r="B4321" s="3" t="inlineStr">
        <is>
          <t>114-3147057-7497800</t>
        </is>
      </c>
      <c r="C4321" s="3" t="inlineStr">
        <is>
          <t>RockyMountain</t>
        </is>
      </c>
    </row>
    <row collapsed="false" customFormat="false" customHeight="false" hidden="false" ht="12.1" outlineLevel="0" r="4322">
      <c r="A4322" s="3" t="s">
        <f>=HYPERLINK("https://mp39851918.megaplan.ua/deals/110731/card/","18826")</f>
      </c>
      <c r="B4322" s="3" t="inlineStr">
        <is>
          <t>113-0381551-8784253</t>
        </is>
      </c>
      <c r="C4322" s="3" t="inlineStr">
        <is>
          <t>RockyMountain</t>
        </is>
      </c>
    </row>
    <row collapsed="false" customFormat="false" customHeight="false" hidden="false" ht="12.1" outlineLevel="0" r="4323">
      <c r="A4323" s="3" t="s">
        <f>=HYPERLINK("https://mp39851918.megaplan.ua/deals/110733/card/","18827")</f>
      </c>
      <c r="B4323" s="3" t="inlineStr">
        <is>
          <t>111-8266527-0047442</t>
        </is>
      </c>
      <c r="C4323" s="3" t="inlineStr">
        <is>
          <t>RockyMountain</t>
        </is>
      </c>
    </row>
    <row collapsed="false" customFormat="false" customHeight="false" hidden="false" ht="12.1" outlineLevel="0" r="4324">
      <c r="A4324" s="3" t="s">
        <f>=HYPERLINK("https://mp39851918.megaplan.ua/deals/110734/card/","18828")</f>
      </c>
      <c r="B4324" s="3" t="inlineStr">
        <is>
          <t>114-5783588-3302650</t>
        </is>
      </c>
      <c r="C4324" s="3" t="inlineStr">
        <is>
          <t>RockyMountain</t>
        </is>
      </c>
    </row>
    <row collapsed="false" customFormat="false" customHeight="false" hidden="false" ht="12.1" outlineLevel="0" r="4325">
      <c r="A4325" s="3" t="s">
        <f>=HYPERLINK("https://mp39851918.megaplan.ua/deals/110738/card/","18830")</f>
      </c>
      <c r="B4325" s="3" t="inlineStr">
        <is>
          <t>111-9224310-0217867</t>
        </is>
      </c>
      <c r="C4325" s="3" t="inlineStr">
        <is>
          <t>Autodist</t>
        </is>
      </c>
    </row>
    <row collapsed="false" customFormat="false" customHeight="false" hidden="false" ht="12.1" outlineLevel="0" r="4326">
      <c r="A4326" s="3" t="s">
        <f>=HYPERLINK("https://mp39851918.megaplan.ua/deals/110739/card/","18831")</f>
      </c>
      <c r="B4326" s="3" t="inlineStr">
        <is>
          <t>112-7243245-5317010</t>
        </is>
      </c>
      <c r="C4326" s="3" t="inlineStr">
        <is>
          <t>TuckerRocky</t>
        </is>
      </c>
    </row>
    <row collapsed="false" customFormat="false" customHeight="false" hidden="false" ht="12.1" outlineLevel="0" r="4327">
      <c r="A4327" s="3" t="s">
        <f>=HYPERLINK("https://mp39851918.megaplan.ua/deals/110743/card/","18832")</f>
      </c>
      <c r="B4327" s="3" t="inlineStr">
        <is>
          <t>113-5114934-1966626</t>
        </is>
      </c>
      <c r="C4327" s="3" t="inlineStr">
        <is>
          <t>PartsUnlimited</t>
        </is>
      </c>
    </row>
    <row collapsed="false" customFormat="false" customHeight="false" hidden="false" ht="12.1" outlineLevel="0" r="4328">
      <c r="A4328" s="3" t="s">
        <f>=HYPERLINK("https://mp39851918.megaplan.ua/deals/110748/card/","18833")</f>
      </c>
      <c r="B4328" s="3" t="inlineStr">
        <is>
          <t>114-2505370-1857051</t>
        </is>
      </c>
      <c r="C4328" s="3" t="inlineStr">
        <is>
          <t>TuckerRocky</t>
        </is>
      </c>
    </row>
    <row collapsed="false" customFormat="false" customHeight="false" hidden="false" ht="12.1" outlineLevel="0" r="4329">
      <c r="A4329" s="3" t="s">
        <f>=HYPERLINK("https://mp39851918.megaplan.ua/deals/110770/card/","18834")</f>
      </c>
      <c r="B4329" s="3" t="inlineStr">
        <is>
          <t>114-3468408-3705856</t>
        </is>
      </c>
      <c r="C4329" s="3" t="inlineStr">
        <is>
          <t>RockyMountain</t>
        </is>
      </c>
    </row>
    <row collapsed="false" customFormat="false" customHeight="false" hidden="false" ht="12.1" outlineLevel="0" r="4330">
      <c r="A4330" s="3" t="s">
        <f>=HYPERLINK("https://mp39851918.megaplan.ua/deals/110802/card/","18838")</f>
      </c>
      <c r="B4330" s="3" t="inlineStr">
        <is>
          <t>113-8307816-3048248</t>
        </is>
      </c>
      <c r="C4330" s="3" t="inlineStr">
        <is>
          <t>Autodist</t>
        </is>
      </c>
    </row>
    <row collapsed="false" customFormat="false" customHeight="false" hidden="false" ht="12.1" outlineLevel="0" r="4331">
      <c r="A4331" s="3" t="s">
        <f>=HYPERLINK("https://mp39851918.megaplan.ua/deals/110803/card/","18839")</f>
      </c>
      <c r="B4331" s="3" t="inlineStr">
        <is>
          <t>114-8003076-7116262</t>
        </is>
      </c>
      <c r="C4331" s="3" t="inlineStr">
        <is>
          <t>Autodist</t>
        </is>
      </c>
    </row>
    <row collapsed="false" customFormat="false" customHeight="false" hidden="false" ht="12.1" outlineLevel="0" r="4332">
      <c r="A4332" s="3" t="s">
        <f>=HYPERLINK("https://mp39851918.megaplan.ua/deals/110814/card/","18841")</f>
      </c>
      <c r="B4332" s="3" t="inlineStr">
        <is>
          <t>111-4806227-2141061</t>
        </is>
      </c>
      <c r="C4332" s="3" t="inlineStr">
        <is>
          <t>RockyMountain</t>
        </is>
      </c>
    </row>
    <row collapsed="false" customFormat="false" customHeight="false" hidden="false" ht="12.1" outlineLevel="0" r="4333">
      <c r="A4333" s="3" t="s">
        <f>=HYPERLINK("https://mp39851918.megaplan.ua/deals/110830/card/","18842")</f>
      </c>
      <c r="B4333" s="3" t="inlineStr">
        <is>
          <t>111-2566849-0214625</t>
        </is>
      </c>
      <c r="C4333" s="3" t="inlineStr">
        <is>
          <t>RockyMountain</t>
        </is>
      </c>
    </row>
    <row collapsed="false" customFormat="false" customHeight="false" hidden="false" ht="12.1" outlineLevel="0" r="4334">
      <c r="A4334" s="3" t="s">
        <f>=HYPERLINK("https://mp39851918.megaplan.ua/deals/110831/card/","18843")</f>
      </c>
      <c r="B4334" s="3" t="inlineStr">
        <is>
          <t>112-6208729-3221021</t>
        </is>
      </c>
      <c r="C4334" s="3" t="inlineStr">
        <is>
          <t>RockyMountain</t>
        </is>
      </c>
    </row>
    <row collapsed="false" customFormat="false" customHeight="false" hidden="false" ht="12.1" outlineLevel="0" r="4335">
      <c r="A4335" s="3" t="s">
        <f>=HYPERLINK("https://mp39851918.megaplan.ua/deals/110832/card/","18844")</f>
      </c>
      <c r="B4335" s="3" t="inlineStr">
        <is>
          <t>112-7432673-8858620</t>
        </is>
      </c>
      <c r="C4335" s="3" t="inlineStr">
        <is>
          <t>RockyMountain</t>
        </is>
      </c>
    </row>
    <row collapsed="false" customFormat="false" customHeight="false" hidden="false" ht="12.1" outlineLevel="0" r="4336">
      <c r="A4336" s="3" t="s">
        <f>=HYPERLINK("https://mp39851918.megaplan.ua/deals/110834/card/","18845")</f>
      </c>
      <c r="B4336" s="3" t="inlineStr">
        <is>
          <t>111-9211481-9677036</t>
        </is>
      </c>
      <c r="C4336" s="3" t="inlineStr">
        <is>
          <t>RockyMountain</t>
        </is>
      </c>
    </row>
    <row collapsed="false" customFormat="false" customHeight="false" hidden="false" ht="12.1" outlineLevel="0" r="4337">
      <c r="A4337" s="3" t="s">
        <f>=HYPERLINK("https://mp39851918.megaplan.ua/deals/110847/card/","18846")</f>
      </c>
      <c r="B4337" s="3" t="inlineStr">
        <is>
          <t>111-1622486-2259462</t>
        </is>
      </c>
      <c r="C4337" s="3" t="inlineStr">
        <is>
          <t>RockyMountain</t>
        </is>
      </c>
    </row>
    <row collapsed="false" customFormat="false" customHeight="false" hidden="false" ht="12.1" outlineLevel="0" r="4338">
      <c r="A4338" s="3" t="s">
        <f>=HYPERLINK("https://mp39851918.megaplan.ua/deals/110848/card/","18847")</f>
      </c>
      <c r="B4338" s="3" t="inlineStr">
        <is>
          <t>114-4101342-4533053</t>
        </is>
      </c>
      <c r="C4338" s="3" t="inlineStr">
        <is>
          <t>Autodist</t>
        </is>
      </c>
    </row>
    <row collapsed="false" customFormat="false" customHeight="false" hidden="false" ht="12.1" outlineLevel="0" r="4339">
      <c r="A4339" s="3" t="s">
        <f>=HYPERLINK("https://mp39851918.megaplan.ua/deals/110862/card/","18849")</f>
      </c>
      <c r="B4339" s="3" t="inlineStr">
        <is>
          <t>111-3325577-0428218</t>
        </is>
      </c>
      <c r="C4339" s="3" t="inlineStr">
        <is>
          <t>RockyMountain</t>
        </is>
      </c>
    </row>
    <row collapsed="false" customFormat="false" customHeight="false" hidden="false" ht="12.1" outlineLevel="0" r="4340">
      <c r="A4340" s="3" t="s">
        <f>=HYPERLINK("https://mp39851918.megaplan.ua/deals/110877/card/","18850")</f>
      </c>
      <c r="B4340" s="3" t="inlineStr">
        <is>
          <t>111-1004212-9545050</t>
        </is>
      </c>
      <c r="C4340" s="3" t="inlineStr">
        <is>
          <t>RockyMountain</t>
        </is>
      </c>
    </row>
    <row collapsed="false" customFormat="false" customHeight="false" hidden="false" ht="12.1" outlineLevel="0" r="4341">
      <c r="A4341" s="3" t="s">
        <f>=HYPERLINK("https://mp39851918.megaplan.ua/deals/110878/card/","18851")</f>
      </c>
      <c r="B4341" s="3" t="inlineStr">
        <is>
          <t>113-8330096-8004233</t>
        </is>
      </c>
      <c r="C4341" s="3" t="inlineStr">
        <is>
          <t>RockyMountain</t>
        </is>
      </c>
    </row>
    <row collapsed="false" customFormat="false" customHeight="false" hidden="false" ht="12.1" outlineLevel="0" r="4342">
      <c r="A4342" s="3" t="s">
        <f>=HYPERLINK("https://mp39851918.megaplan.ua/deals/110881/card/","18852")</f>
      </c>
      <c r="B4342" s="3" t="inlineStr">
        <is>
          <t>112-8381630-6641834</t>
        </is>
      </c>
      <c r="C4342" s="3" t="inlineStr">
        <is>
          <t>Autodist</t>
        </is>
      </c>
    </row>
    <row collapsed="false" customFormat="false" customHeight="false" hidden="false" ht="12.1" outlineLevel="0" r="4343">
      <c r="A4343" s="3" t="s">
        <f>=HYPERLINK("https://mp39851918.megaplan.ua/deals/110882/card/","18853")</f>
      </c>
      <c r="B4343" s="3" t="inlineStr">
        <is>
          <t>112-8850552-0240269</t>
        </is>
      </c>
      <c r="C4343" s="3" t="inlineStr">
        <is>
          <t>RockyMountain</t>
        </is>
      </c>
    </row>
    <row collapsed="false" customFormat="false" customHeight="false" hidden="false" ht="12.1" outlineLevel="0" r="4344">
      <c r="A4344" s="3" t="s">
        <f>=HYPERLINK("https://mp39851918.megaplan.ua/deals/110893/card/","18854")</f>
      </c>
      <c r="B4344" s="3" t="inlineStr">
        <is>
          <t>114-7266345-3029049</t>
        </is>
      </c>
      <c r="C4344" s="3" t="inlineStr">
        <is>
          <t>TuckerRocky</t>
        </is>
      </c>
    </row>
    <row collapsed="false" customFormat="false" customHeight="false" hidden="false" ht="12.1" outlineLevel="0" r="4345">
      <c r="A4345" s="3" t="s">
        <f>=HYPERLINK("https://mp39851918.megaplan.ua/deals/110899/card/","18856")</f>
      </c>
      <c r="B4345" s="3" t="inlineStr">
        <is>
          <t>114-1169315-0393042</t>
        </is>
      </c>
      <c r="C4345" s="3" t="inlineStr">
        <is>
          <t>Autodist</t>
        </is>
      </c>
    </row>
    <row collapsed="false" customFormat="false" customHeight="false" hidden="false" ht="12.1" outlineLevel="0" r="4346">
      <c r="A4346" s="3" t="s">
        <f>=HYPERLINK("https://mp39851918.megaplan.ua/deals/110921/card/","18857")</f>
      </c>
      <c r="B4346" s="3" t="inlineStr">
        <is>
          <t>114-7825341-6998651</t>
        </is>
      </c>
      <c r="C4346" s="3" t="inlineStr">
        <is>
          <t>TuckerRocky</t>
        </is>
      </c>
    </row>
    <row collapsed="false" customFormat="false" customHeight="false" hidden="false" ht="12.1" outlineLevel="0" r="4347">
      <c r="A4347" s="3" t="s">
        <f>=HYPERLINK("https://mp39851918.megaplan.ua/deals/110931/card/","18858")</f>
      </c>
      <c r="B4347" s="3" t="inlineStr">
        <is>
          <t>113-9882618-6435417</t>
        </is>
      </c>
      <c r="C4347" s="3" t="inlineStr">
        <is>
          <t>RockyMountain</t>
        </is>
      </c>
    </row>
    <row collapsed="false" customFormat="false" customHeight="false" hidden="false" ht="12.1" outlineLevel="0" r="4348">
      <c r="A4348" s="3" t="s">
        <f>=HYPERLINK("https://mp39851918.megaplan.ua/deals/110938/card/","18859")</f>
      </c>
      <c r="B4348" s="3" t="inlineStr">
        <is>
          <t>113-5520614-4554609</t>
        </is>
      </c>
      <c r="C4348" s="3" t="inlineStr">
        <is>
          <t>TuckerRocky</t>
        </is>
      </c>
    </row>
    <row collapsed="false" customFormat="false" customHeight="false" hidden="false" ht="12.1" outlineLevel="0" r="4349">
      <c r="A4349" s="3" t="s">
        <f>=HYPERLINK("https://mp39851918.megaplan.ua/deals/110941/card/","18860")</f>
      </c>
      <c r="B4349" s="3" t="inlineStr">
        <is>
          <t>113-6619950-7276268</t>
        </is>
      </c>
      <c r="C4349" s="3" t="inlineStr">
        <is>
          <t>RockyMountain</t>
        </is>
      </c>
    </row>
    <row collapsed="false" customFormat="false" customHeight="false" hidden="false" ht="12.1" outlineLevel="0" r="4350">
      <c r="A4350" s="3" t="s">
        <f>=HYPERLINK("https://mp39851918.megaplan.ua/deals/110949/card/","18861")</f>
      </c>
      <c r="B4350" s="3" t="inlineStr">
        <is>
          <t>112-8914746-7649063</t>
        </is>
      </c>
      <c r="C4350" s="3" t="inlineStr">
        <is>
          <t>Autodist</t>
        </is>
      </c>
    </row>
    <row collapsed="false" customFormat="false" customHeight="false" hidden="false" ht="12.1" outlineLevel="0" r="4351">
      <c r="A4351" s="3" t="s">
        <f>=HYPERLINK("https://mp39851918.megaplan.ua/deals/110954/card/","18862")</f>
      </c>
      <c r="B4351" s="3" t="inlineStr">
        <is>
          <t>113-4962723-2047402</t>
        </is>
      </c>
      <c r="C4351" s="3" t="inlineStr">
        <is>
          <t>RockyMountain</t>
        </is>
      </c>
    </row>
    <row collapsed="false" customFormat="false" customHeight="false" hidden="false" ht="12.1" outlineLevel="0" r="4352">
      <c r="A4352" s="3" t="s">
        <f>=HYPERLINK("https://mp39851918.megaplan.ua/deals/110960/card/","18863")</f>
      </c>
      <c r="B4352" s="3" t="inlineStr">
        <is>
          <t>113-8386760-4203430</t>
        </is>
      </c>
      <c r="C4352" s="3" t="inlineStr">
        <is>
          <t>RockyMountain</t>
        </is>
      </c>
    </row>
    <row collapsed="false" customFormat="false" customHeight="false" hidden="false" ht="12.1" outlineLevel="0" r="4353">
      <c r="A4353" s="3" t="s">
        <f>=HYPERLINK("https://mp39851918.megaplan.ua/deals/110964/card/","18864")</f>
      </c>
      <c r="B4353" s="3" t="inlineStr">
        <is>
          <t>112-7853355-6979409</t>
        </is>
      </c>
      <c r="C4353" s="3" t="inlineStr">
        <is>
          <t>Autodist</t>
        </is>
      </c>
    </row>
    <row collapsed="false" customFormat="false" customHeight="false" hidden="false" ht="12.1" outlineLevel="0" r="4354">
      <c r="A4354" s="3" t="s">
        <f>=HYPERLINK("https://mp39851918.megaplan.ua/deals/110966/card/","18865")</f>
      </c>
      <c r="B4354" s="3" t="inlineStr">
        <is>
          <t>112-1782846-2747468</t>
        </is>
      </c>
      <c r="C4354" s="3" t="inlineStr">
        <is>
          <t>RockyMountain</t>
        </is>
      </c>
    </row>
    <row collapsed="false" customFormat="false" customHeight="false" hidden="false" ht="12.1" outlineLevel="0" r="4355">
      <c r="A4355" s="3" t="s">
        <f>=HYPERLINK("https://mp39851918.megaplan.ua/deals/110970/card/","18866")</f>
      </c>
      <c r="B4355" s="3" t="inlineStr">
        <is>
          <t>112-6626770-1304246</t>
        </is>
      </c>
      <c r="C4355" s="3" t="inlineStr">
        <is>
          <t>RockyMountain</t>
        </is>
      </c>
    </row>
    <row collapsed="false" customFormat="false" customHeight="false" hidden="false" ht="12.1" outlineLevel="0" r="4356">
      <c r="A4356" s="3" t="s">
        <f>=HYPERLINK("https://mp39851918.megaplan.ua/deals/110971/card/","18867")</f>
      </c>
      <c r="B4356" s="3" t="inlineStr">
        <is>
          <t>114-5283609-1373063</t>
        </is>
      </c>
      <c r="C4356" s="3" t="inlineStr">
        <is>
          <t>RockyMountain</t>
        </is>
      </c>
    </row>
    <row collapsed="false" customFormat="false" customHeight="false" hidden="false" ht="12.1" outlineLevel="0" r="4357">
      <c r="A4357" s="3" t="s">
        <f>=HYPERLINK("https://mp39851918.megaplan.ua/deals/110984/card/","18870")</f>
      </c>
      <c r="B4357" s="3" t="inlineStr">
        <is>
          <t>114-8914159-4736220</t>
        </is>
      </c>
      <c r="C4357" s="3" t="inlineStr">
        <is>
          <t>RockyMountain</t>
        </is>
      </c>
    </row>
    <row collapsed="false" customFormat="false" customHeight="false" hidden="false" ht="12.1" outlineLevel="0" r="4358">
      <c r="A4358" s="3" t="s">
        <f>=HYPERLINK("https://mp39851918.megaplan.ua/deals/110988/card/","18871")</f>
      </c>
      <c r="B4358" s="3" t="inlineStr">
        <is>
          <t>112-7921406-5363403</t>
        </is>
      </c>
      <c r="C4358" s="3" t="inlineStr">
        <is>
          <t>Autodist</t>
        </is>
      </c>
    </row>
    <row collapsed="false" customFormat="false" customHeight="false" hidden="false" ht="12.1" outlineLevel="0" r="4359">
      <c r="A4359" s="3" t="s">
        <f>=HYPERLINK("https://mp39851918.megaplan.ua/deals/110990/card/","18872")</f>
      </c>
      <c r="B4359" s="3" t="inlineStr">
        <is>
          <t>114-6503447-9780220</t>
        </is>
      </c>
      <c r="C4359" s="3" t="inlineStr">
        <is>
          <t>Autodist</t>
        </is>
      </c>
    </row>
    <row collapsed="false" customFormat="false" customHeight="false" hidden="false" ht="12.1" outlineLevel="0" r="4360">
      <c r="A4360" s="3" t="s">
        <f>=HYPERLINK("https://mp39851918.megaplan.ua/deals/110998/card/","18874")</f>
      </c>
      <c r="B4360" s="3" t="inlineStr">
        <is>
          <t>111-7386715-9206640</t>
        </is>
      </c>
      <c r="C4360" s="3" t="inlineStr">
        <is>
          <t>PartsUnlimited</t>
        </is>
      </c>
    </row>
    <row collapsed="false" customFormat="false" customHeight="false" hidden="false" ht="12.1" outlineLevel="0" r="4361">
      <c r="A4361" s="3" t="s">
        <f>=HYPERLINK("https://mp39851918.megaplan.ua/deals/110999/card/","18875")</f>
      </c>
      <c r="B4361" s="3" t="inlineStr">
        <is>
          <t>112-5105319-3601858</t>
        </is>
      </c>
      <c r="C4361" s="3" t="inlineStr">
        <is>
          <t>TuckerRocky</t>
        </is>
      </c>
    </row>
    <row collapsed="false" customFormat="false" customHeight="false" hidden="false" ht="12.1" outlineLevel="0" r="4362">
      <c r="A4362" s="3" t="s">
        <f>=HYPERLINK("https://mp39851918.megaplan.ua/deals/111012/card/","18876")</f>
      </c>
      <c r="B4362" s="3" t="inlineStr">
        <is>
          <t>112-0745786-9190614</t>
        </is>
      </c>
      <c r="C4362" s="3" t="inlineStr">
        <is>
          <t>PartsUnlimited</t>
        </is>
      </c>
    </row>
    <row collapsed="false" customFormat="false" customHeight="false" hidden="false" ht="12.1" outlineLevel="0" r="4363">
      <c r="A4363" s="3" t="s">
        <f>=HYPERLINK("https://mp39851918.megaplan.ua/deals/111022/card/","18877")</f>
      </c>
      <c r="B4363" s="3" t="inlineStr">
        <is>
          <t>113-7072528-5680246</t>
        </is>
      </c>
      <c r="C4363" s="3" t="inlineStr">
        <is>
          <t>Autodist</t>
        </is>
      </c>
    </row>
    <row collapsed="false" customFormat="false" customHeight="false" hidden="false" ht="12.1" outlineLevel="0" r="4364">
      <c r="A4364" s="3" t="s">
        <f>=HYPERLINK("https://mp39851918.megaplan.ua/deals/111029/card/","18878")</f>
      </c>
      <c r="B4364" s="3" t="inlineStr">
        <is>
          <t>111-2088203-1471423</t>
        </is>
      </c>
      <c r="C4364" s="3" t="inlineStr">
        <is>
          <t>PartsUnlimited</t>
        </is>
      </c>
    </row>
    <row collapsed="false" customFormat="false" customHeight="false" hidden="false" ht="12.1" outlineLevel="0" r="4365">
      <c r="A4365" s="3" t="s">
        <f>=HYPERLINK("https://mp39851918.megaplan.ua/deals/111036/card/","18879")</f>
      </c>
      <c r="B4365" s="3" t="inlineStr">
        <is>
          <t>112-5458594-0046633</t>
        </is>
      </c>
      <c r="C4365" s="3" t="inlineStr">
        <is>
          <t>RockyMountain</t>
        </is>
      </c>
    </row>
    <row collapsed="false" customFormat="false" customHeight="false" hidden="false" ht="12.1" outlineLevel="0" r="4366">
      <c r="A4366" s="3" t="s">
        <f>=HYPERLINK("https://mp39851918.megaplan.ua/deals/111037/card/","18880")</f>
      </c>
      <c r="B4366" s="3" t="inlineStr">
        <is>
          <t>113-2028616-4002616</t>
        </is>
      </c>
      <c r="C4366" s="3" t="inlineStr">
        <is>
          <t>RockyMountain</t>
        </is>
      </c>
    </row>
    <row collapsed="false" customFormat="false" customHeight="false" hidden="false" ht="12.1" outlineLevel="0" r="4367">
      <c r="A4367" s="3" t="s">
        <f>=HYPERLINK("https://mp39851918.megaplan.ua/deals/111055/card/","18881")</f>
      </c>
      <c r="B4367" s="3" t="inlineStr">
        <is>
          <t>113-0556522-5384231</t>
        </is>
      </c>
      <c r="C4367" s="3" t="inlineStr">
        <is>
          <t>RockyMountain</t>
        </is>
      </c>
    </row>
    <row collapsed="false" customFormat="false" customHeight="false" hidden="false" ht="12.1" outlineLevel="0" r="4368">
      <c r="A4368" s="3" t="s">
        <f>=HYPERLINK("https://mp39851918.megaplan.ua/deals/111063/card/","18882")</f>
      </c>
      <c r="B4368" s="3" t="inlineStr">
        <is>
          <t>111-0353526-5463447</t>
        </is>
      </c>
      <c r="C4368" s="3" t="inlineStr">
        <is>
          <t>PartsUnlimited</t>
        </is>
      </c>
    </row>
    <row collapsed="false" customFormat="false" customHeight="false" hidden="false" ht="12.1" outlineLevel="0" r="4369">
      <c r="A4369" s="3" t="s">
        <f>=HYPERLINK("https://mp39851918.megaplan.ua/deals/111066/card/","18883")</f>
      </c>
      <c r="B4369" s="3" t="inlineStr">
        <is>
          <t>113-1026910-5572219</t>
        </is>
      </c>
      <c r="C4369" s="3" t="inlineStr">
        <is>
          <t>PartsUnlimited</t>
        </is>
      </c>
    </row>
    <row collapsed="false" customFormat="false" customHeight="false" hidden="false" ht="12.1" outlineLevel="0" r="4370">
      <c r="A4370" s="3" t="s">
        <f>=HYPERLINK("https://mp39851918.megaplan.ua/deals/111068/card/","18884")</f>
      </c>
      <c r="B4370" s="3" t="inlineStr">
        <is>
          <t>113-9949411-8769824</t>
        </is>
      </c>
      <c r="C4370" s="3" t="inlineStr">
        <is>
          <t>Autodist</t>
        </is>
      </c>
    </row>
    <row collapsed="false" customFormat="false" customHeight="false" hidden="false" ht="12.1" outlineLevel="0" r="4371">
      <c r="A4371" s="3" t="s">
        <f>=HYPERLINK("https://mp39851918.megaplan.ua/deals/111081/card/","18885")</f>
      </c>
      <c r="B4371" s="3" t="inlineStr">
        <is>
          <t>114-2563362-1260226</t>
        </is>
      </c>
      <c r="C4371" s="3" t="inlineStr">
        <is>
          <t>Autodist</t>
        </is>
      </c>
    </row>
    <row collapsed="false" customFormat="false" customHeight="false" hidden="false" ht="12.1" outlineLevel="0" r="4372">
      <c r="A4372" s="3" t="s">
        <f>=HYPERLINK("https://mp39851918.megaplan.ua/deals/111082/card/","18886")</f>
      </c>
      <c r="B4372" s="3" t="inlineStr">
        <is>
          <t>114-3427968-4349052</t>
        </is>
      </c>
      <c r="C4372" s="3" t="inlineStr">
        <is>
          <t>TuckerRocky</t>
        </is>
      </c>
    </row>
    <row collapsed="false" customFormat="false" customHeight="false" hidden="false" ht="12.1" outlineLevel="0" r="4373">
      <c r="A4373" s="3" t="s">
        <f>=HYPERLINK("https://mp39851918.megaplan.ua/deals/111094/card/","18887")</f>
      </c>
      <c r="B4373" s="3" t="inlineStr">
        <is>
          <t>111-7400240-2429045</t>
        </is>
      </c>
      <c r="C4373" s="3" t="inlineStr">
        <is>
          <t>PartsUnlimited</t>
        </is>
      </c>
    </row>
    <row collapsed="false" customFormat="false" customHeight="false" hidden="false" ht="12.1" outlineLevel="0" r="4374">
      <c r="A4374" s="3" t="s">
        <f>=HYPERLINK("https://mp39851918.megaplan.ua/deals/111095/card/","18888")</f>
      </c>
      <c r="B4374" s="3" t="inlineStr">
        <is>
          <t>111-8049483-3000222</t>
        </is>
      </c>
      <c r="C4374" s="3" t="inlineStr">
        <is>
          <t>Autodist</t>
        </is>
      </c>
    </row>
    <row collapsed="false" customFormat="false" customHeight="false" hidden="false" ht="12.1" outlineLevel="0" r="4375">
      <c r="A4375" s="3" t="s">
        <f>=HYPERLINK("https://mp39851918.megaplan.ua/deals/111141/card/","18894")</f>
      </c>
      <c r="B4375" s="3" t="inlineStr">
        <is>
          <t>113-0546495-4269817</t>
        </is>
      </c>
      <c r="C4375" s="3" t="inlineStr">
        <is>
          <t>TuckerRocky</t>
        </is>
      </c>
    </row>
    <row collapsed="false" customFormat="false" customHeight="false" hidden="false" ht="12.1" outlineLevel="0" r="4376">
      <c r="A4376" s="3" t="s">
        <f>=HYPERLINK("https://mp39851918.megaplan.ua/deals/111143/card/","18895")</f>
      </c>
      <c r="B4376" s="3" t="inlineStr">
        <is>
          <t>114-6430339-8166644</t>
        </is>
      </c>
      <c r="C4376" s="3" t="inlineStr">
        <is>
          <t>TuckerRocky</t>
        </is>
      </c>
    </row>
    <row collapsed="false" customFormat="false" customHeight="false" hidden="false" ht="12.1" outlineLevel="0" r="4377">
      <c r="A4377" s="3" t="s">
        <f>=HYPERLINK("https://mp39851918.megaplan.ua/deals/111168/card/","18897")</f>
      </c>
      <c r="B4377" s="3" t="inlineStr">
        <is>
          <t>113-1235316-4061062</t>
        </is>
      </c>
      <c r="C4377" s="3" t="inlineStr">
        <is>
          <t>TuckerRocky</t>
        </is>
      </c>
    </row>
    <row collapsed="false" customFormat="false" customHeight="false" hidden="false" ht="12.1" outlineLevel="0" r="4378">
      <c r="A4378" s="3" t="s">
        <f>=HYPERLINK("https://mp39851918.megaplan.ua/deals/111171/card/","18898")</f>
      </c>
      <c r="B4378" s="3" t="inlineStr">
        <is>
          <t>114-0512537-0424203</t>
        </is>
      </c>
      <c r="C4378" s="3" t="inlineStr">
        <is>
          <t>Autodist</t>
        </is>
      </c>
    </row>
    <row collapsed="false" customFormat="false" customHeight="false" hidden="false" ht="12.1" outlineLevel="0" r="4379">
      <c r="A4379" s="3" t="s">
        <f>=HYPERLINK("https://mp39851918.megaplan.ua/deals/111172/card/","18899")</f>
      </c>
      <c r="B4379" s="3" t="inlineStr">
        <is>
          <t>111-7337643-1165042</t>
        </is>
      </c>
      <c r="C4379" s="3" t="inlineStr">
        <is>
          <t>RockyMountain</t>
        </is>
      </c>
    </row>
    <row collapsed="false" customFormat="false" customHeight="false" hidden="false" ht="12.1" outlineLevel="0" r="4380">
      <c r="A4380" s="3" t="s">
        <f>=HYPERLINK("https://mp39851918.megaplan.ua/deals/111178/card/","18901")</f>
      </c>
      <c r="B4380" s="3" t="inlineStr">
        <is>
          <t>112-8495499-0261849</t>
        </is>
      </c>
      <c r="C4380" s="3" t="inlineStr">
        <is>
          <t>RockyMountain</t>
        </is>
      </c>
    </row>
    <row collapsed="false" customFormat="false" customHeight="false" hidden="false" ht="12.1" outlineLevel="0" r="4381">
      <c r="A4381" s="3" t="s">
        <f>=HYPERLINK("https://mp39851918.megaplan.ua/deals/111189/card/","18903")</f>
      </c>
      <c r="B4381" s="3" t="inlineStr">
        <is>
          <t>112-4755898-1088216</t>
        </is>
      </c>
      <c r="C4381" s="3" t="inlineStr">
        <is>
          <t>RockyMountain</t>
        </is>
      </c>
    </row>
    <row collapsed="false" customFormat="false" customHeight="false" hidden="false" ht="12.1" outlineLevel="0" r="4382">
      <c r="A4382" s="3" t="s">
        <f>=HYPERLINK("https://mp39851918.megaplan.ua/deals/111191/card/","18904")</f>
      </c>
      <c r="B4382" s="3" t="inlineStr">
        <is>
          <t>113-5637881-6557815</t>
        </is>
      </c>
      <c r="C4382" s="3" t="inlineStr">
        <is>
          <t>PartsUnlimited</t>
        </is>
      </c>
    </row>
    <row collapsed="false" customFormat="false" customHeight="false" hidden="false" ht="12.1" outlineLevel="0" r="4383">
      <c r="A4383" s="3" t="s">
        <f>=HYPERLINK("https://mp39851918.megaplan.ua/deals/111204/card/","18907")</f>
      </c>
      <c r="B4383" s="3" t="inlineStr">
        <is>
          <t>112-2243027-3837829</t>
        </is>
      </c>
      <c r="C4383" s="3" t="inlineStr">
        <is>
          <t>RockyMountain</t>
        </is>
      </c>
    </row>
    <row collapsed="false" customFormat="false" customHeight="false" hidden="false" ht="12.1" outlineLevel="0" r="4384">
      <c r="A4384" s="3" t="s">
        <f>=HYPERLINK("https://mp39851918.megaplan.ua/deals/111211/card/","18908")</f>
      </c>
      <c r="B4384" s="3" t="inlineStr">
        <is>
          <t>112-1689408-2642642</t>
        </is>
      </c>
      <c r="C4384" s="3" t="inlineStr">
        <is>
          <t>PartsUnlimited</t>
        </is>
      </c>
    </row>
    <row collapsed="false" customFormat="false" customHeight="false" hidden="false" ht="12.1" outlineLevel="0" r="4385">
      <c r="A4385" s="3" t="s">
        <f>=HYPERLINK("https://mp39851918.megaplan.ua/deals/111212/card/","18909")</f>
      </c>
      <c r="B4385" s="3" t="inlineStr">
        <is>
          <t>111-5935868-1255429</t>
        </is>
      </c>
      <c r="C4385" s="3" t="inlineStr">
        <is>
          <t>RockyMountain</t>
        </is>
      </c>
    </row>
    <row collapsed="false" customFormat="false" customHeight="false" hidden="false" ht="12.1" outlineLevel="0" r="4386">
      <c r="A4386" s="3" t="s">
        <f>=HYPERLINK("https://mp39851918.megaplan.ua/deals/111216/card/","18910")</f>
      </c>
      <c r="B4386" s="3" t="inlineStr">
        <is>
          <t>114-0749078-9614663</t>
        </is>
      </c>
      <c r="C4386" s="3" t="inlineStr">
        <is>
          <t>RockyMountain</t>
        </is>
      </c>
    </row>
    <row collapsed="false" customFormat="false" customHeight="false" hidden="false" ht="12.1" outlineLevel="0" r="4387">
      <c r="A4387" s="3" t="s">
        <f>=HYPERLINK("https://mp39851918.megaplan.ua/deals/111222/card/","18911")</f>
      </c>
      <c r="B4387" s="3" t="inlineStr">
        <is>
          <t>112-5601725-5737847</t>
        </is>
      </c>
      <c r="C4387" s="3" t="inlineStr">
        <is>
          <t>Autodist</t>
        </is>
      </c>
    </row>
    <row collapsed="false" customFormat="false" customHeight="false" hidden="false" ht="12.1" outlineLevel="0" r="4388">
      <c r="A4388" s="3" t="s">
        <f>=HYPERLINK("https://mp39851918.megaplan.ua/deals/111224/card/","18912")</f>
      </c>
      <c r="B4388" s="3" t="inlineStr">
        <is>
          <t>112-7739383-5113847</t>
        </is>
      </c>
      <c r="C4388" s="3" t="inlineStr">
        <is>
          <t>RockyMountain</t>
        </is>
      </c>
    </row>
    <row collapsed="false" customFormat="false" customHeight="false" hidden="false" ht="12.1" outlineLevel="0" r="4389">
      <c r="A4389" s="3" t="s">
        <f>=HYPERLINK("https://mp39851918.megaplan.ua/deals/111226/card/","18913")</f>
      </c>
      <c r="B4389" s="3" t="inlineStr">
        <is>
          <t>113-8219268-2209828</t>
        </is>
      </c>
      <c r="C4389" s="3" t="inlineStr">
        <is>
          <t>TuckerRocky</t>
        </is>
      </c>
    </row>
    <row collapsed="false" customFormat="false" customHeight="false" hidden="false" ht="12.1" outlineLevel="0" r="4390">
      <c r="A4390" s="3" t="s">
        <f>=HYPERLINK("https://mp39851918.megaplan.ua/deals/111235/card/","18914")</f>
      </c>
      <c r="B4390" s="3" t="inlineStr">
        <is>
          <t>112-4733598-1564247</t>
        </is>
      </c>
      <c r="C4390" s="3" t="inlineStr">
        <is>
          <t>RockyMountain</t>
        </is>
      </c>
    </row>
    <row collapsed="false" customFormat="false" customHeight="false" hidden="false" ht="12.1" outlineLevel="0" r="4391">
      <c r="A4391" s="3" t="s">
        <f>=HYPERLINK("https://mp39851918.megaplan.ua/deals/111241/card/","18915")</f>
      </c>
      <c r="B4391" s="3" t="inlineStr">
        <is>
          <t>111-2297418-7801026</t>
        </is>
      </c>
      <c r="C4391" s="3" t="inlineStr">
        <is>
          <t>Autodist</t>
        </is>
      </c>
    </row>
    <row collapsed="false" customFormat="false" customHeight="false" hidden="false" ht="12.1" outlineLevel="0" r="4392">
      <c r="A4392" s="3" t="s">
        <f>=HYPERLINK("https://mp39851918.megaplan.ua/deals/111243/card/","18916")</f>
      </c>
      <c r="B4392" s="3" t="inlineStr">
        <is>
          <t>114-5217396-9801041</t>
        </is>
      </c>
      <c r="C4392" s="3" t="inlineStr">
        <is>
          <t>PartsUnlimited</t>
        </is>
      </c>
    </row>
    <row collapsed="false" customFormat="false" customHeight="false" hidden="false" ht="12.1" outlineLevel="0" r="4393">
      <c r="A4393" s="3" t="s">
        <f>=HYPERLINK("https://mp39851918.megaplan.ua/deals/111244/card/","18917")</f>
      </c>
      <c r="B4393" s="3" t="inlineStr">
        <is>
          <t>114-1511726-1967442</t>
        </is>
      </c>
      <c r="C4393" s="3" t="inlineStr">
        <is>
          <t>RockyMountain</t>
        </is>
      </c>
    </row>
    <row collapsed="false" customFormat="false" customHeight="false" hidden="false" ht="12.1" outlineLevel="0" r="4394">
      <c r="A4394" s="3" t="s">
        <f>=HYPERLINK("https://mp39851918.megaplan.ua/deals/111245/card/","18918")</f>
      </c>
      <c r="B4394" s="3" t="inlineStr">
        <is>
          <t>114-3593157-5065038</t>
        </is>
      </c>
      <c r="C4394" s="3" t="inlineStr">
        <is>
          <t>Autodist</t>
        </is>
      </c>
    </row>
    <row collapsed="false" customFormat="false" customHeight="false" hidden="false" ht="12.1" outlineLevel="0" r="4395">
      <c r="A4395" s="3" t="s">
        <f>=HYPERLINK("https://mp39851918.megaplan.ua/deals/111250/card/","18919")</f>
      </c>
      <c r="B4395" s="3" t="inlineStr">
        <is>
          <t>111-6521349-8436263</t>
        </is>
      </c>
      <c r="C4395" s="3" t="inlineStr">
        <is>
          <t>RockyMountain</t>
        </is>
      </c>
    </row>
    <row collapsed="false" customFormat="false" customHeight="false" hidden="false" ht="12.1" outlineLevel="0" r="4396">
      <c r="A4396" s="3" t="s">
        <f>=HYPERLINK("https://mp39851918.megaplan.ua/deals/111252/card/","18920")</f>
      </c>
      <c r="B4396" s="3" t="inlineStr">
        <is>
          <t>114-0938068-5013816</t>
        </is>
      </c>
      <c r="C4396" s="3" t="inlineStr">
        <is>
          <t>TuckerRocky</t>
        </is>
      </c>
    </row>
    <row collapsed="false" customFormat="false" customHeight="false" hidden="false" ht="12.1" outlineLevel="0" r="4397">
      <c r="A4397" s="3" t="s">
        <f>=HYPERLINK("https://mp39851918.megaplan.ua/deals/111267/card/","18921")</f>
      </c>
      <c r="B4397" s="3" t="inlineStr">
        <is>
          <t>112-4009611-4068225</t>
        </is>
      </c>
      <c r="C4397" s="3" t="inlineStr">
        <is>
          <t>other</t>
        </is>
      </c>
    </row>
    <row collapsed="false" customFormat="false" customHeight="false" hidden="false" ht="12.1" outlineLevel="0" r="4398">
      <c r="A4398" s="3" t="s">
        <f>=HYPERLINK("https://mp39851918.megaplan.ua/deals/111268/card/","18922")</f>
      </c>
      <c r="B4398" s="3" t="inlineStr">
        <is>
          <t>112-1759744-3367431</t>
        </is>
      </c>
      <c r="C4398" s="3" t="inlineStr">
        <is>
          <t>other</t>
        </is>
      </c>
    </row>
    <row collapsed="false" customFormat="false" customHeight="false" hidden="false" ht="12.1" outlineLevel="0" r="4399">
      <c r="A4399" s="3" t="s">
        <f>=HYPERLINK("https://mp39851918.megaplan.ua/deals/111270/card/","18923")</f>
      </c>
      <c r="B4399" s="3" t="inlineStr">
        <is>
          <t>111-1088934-5387418</t>
        </is>
      </c>
      <c r="C4399" s="3" t="inlineStr">
        <is>
          <t>PartsUnlimited</t>
        </is>
      </c>
    </row>
    <row collapsed="false" customFormat="false" customHeight="false" hidden="false" ht="12.1" outlineLevel="0" r="4400">
      <c r="A4400" s="3" t="s">
        <f>=HYPERLINK("https://mp39851918.megaplan.ua/deals/111272/card/","18924")</f>
      </c>
      <c r="B4400" s="3" t="inlineStr">
        <is>
          <t>114-3372209-2437841</t>
        </is>
      </c>
      <c r="C4400" s="3" t="inlineStr">
        <is>
          <t>RockyMountain</t>
        </is>
      </c>
    </row>
    <row collapsed="false" customFormat="false" customHeight="false" hidden="false" ht="12.1" outlineLevel="0" r="4401">
      <c r="A4401" s="3" t="s">
        <f>=HYPERLINK("https://mp39851918.megaplan.ua/deals/111274/card/","18925")</f>
      </c>
      <c r="B4401" s="3" t="inlineStr">
        <is>
          <t>112-0974410-3239406</t>
        </is>
      </c>
      <c r="C4401" s="3" t="inlineStr">
        <is>
          <t>RockyMountain</t>
        </is>
      </c>
    </row>
    <row collapsed="false" customFormat="false" customHeight="false" hidden="false" ht="12.1" outlineLevel="0" r="4402">
      <c r="A4402" s="3" t="s">
        <f>=HYPERLINK("https://mp39851918.megaplan.ua/deals/111276/card/","18926")</f>
      </c>
      <c r="B4402" s="3" t="inlineStr">
        <is>
          <t>113-7891649-6174605</t>
        </is>
      </c>
      <c r="C4402" s="3" t="inlineStr">
        <is>
          <t>PartsUnlimited</t>
        </is>
      </c>
    </row>
    <row collapsed="false" customFormat="false" customHeight="false" hidden="false" ht="12.1" outlineLevel="0" r="4403">
      <c r="A4403" s="3" t="s">
        <f>=HYPERLINK("https://mp39851918.megaplan.ua/deals/111277/card/","18927")</f>
      </c>
      <c r="B4403" s="3" t="inlineStr">
        <is>
          <t>111-5942520-0199419</t>
        </is>
      </c>
      <c r="C4403" s="3" t="inlineStr">
        <is>
          <t>RockyMountain</t>
        </is>
      </c>
    </row>
    <row collapsed="false" customFormat="false" customHeight="false" hidden="false" ht="12.1" outlineLevel="0" r="4404">
      <c r="A4404" s="3" t="s">
        <f>=HYPERLINK("https://mp39851918.megaplan.ua/deals/111281/card/","18928")</f>
      </c>
      <c r="B4404" s="3" t="inlineStr">
        <is>
          <t>113-0486477-1285822</t>
        </is>
      </c>
      <c r="C4404" s="3" t="inlineStr">
        <is>
          <t>RockyMountain</t>
        </is>
      </c>
    </row>
    <row collapsed="false" customFormat="false" customHeight="false" hidden="false" ht="12.1" outlineLevel="0" r="4405">
      <c r="A4405" s="3" t="s">
        <f>=HYPERLINK("https://mp39851918.megaplan.ua/deals/111283/card/","18929")</f>
      </c>
      <c r="B4405" s="3" t="inlineStr">
        <is>
          <t>112-0272115-0878655</t>
        </is>
      </c>
      <c r="C4405" s="3" t="inlineStr">
        <is>
          <t>Autodist</t>
        </is>
      </c>
    </row>
    <row collapsed="false" customFormat="false" customHeight="false" hidden="false" ht="12.1" outlineLevel="0" r="4406">
      <c r="A4406" s="3" t="s">
        <f>=HYPERLINK("https://mp39851918.megaplan.ua/deals/111284/card/","18930")</f>
      </c>
      <c r="B4406" s="3" t="inlineStr">
        <is>
          <t>113-4850168-2181016</t>
        </is>
      </c>
      <c r="C4406" s="3" t="inlineStr">
        <is>
          <t>RockyMountain</t>
        </is>
      </c>
    </row>
    <row collapsed="false" customFormat="false" customHeight="false" hidden="false" ht="12.1" outlineLevel="0" r="4407">
      <c r="A4407" s="3" t="s">
        <f>=HYPERLINK("https://mp39851918.megaplan.ua/deals/111286/card/","18931")</f>
      </c>
      <c r="B4407" s="3" t="inlineStr">
        <is>
          <t>112-5252614-1017018</t>
        </is>
      </c>
      <c r="C4407" s="3" t="inlineStr">
        <is>
          <t>Autodist</t>
        </is>
      </c>
    </row>
    <row collapsed="false" customFormat="false" customHeight="false" hidden="false" ht="12.1" outlineLevel="0" r="4408">
      <c r="A4408" s="3" t="s">
        <f>=HYPERLINK("https://mp39851918.megaplan.ua/deals/111287/card/","18932")</f>
      </c>
      <c r="B4408" s="3" t="inlineStr">
        <is>
          <t>111-5865036-8198608</t>
        </is>
      </c>
      <c r="C4408" s="3" t="inlineStr">
        <is>
          <t>PartsUnlimited</t>
        </is>
      </c>
    </row>
    <row collapsed="false" customFormat="false" customHeight="false" hidden="false" ht="12.1" outlineLevel="0" r="4409">
      <c r="A4409" s="3" t="s">
        <f>=HYPERLINK("https://mp39851918.megaplan.ua/deals/111288/card/","18933")</f>
      </c>
      <c r="B4409" s="3" t="inlineStr">
        <is>
          <t>113-3842049-2812256</t>
        </is>
      </c>
      <c r="C4409" s="3" t="inlineStr">
        <is>
          <t>RockyMountain</t>
        </is>
      </c>
    </row>
    <row collapsed="false" customFormat="false" customHeight="false" hidden="false" ht="12.1" outlineLevel="0" r="4410">
      <c r="A4410" s="3" t="s">
        <f>=HYPERLINK("https://mp39851918.megaplan.ua/deals/111289/card/","18934")</f>
      </c>
      <c r="B4410" s="3" t="inlineStr">
        <is>
          <t>114-7303159-8083456</t>
        </is>
      </c>
      <c r="C4410" s="3" t="inlineStr">
        <is>
          <t>TuckerRocky</t>
        </is>
      </c>
    </row>
    <row collapsed="false" customFormat="false" customHeight="false" hidden="false" ht="12.1" outlineLevel="0" r="4411">
      <c r="A4411" s="3" t="s">
        <f>=HYPERLINK("https://mp39851918.megaplan.ua/deals/111294/card/","18935")</f>
      </c>
      <c r="B4411" s="3" t="inlineStr">
        <is>
          <t>111-1704567-6421842</t>
        </is>
      </c>
      <c r="C4411" s="3" t="inlineStr">
        <is>
          <t>RockyMountain</t>
        </is>
      </c>
    </row>
    <row collapsed="false" customFormat="false" customHeight="false" hidden="false" ht="12.1" outlineLevel="0" r="4412">
      <c r="A4412" s="3" t="s">
        <f>=HYPERLINK("https://mp39851918.megaplan.ua/deals/111302/card/","18936")</f>
      </c>
      <c r="B4412" s="3" t="inlineStr">
        <is>
          <t>113-9478604-9700256</t>
        </is>
      </c>
      <c r="C4412" s="3" t="inlineStr">
        <is>
          <t>RockyMountain</t>
        </is>
      </c>
    </row>
    <row collapsed="false" customFormat="false" customHeight="false" hidden="false" ht="12.1" outlineLevel="0" r="4413">
      <c r="A4413" s="3" t="s">
        <f>=HYPERLINK("https://mp39851918.megaplan.ua/deals/111304/card/","18937")</f>
      </c>
      <c r="B4413" s="3" t="inlineStr">
        <is>
          <t>111-7398403-5961869</t>
        </is>
      </c>
      <c r="C4413" s="3" t="inlineStr">
        <is>
          <t>RockyMountain</t>
        </is>
      </c>
    </row>
    <row collapsed="false" customFormat="false" customHeight="false" hidden="false" ht="12.1" outlineLevel="0" r="4414">
      <c r="A4414" s="3" t="s">
        <f>=HYPERLINK("https://mp39851918.megaplan.ua/deals/111305/card/","18938")</f>
      </c>
      <c r="B4414" s="3" t="inlineStr">
        <is>
          <t>113-0596254-8625814</t>
        </is>
      </c>
      <c r="C4414" s="3" t="inlineStr">
        <is>
          <t>PartsUnlimited</t>
        </is>
      </c>
    </row>
    <row collapsed="false" customFormat="false" customHeight="false" hidden="false" ht="12.1" outlineLevel="0" r="4415">
      <c r="A4415" s="3" t="s">
        <f>=HYPERLINK("https://mp39851918.megaplan.ua/deals/111307/card/","18939")</f>
      </c>
      <c r="B4415" s="3" t="inlineStr">
        <is>
          <t>114-9951684-3423448</t>
        </is>
      </c>
      <c r="C4415" s="3" t="inlineStr">
        <is>
          <t>RockyMountain</t>
        </is>
      </c>
    </row>
    <row collapsed="false" customFormat="false" customHeight="false" hidden="false" ht="12.1" outlineLevel="0" r="4416">
      <c r="A4416" s="3" t="s">
        <f>=HYPERLINK("https://mp39851918.megaplan.ua/deals/111317/card/","18942")</f>
      </c>
      <c r="B4416" s="3" t="inlineStr">
        <is>
          <t>112-0293713-4524245</t>
        </is>
      </c>
      <c r="C4416" s="3" t="inlineStr">
        <is>
          <t>TuckerRocky</t>
        </is>
      </c>
    </row>
    <row collapsed="false" customFormat="false" customHeight="false" hidden="false" ht="12.1" outlineLevel="0" r="4417">
      <c r="A4417" s="3" t="s">
        <f>=HYPERLINK("https://mp39851918.megaplan.ua/deals/111318/card/","18943")</f>
      </c>
      <c r="B4417" s="3" t="inlineStr">
        <is>
          <t>113-1786107-0431430</t>
        </is>
      </c>
      <c r="C4417" s="3" t="inlineStr">
        <is>
          <t>TuckerRocky</t>
        </is>
      </c>
    </row>
    <row collapsed="false" customFormat="false" customHeight="false" hidden="false" ht="12.1" outlineLevel="0" r="4418">
      <c r="A4418" s="3" t="s">
        <f>=HYPERLINK("https://mp39851918.megaplan.ua/deals/111322/card/","18946")</f>
      </c>
      <c r="B4418" s="3" t="inlineStr">
        <is>
          <t>111-7865146-2846629</t>
        </is>
      </c>
      <c r="C4418" s="3" t="inlineStr">
        <is>
          <t>TuckerRocky</t>
        </is>
      </c>
    </row>
    <row collapsed="false" customFormat="false" customHeight="false" hidden="false" ht="12.1" outlineLevel="0" r="4419">
      <c r="A4419" s="3" t="s">
        <f>=HYPERLINK("https://mp39851918.megaplan.ua/deals/111326/card/","18947")</f>
      </c>
      <c r="B4419" s="3" t="inlineStr">
        <is>
          <t>114-0826800-1194658</t>
        </is>
      </c>
      <c r="C4419" s="3" t="inlineStr">
        <is>
          <t>RockyMountain</t>
        </is>
      </c>
    </row>
    <row collapsed="false" customFormat="false" customHeight="false" hidden="false" ht="12.1" outlineLevel="0" r="4420">
      <c r="A4420" s="3" t="s">
        <f>=HYPERLINK("https://mp39851918.megaplan.ua/deals/111334/card/","18948")</f>
      </c>
      <c r="B4420" s="3" t="inlineStr">
        <is>
          <t>111-5293820-4305056</t>
        </is>
      </c>
      <c r="C4420" s="3" t="inlineStr">
        <is>
          <t>RockyMountain</t>
        </is>
      </c>
    </row>
    <row collapsed="false" customFormat="false" customHeight="false" hidden="false" ht="12.1" outlineLevel="0" r="4421">
      <c r="A4421" s="3" t="s">
        <f>=HYPERLINK("https://mp39851918.megaplan.ua/deals/111336/card/","18950")</f>
      </c>
      <c r="B4421" s="3" t="inlineStr">
        <is>
          <t>114-9040635-4282643</t>
        </is>
      </c>
      <c r="C4421" s="3" t="inlineStr">
        <is>
          <t>RockyMountain</t>
        </is>
      </c>
    </row>
    <row collapsed="false" customFormat="false" customHeight="false" hidden="false" ht="12.1" outlineLevel="0" r="4422">
      <c r="A4422" s="3" t="s">
        <f>=HYPERLINK("https://mp39851918.megaplan.ua/deals/111340/card/","18951")</f>
      </c>
      <c r="B4422" s="3" t="inlineStr">
        <is>
          <t>113-7295418-7354633</t>
        </is>
      </c>
      <c r="C4422" s="3" t="inlineStr">
        <is>
          <t>PartsUnlimited</t>
        </is>
      </c>
    </row>
    <row collapsed="false" customFormat="false" customHeight="false" hidden="false" ht="12.1" outlineLevel="0" r="4423">
      <c r="A4423" s="3" t="s">
        <f>=HYPERLINK("https://mp39851918.megaplan.ua/deals/111353/card/","18955")</f>
      </c>
      <c r="B4423" s="3" t="inlineStr">
        <is>
          <t>111-8320102-6749843</t>
        </is>
      </c>
      <c r="C4423" s="3" t="inlineStr">
        <is>
          <t>TuckerRocky</t>
        </is>
      </c>
    </row>
    <row collapsed="false" customFormat="false" customHeight="false" hidden="false" ht="12.1" outlineLevel="0" r="4424">
      <c r="A4424" s="3" t="s">
        <f>=HYPERLINK("https://mp39851918.megaplan.ua/deals/111383/card/","18956")</f>
      </c>
      <c r="B4424" s="3" t="inlineStr">
        <is>
          <t>111-8760868-3208222</t>
        </is>
      </c>
      <c r="C4424" s="3" t="inlineStr">
        <is>
          <t>PartsUnlimited</t>
        </is>
      </c>
    </row>
    <row collapsed="false" customFormat="false" customHeight="false" hidden="false" ht="12.1" outlineLevel="0" r="4425">
      <c r="A4425" s="3" t="s">
        <f>=HYPERLINK("https://mp39851918.megaplan.ua/deals/111384/card/","18957")</f>
      </c>
      <c r="B4425" s="3" t="inlineStr">
        <is>
          <t>113-6708005-8568241</t>
        </is>
      </c>
      <c r="C4425" s="3" t="inlineStr">
        <is>
          <t>Autodist</t>
        </is>
      </c>
    </row>
    <row collapsed="false" customFormat="false" customHeight="false" hidden="false" ht="12.1" outlineLevel="0" r="4426">
      <c r="A4426" s="3" t="s">
        <f>=HYPERLINK("https://mp39851918.megaplan.ua/deals/111386/card/","18958")</f>
      </c>
      <c r="B4426" s="3" t="inlineStr">
        <is>
          <t>114-7459517-5882645</t>
        </is>
      </c>
      <c r="C4426" s="3" t="inlineStr">
        <is>
          <t>RockyMountain</t>
        </is>
      </c>
    </row>
    <row collapsed="false" customFormat="false" customHeight="false" hidden="false" ht="12.1" outlineLevel="0" r="4427">
      <c r="A4427" s="3" t="s">
        <f>=HYPERLINK("https://mp39851918.megaplan.ua/deals/111398/card/","18960")</f>
      </c>
      <c r="B4427" s="3" t="inlineStr">
        <is>
          <t>113-5282596-7207434</t>
        </is>
      </c>
      <c r="C4427" s="3" t="inlineStr">
        <is>
          <t>RockyMountain</t>
        </is>
      </c>
    </row>
    <row collapsed="false" customFormat="false" customHeight="false" hidden="false" ht="12.1" outlineLevel="0" r="4428">
      <c r="A4428" s="3" t="s">
        <f>=HYPERLINK("https://mp39851918.megaplan.ua/deals/111402/card/","18961")</f>
      </c>
      <c r="B4428" s="3" t="inlineStr">
        <is>
          <t>113-5661841-4405843</t>
        </is>
      </c>
      <c r="C4428" s="3" t="inlineStr">
        <is>
          <t>RockyMountain</t>
        </is>
      </c>
    </row>
    <row collapsed="false" customFormat="false" customHeight="false" hidden="false" ht="12.1" outlineLevel="0" r="4429">
      <c r="A4429" s="3" t="s">
        <f>=HYPERLINK("https://mp39851918.megaplan.ua/deals/111403/card/","18962")</f>
      </c>
      <c r="B4429" s="3" t="inlineStr">
        <is>
          <t>114-5470046-1697006</t>
        </is>
      </c>
      <c r="C4429" s="3" t="inlineStr">
        <is>
          <t>RockyMountain</t>
        </is>
      </c>
    </row>
    <row collapsed="false" customFormat="false" customHeight="false" hidden="false" ht="12.1" outlineLevel="0" r="4430">
      <c r="A4430" s="3" t="s">
        <f>=HYPERLINK("https://mp39851918.megaplan.ua/deals/111404/card/","18963")</f>
      </c>
      <c r="B4430" s="3" t="inlineStr">
        <is>
          <t>114-4093639-2884249</t>
        </is>
      </c>
      <c r="C4430" s="3" t="inlineStr">
        <is>
          <t>RockyMountain</t>
        </is>
      </c>
    </row>
    <row collapsed="false" customFormat="false" customHeight="false" hidden="false" ht="12.1" outlineLevel="0" r="4431">
      <c r="A4431" s="3" t="s">
        <f>=HYPERLINK("https://mp39851918.megaplan.ua/deals/111412/card/","18964")</f>
      </c>
      <c r="B4431" s="3" t="inlineStr">
        <is>
          <t>114-1024482-1677047</t>
        </is>
      </c>
      <c r="C4431" s="3" t="inlineStr">
        <is>
          <t>TuckerRocky</t>
        </is>
      </c>
    </row>
    <row collapsed="false" customFormat="false" customHeight="false" hidden="false" ht="12.1" outlineLevel="0" r="4432">
      <c r="A4432" s="3" t="s">
        <f>=HYPERLINK("https://mp39851918.megaplan.ua/deals/111425/card/","18965")</f>
      </c>
      <c r="B4432" s="3" t="inlineStr">
        <is>
          <t>111-5586160-5047466</t>
        </is>
      </c>
      <c r="C4432" s="3" t="inlineStr">
        <is>
          <t>Autodist</t>
        </is>
      </c>
    </row>
    <row collapsed="false" customFormat="false" customHeight="false" hidden="false" ht="12.1" outlineLevel="0" r="4433">
      <c r="A4433" s="3" t="s">
        <f>=HYPERLINK("https://mp39851918.megaplan.ua/deals/111437/card/","18966")</f>
      </c>
      <c r="B4433" s="3" t="inlineStr">
        <is>
          <t>114-5444998-3881859</t>
        </is>
      </c>
      <c r="C4433" s="3" t="inlineStr">
        <is>
          <t>PartsUnlimited</t>
        </is>
      </c>
    </row>
    <row collapsed="false" customFormat="false" customHeight="false" hidden="false" ht="12.1" outlineLevel="0" r="4434">
      <c r="A4434" s="3" t="s">
        <f>=HYPERLINK("https://mp39851918.megaplan.ua/deals/111442/card/","18967")</f>
      </c>
      <c r="B4434" s="3" t="inlineStr">
        <is>
          <t>111-3015488-3691447</t>
        </is>
      </c>
      <c r="C4434" s="3" t="inlineStr">
        <is>
          <t>TuckerRocky</t>
        </is>
      </c>
    </row>
    <row collapsed="false" customFormat="false" customHeight="false" hidden="false" ht="12.1" outlineLevel="0" r="4435">
      <c r="A4435" s="3" t="s">
        <f>=HYPERLINK("https://mp39851918.megaplan.ua/deals/111447/card/","18968")</f>
      </c>
      <c r="B4435" s="3" t="inlineStr">
        <is>
          <t>113-2851168-0749017</t>
        </is>
      </c>
      <c r="C4435" s="3" t="inlineStr">
        <is>
          <t>Autodist</t>
        </is>
      </c>
    </row>
    <row collapsed="false" customFormat="false" customHeight="false" hidden="false" ht="12.1" outlineLevel="0" r="4436">
      <c r="A4436" s="3" t="s">
        <f>=HYPERLINK("https://mp39851918.megaplan.ua/deals/111456/card/","18970")</f>
      </c>
      <c r="B4436" s="3" t="inlineStr">
        <is>
          <t>112-5963815-4417016</t>
        </is>
      </c>
      <c r="C4436" s="3" t="inlineStr">
        <is>
          <t>PartsUnlimited</t>
        </is>
      </c>
    </row>
    <row collapsed="false" customFormat="false" customHeight="false" hidden="false" ht="12.1" outlineLevel="0" r="4437">
      <c r="A4437" s="3" t="s">
        <f>=HYPERLINK("https://mp39851918.megaplan.ua/deals/111457/card/","18971")</f>
      </c>
      <c r="B4437" s="3" t="inlineStr">
        <is>
          <t>114-9575178-5797059</t>
        </is>
      </c>
      <c r="C4437" s="3" t="inlineStr">
        <is>
          <t>TuckerRocky</t>
        </is>
      </c>
    </row>
    <row collapsed="false" customFormat="false" customHeight="false" hidden="false" ht="12.1" outlineLevel="0" r="4438">
      <c r="A4438" s="3" t="s">
        <f>=HYPERLINK("https://mp39851918.megaplan.ua/deals/111466/card/","18972")</f>
      </c>
      <c r="B4438" s="3" t="inlineStr">
        <is>
          <t>114-4098283-1665834</t>
        </is>
      </c>
      <c r="C4438" s="3" t="inlineStr">
        <is>
          <t>RockyMountain</t>
        </is>
      </c>
    </row>
    <row collapsed="false" customFormat="false" customHeight="false" hidden="false" ht="12.1" outlineLevel="0" r="4439">
      <c r="A4439" s="3" t="s">
        <f>=HYPERLINK("https://mp39851918.megaplan.ua/deals/111471/card/","18973")</f>
      </c>
      <c r="B4439" s="3" t="inlineStr">
        <is>
          <t>113-7051019-9360244</t>
        </is>
      </c>
      <c r="C4439" s="3" t="inlineStr">
        <is>
          <t>RockyMountain</t>
        </is>
      </c>
    </row>
    <row collapsed="false" customFormat="false" customHeight="false" hidden="false" ht="12.1" outlineLevel="0" r="4440">
      <c r="A4440" s="3" t="s">
        <f>=HYPERLINK("https://mp39851918.megaplan.ua/deals/111480/card/","18974")</f>
      </c>
      <c r="B4440" s="3" t="inlineStr">
        <is>
          <t>114-0829727-8629041</t>
        </is>
      </c>
      <c r="C4440" s="3" t="inlineStr">
        <is>
          <t>RockyMountain</t>
        </is>
      </c>
    </row>
    <row collapsed="false" customFormat="false" customHeight="false" hidden="false" ht="12.1" outlineLevel="0" r="4441">
      <c r="A4441" s="3" t="s">
        <f>=HYPERLINK("https://mp39851918.megaplan.ua/deals/111491/card/","18975")</f>
      </c>
      <c r="B4441" s="3" t="inlineStr">
        <is>
          <t>112-4023341-6036238</t>
        </is>
      </c>
      <c r="C4441" s="3" t="inlineStr">
        <is>
          <t>RockyMountain</t>
        </is>
      </c>
    </row>
    <row collapsed="false" customFormat="false" customHeight="false" hidden="false" ht="12.1" outlineLevel="0" r="4442">
      <c r="A4442" s="3" t="s">
        <f>=HYPERLINK("https://mp39851918.megaplan.ua/deals/111496/card/","18976")</f>
      </c>
      <c r="B4442" s="3" t="inlineStr">
        <is>
          <t>112-2469102-0886665</t>
        </is>
      </c>
      <c r="C4442" s="3" t="inlineStr">
        <is>
          <t>Autodist</t>
        </is>
      </c>
    </row>
    <row collapsed="false" customFormat="false" customHeight="false" hidden="false" ht="12.1" outlineLevel="0" r="4443">
      <c r="A4443" s="3" t="s">
        <f>=HYPERLINK("https://mp39851918.megaplan.ua/deals/111505/card/","18977")</f>
      </c>
      <c r="B4443" s="3" t="inlineStr">
        <is>
          <t>111-1521591-0568251</t>
        </is>
      </c>
      <c r="C4443" s="3" t="inlineStr">
        <is>
          <t>PartsUnlimited</t>
        </is>
      </c>
    </row>
    <row collapsed="false" customFormat="false" customHeight="false" hidden="false" ht="12.1" outlineLevel="0" r="4444">
      <c r="A4444" s="3" t="s">
        <f>=HYPERLINK("https://mp39851918.megaplan.ua/deals/111514/card/","18979")</f>
      </c>
      <c r="B4444" s="3" t="inlineStr">
        <is>
          <t>111-3262174-3309068</t>
        </is>
      </c>
      <c r="C4444" s="3" t="inlineStr">
        <is>
          <t>RockyMountain</t>
        </is>
      </c>
    </row>
    <row collapsed="false" customFormat="false" customHeight="false" hidden="false" ht="12.1" outlineLevel="0" r="4445">
      <c r="A4445" s="3" t="s">
        <f>=HYPERLINK("https://mp39851918.megaplan.ua/deals/111520/card/","18980")</f>
      </c>
      <c r="B4445" s="3" t="inlineStr">
        <is>
          <t>114-7489374-0238626</t>
        </is>
      </c>
      <c r="C4445" s="3" t="inlineStr">
        <is>
          <t>RockyMountain</t>
        </is>
      </c>
    </row>
    <row collapsed="false" customFormat="false" customHeight="false" hidden="false" ht="12.1" outlineLevel="0" r="4446">
      <c r="A4446" s="3" t="s">
        <f>=HYPERLINK("https://mp39851918.megaplan.ua/deals/111538/card/","18982")</f>
      </c>
      <c r="B4446" s="3" t="inlineStr">
        <is>
          <t>112-0784027-3787426</t>
        </is>
      </c>
      <c r="C4446" s="3" t="inlineStr">
        <is>
          <t>RockyMountain</t>
        </is>
      </c>
    </row>
    <row collapsed="false" customFormat="false" customHeight="false" hidden="false" ht="12.1" outlineLevel="0" r="4447">
      <c r="A4447" s="3" t="s">
        <f>=HYPERLINK("https://mp39851918.megaplan.ua/deals/111545/card/","18983")</f>
      </c>
      <c r="B4447" s="3" t="inlineStr">
        <is>
          <t>112-6833416-2682614</t>
        </is>
      </c>
      <c r="C4447" s="3" t="inlineStr">
        <is>
          <t>Autodist</t>
        </is>
      </c>
    </row>
    <row collapsed="false" customFormat="false" customHeight="false" hidden="false" ht="12.1" outlineLevel="0" r="4448">
      <c r="A4448" s="3" t="s">
        <f>=HYPERLINK("https://mp39851918.megaplan.ua/deals/111548/card/","18984")</f>
      </c>
      <c r="B4448" s="3" t="inlineStr">
        <is>
          <t>113-9820157-8120255</t>
        </is>
      </c>
      <c r="C4448" s="3" t="inlineStr">
        <is>
          <t>RockyMountain</t>
        </is>
      </c>
    </row>
    <row collapsed="false" customFormat="false" customHeight="false" hidden="false" ht="12.1" outlineLevel="0" r="4449">
      <c r="A4449" s="3" t="s">
        <f>=HYPERLINK("https://mp39851918.megaplan.ua/deals/111554/card/","18985")</f>
      </c>
      <c r="B4449" s="3" t="inlineStr">
        <is>
          <t>113-8770864-0961808</t>
        </is>
      </c>
      <c r="C4449" s="3" t="inlineStr">
        <is>
          <t>RockyMountain</t>
        </is>
      </c>
    </row>
    <row collapsed="false" customFormat="false" customHeight="false" hidden="false" ht="12.1" outlineLevel="0" r="4450">
      <c r="A4450" s="3" t="s">
        <f>=HYPERLINK("https://mp39851918.megaplan.ua/deals/111558/card/","18986")</f>
      </c>
      <c r="B4450" s="3" t="inlineStr">
        <is>
          <t>111-6012059-8613847</t>
        </is>
      </c>
      <c r="C4450" s="3" t="inlineStr">
        <is>
          <t>RockyMountain</t>
        </is>
      </c>
    </row>
    <row collapsed="false" customFormat="false" customHeight="false" hidden="false" ht="12.1" outlineLevel="0" r="4451">
      <c r="A4451" s="3" t="s">
        <f>=HYPERLINK("https://mp39851918.megaplan.ua/deals/111579/card/","18987")</f>
      </c>
      <c r="B4451" s="3" t="inlineStr">
        <is>
          <t>111-5169618-1278601</t>
        </is>
      </c>
      <c r="C4451" s="3" t="inlineStr">
        <is>
          <t>TuckerRocky</t>
        </is>
      </c>
    </row>
    <row collapsed="false" customFormat="false" customHeight="false" hidden="false" ht="12.1" outlineLevel="0" r="4452">
      <c r="A4452" s="3" t="s">
        <f>=HYPERLINK("https://mp39851918.megaplan.ua/deals/111580/card/","18988")</f>
      </c>
      <c r="B4452" s="3" t="inlineStr">
        <is>
          <t>112-7538255-0111435</t>
        </is>
      </c>
      <c r="C4452" s="3" t="inlineStr">
        <is>
          <t>PartsUnlimited</t>
        </is>
      </c>
    </row>
    <row collapsed="false" customFormat="false" customHeight="false" hidden="false" ht="12.1" outlineLevel="0" r="4453">
      <c r="A4453" s="3" t="s">
        <f>=HYPERLINK("https://mp39851918.megaplan.ua/deals/111587/card/","18989")</f>
      </c>
      <c r="B4453" s="3" t="inlineStr">
        <is>
          <t>114-8206989-7739414</t>
        </is>
      </c>
      <c r="C4453" s="3" t="inlineStr">
        <is>
          <t>RockyMountain</t>
        </is>
      </c>
    </row>
    <row collapsed="false" customFormat="false" customHeight="false" hidden="false" ht="12.1" outlineLevel="0" r="4454">
      <c r="A4454" s="3" t="s">
        <f>=HYPERLINK("https://mp39851918.megaplan.ua/deals/111589/card/","18990")</f>
      </c>
      <c r="B4454" s="3" t="inlineStr">
        <is>
          <t>113-6297693-9433849</t>
        </is>
      </c>
      <c r="C4454" s="3" t="inlineStr">
        <is>
          <t>RockyMountain</t>
        </is>
      </c>
    </row>
    <row collapsed="false" customFormat="false" customHeight="false" hidden="false" ht="12.1" outlineLevel="0" r="4455">
      <c r="A4455" s="3" t="s">
        <f>=HYPERLINK("https://mp39851918.megaplan.ua/deals/111590/card/","18991")</f>
      </c>
      <c r="B4455" s="3" t="inlineStr">
        <is>
          <t>112-8346849-6541047</t>
        </is>
      </c>
      <c r="C4455" s="3" t="inlineStr">
        <is>
          <t>Autodist</t>
        </is>
      </c>
    </row>
    <row collapsed="false" customFormat="false" customHeight="false" hidden="false" ht="12.1" outlineLevel="0" r="4456">
      <c r="A4456" s="3" t="s">
        <f>=HYPERLINK("https://mp39851918.megaplan.ua/deals/111602/card/","18992")</f>
      </c>
      <c r="B4456" s="3" t="inlineStr">
        <is>
          <t>112-3012034-2772254</t>
        </is>
      </c>
      <c r="C4456" s="3" t="inlineStr">
        <is>
          <t>TuckerRocky</t>
        </is>
      </c>
    </row>
    <row collapsed="false" customFormat="false" customHeight="false" hidden="false" ht="12.1" outlineLevel="0" r="4457">
      <c r="A4457" s="3" t="s">
        <f>=HYPERLINK("https://mp39851918.megaplan.ua/deals/111612/card/","18994")</f>
      </c>
      <c r="B4457" s="3" t="inlineStr">
        <is>
          <t>111-3557370-1621040</t>
        </is>
      </c>
      <c r="C4457" s="3" t="inlineStr">
        <is>
          <t>TuckerRocky</t>
        </is>
      </c>
    </row>
    <row collapsed="false" customFormat="false" customHeight="false" hidden="false" ht="12.1" outlineLevel="0" r="4458">
      <c r="A4458" s="3" t="s">
        <f>=HYPERLINK("https://mp39851918.megaplan.ua/deals/111614/card/","18995")</f>
      </c>
      <c r="B4458" s="3" t="inlineStr">
        <is>
          <t>111-7723020-9713827</t>
        </is>
      </c>
      <c r="C4458" s="3" t="inlineStr">
        <is>
          <t>RockyMountain</t>
        </is>
      </c>
    </row>
    <row collapsed="false" customFormat="false" customHeight="false" hidden="false" ht="12.1" outlineLevel="0" r="4459">
      <c r="A4459" s="3" t="s">
        <f>=HYPERLINK("https://mp39851918.megaplan.ua/deals/111636/card/","18996")</f>
      </c>
      <c r="B4459" s="3" t="inlineStr">
        <is>
          <t>112-7811757-6951432</t>
        </is>
      </c>
      <c r="C4459" s="3" t="inlineStr">
        <is>
          <t>PartsUnlimited</t>
        </is>
      </c>
    </row>
    <row collapsed="false" customFormat="false" customHeight="false" hidden="false" ht="12.1" outlineLevel="0" r="4460">
      <c r="A4460" s="3" t="s">
        <f>=HYPERLINK("https://mp39851918.megaplan.ua/deals/111642/card/","18997")</f>
      </c>
      <c r="B4460" s="3" t="inlineStr">
        <is>
          <t>111-8401269-3428240</t>
        </is>
      </c>
      <c r="C4460" s="3" t="inlineStr">
        <is>
          <t>PartsUnlimited</t>
        </is>
      </c>
    </row>
    <row collapsed="false" customFormat="false" customHeight="false" hidden="false" ht="12.1" outlineLevel="0" r="4461">
      <c r="A4461" s="3" t="s">
        <f>=HYPERLINK("https://mp39851918.megaplan.ua/deals/111674/card/","19000")</f>
      </c>
      <c r="B4461" s="3" t="inlineStr">
        <is>
          <t>114-3227713-6793003</t>
        </is>
      </c>
      <c r="C4461" s="3" t="inlineStr">
        <is>
          <t>PartsUnlimited</t>
        </is>
      </c>
    </row>
    <row collapsed="false" customFormat="false" customHeight="false" hidden="false" ht="12.1" outlineLevel="0" r="4462">
      <c r="A4462" s="3" t="s">
        <f>=HYPERLINK("https://mp39851918.megaplan.ua/deals/111692/card/","19003")</f>
      </c>
      <c r="B4462" s="3" t="inlineStr">
        <is>
          <t>111-1241225-0283409</t>
        </is>
      </c>
      <c r="C4462" s="3" t="inlineStr">
        <is>
          <t>PartsUnlimited</t>
        </is>
      </c>
    </row>
    <row collapsed="false" customFormat="false" customHeight="false" hidden="false" ht="12.1" outlineLevel="0" r="4463">
      <c r="A4463" s="3" t="s">
        <f>=HYPERLINK("https://mp39851918.megaplan.ua/deals/111699/card/","19004")</f>
      </c>
      <c r="B4463" s="3" t="inlineStr">
        <is>
          <t>114-3249767-0642602</t>
        </is>
      </c>
      <c r="C4463" s="3" t="inlineStr">
        <is>
          <t>RockyMountain</t>
        </is>
      </c>
    </row>
    <row collapsed="false" customFormat="false" customHeight="false" hidden="false" ht="12.1" outlineLevel="0" r="4464">
      <c r="A4464" s="3" t="s">
        <f>=HYPERLINK("https://mp39851918.megaplan.ua/deals/111701/card/","19005")</f>
      </c>
      <c r="B4464" s="3" t="inlineStr">
        <is>
          <t>114-3017127-9274633</t>
        </is>
      </c>
      <c r="C4464" s="3" t="inlineStr">
        <is>
          <t>Autodist</t>
        </is>
      </c>
    </row>
    <row collapsed="false" customFormat="false" customHeight="false" hidden="false" ht="12.1" outlineLevel="0" r="4465">
      <c r="A4465" s="3" t="s">
        <f>=HYPERLINK("https://mp39851918.megaplan.ua/deals/111709/card/","19006")</f>
      </c>
      <c r="B4465" s="3" t="inlineStr">
        <is>
          <t>113-9765576-8512213</t>
        </is>
      </c>
      <c r="C4465" s="3" t="inlineStr">
        <is>
          <t>Autodist</t>
        </is>
      </c>
    </row>
    <row collapsed="false" customFormat="false" customHeight="false" hidden="false" ht="12.1" outlineLevel="0" r="4466">
      <c r="A4466" s="3" t="s">
        <f>=HYPERLINK("https://mp39851918.megaplan.ua/deals/111718/card/","19007")</f>
      </c>
      <c r="B4466" s="3" t="inlineStr">
        <is>
          <t>113-5727524-2999449</t>
        </is>
      </c>
      <c r="C4466" s="3" t="inlineStr">
        <is>
          <t>TuckerRocky</t>
        </is>
      </c>
    </row>
    <row collapsed="false" customFormat="false" customHeight="false" hidden="false" ht="12.1" outlineLevel="0" r="4467">
      <c r="A4467" s="3" t="s">
        <f>=HYPERLINK("https://mp39851918.megaplan.ua/deals/111724/card/","19009")</f>
      </c>
      <c r="B4467" s="3" t="inlineStr">
        <is>
          <t>113-1973673-9834639</t>
        </is>
      </c>
      <c r="C4467" s="3" t="inlineStr">
        <is>
          <t>PartsUnlimited</t>
        </is>
      </c>
    </row>
    <row collapsed="false" customFormat="false" customHeight="false" hidden="false" ht="12.1" outlineLevel="0" r="4468">
      <c r="A4468" s="3" t="s">
        <f>=HYPERLINK("https://mp39851918.megaplan.ua/deals/111725/card/","19010")</f>
      </c>
      <c r="B4468" s="3" t="inlineStr">
        <is>
          <t>114-9624911-3653017</t>
        </is>
      </c>
      <c r="C4468" s="3" t="inlineStr">
        <is>
          <t>Autodist</t>
        </is>
      </c>
    </row>
    <row collapsed="false" customFormat="false" customHeight="false" hidden="false" ht="12.1" outlineLevel="0" r="4469">
      <c r="A4469" s="3" t="s">
        <f>=HYPERLINK("https://mp39851918.megaplan.ua/deals/111748/card/","19011")</f>
      </c>
      <c r="B4469" s="3" t="inlineStr">
        <is>
          <t>113-8387224-3097845</t>
        </is>
      </c>
      <c r="C4469" s="3" t="inlineStr">
        <is>
          <t>RockyMountain</t>
        </is>
      </c>
    </row>
    <row collapsed="false" customFormat="false" customHeight="false" hidden="false" ht="12.1" outlineLevel="0" r="4470">
      <c r="A4470" s="3" t="s">
        <f>=HYPERLINK("https://mp39851918.megaplan.ua/deals/111756/card/","19012")</f>
      </c>
      <c r="B4470" s="3" t="inlineStr">
        <is>
          <t>112-9683915-6380217</t>
        </is>
      </c>
      <c r="C4470" s="3" t="inlineStr">
        <is>
          <t>RockyMountain</t>
        </is>
      </c>
    </row>
    <row collapsed="false" customFormat="false" customHeight="false" hidden="false" ht="12.1" outlineLevel="0" r="4471">
      <c r="A4471" s="3" t="s">
        <f>=HYPERLINK("https://mp39851918.megaplan.ua/deals/111761/card/","19013")</f>
      </c>
      <c r="B4471" s="3" t="inlineStr">
        <is>
          <t>114-1523039-4189823</t>
        </is>
      </c>
      <c r="C4471" s="3" t="inlineStr">
        <is>
          <t>RockyMountain</t>
        </is>
      </c>
    </row>
    <row collapsed="false" customFormat="false" customHeight="false" hidden="false" ht="12.1" outlineLevel="0" r="4472">
      <c r="A4472" s="3" t="s">
        <f>=HYPERLINK("https://mp39851918.megaplan.ua/deals/111767/card/","19014")</f>
      </c>
      <c r="B4472" s="3" t="inlineStr">
        <is>
          <t>113-1468248-2504232</t>
        </is>
      </c>
      <c r="C4472" s="3" t="inlineStr">
        <is>
          <t>PartsUnlimited</t>
        </is>
      </c>
    </row>
    <row collapsed="false" customFormat="false" customHeight="false" hidden="false" ht="12.1" outlineLevel="0" r="4473">
      <c r="A4473" s="3" t="s">
        <f>=HYPERLINK("https://mp39851918.megaplan.ua/deals/111768/card/","19015")</f>
      </c>
      <c r="B4473" s="3" t="inlineStr">
        <is>
          <t>111-2061564-2038620</t>
        </is>
      </c>
      <c r="C4473" s="3" t="inlineStr">
        <is>
          <t>TuckerRocky</t>
        </is>
      </c>
    </row>
    <row collapsed="false" customFormat="false" customHeight="false" hidden="false" ht="12.1" outlineLevel="0" r="4474">
      <c r="A4474" s="3" t="s">
        <f>=HYPERLINK("https://mp39851918.megaplan.ua/deals/111790/card/","19018")</f>
      </c>
      <c r="B4474" s="3" t="inlineStr">
        <is>
          <t>113-9377101-0591426</t>
        </is>
      </c>
      <c r="C4474" s="3" t="inlineStr">
        <is>
          <t>TuckerRocky</t>
        </is>
      </c>
    </row>
    <row collapsed="false" customFormat="false" customHeight="false" hidden="false" ht="12.1" outlineLevel="0" r="4475">
      <c r="A4475" s="3" t="s">
        <f>=HYPERLINK("https://mp39851918.megaplan.ua/deals/111796/card/","19019")</f>
      </c>
      <c r="B4475" s="3" t="inlineStr">
        <is>
          <t>114-2309815-5254667</t>
        </is>
      </c>
      <c r="C4475" s="3" t="inlineStr">
        <is>
          <t>TuckerRocky</t>
        </is>
      </c>
    </row>
    <row collapsed="false" customFormat="false" customHeight="false" hidden="false" ht="12.1" outlineLevel="0" r="4476">
      <c r="A4476" s="3" t="s">
        <f>=HYPERLINK("https://mp39851918.megaplan.ua/deals/111797/card/","19020")</f>
      </c>
      <c r="B4476" s="3" t="inlineStr">
        <is>
          <t>112-7088927-4598612</t>
        </is>
      </c>
      <c r="C4476" s="3" t="inlineStr">
        <is>
          <t>RockyMountain</t>
        </is>
      </c>
    </row>
    <row collapsed="false" customFormat="false" customHeight="false" hidden="false" ht="12.1" outlineLevel="0" r="4477">
      <c r="A4477" s="3" t="s">
        <f>=HYPERLINK("https://mp39851918.megaplan.ua/deals/111798/card/","19021")</f>
      </c>
      <c r="B4477" s="3" t="inlineStr">
        <is>
          <t>114-2536720-4903449</t>
        </is>
      </c>
      <c r="C4477" s="3" t="inlineStr">
        <is>
          <t>TuckerRocky</t>
        </is>
      </c>
    </row>
    <row collapsed="false" customFormat="false" customHeight="false" hidden="false" ht="12.1" outlineLevel="0" r="4478">
      <c r="A4478" s="3" t="s">
        <f>=HYPERLINK("https://mp39851918.megaplan.ua/deals/111799/card/","19022")</f>
      </c>
      <c r="B4478" s="3" t="inlineStr">
        <is>
          <t>113-6516575-2284246</t>
        </is>
      </c>
      <c r="C4478" s="3" t="inlineStr">
        <is>
          <t>RockyMountain</t>
        </is>
      </c>
    </row>
    <row collapsed="false" customFormat="false" customHeight="false" hidden="false" ht="12.1" outlineLevel="0" r="4479">
      <c r="A4479" s="3" t="s">
        <f>=HYPERLINK("https://mp39851918.megaplan.ua/deals/111800/card/","19023")</f>
      </c>
      <c r="B4479" s="3" t="inlineStr">
        <is>
          <t>112-7334599-3465058</t>
        </is>
      </c>
      <c r="C4479" s="3" t="inlineStr">
        <is>
          <t>RockyMountain</t>
        </is>
      </c>
    </row>
    <row collapsed="false" customFormat="false" customHeight="false" hidden="false" ht="12.1" outlineLevel="0" r="4480">
      <c r="A4480" s="3" t="s">
        <f>=HYPERLINK("https://mp39851918.megaplan.ua/deals/111801/card/","19024")</f>
      </c>
      <c r="B4480" s="3" t="inlineStr">
        <is>
          <t>111-2384313-6088200</t>
        </is>
      </c>
      <c r="C4480" s="3" t="inlineStr">
        <is>
          <t>TuckerRocky</t>
        </is>
      </c>
    </row>
    <row collapsed="false" customFormat="false" customHeight="false" hidden="false" ht="12.1" outlineLevel="0" r="4481">
      <c r="A4481" s="3" t="s">
        <f>=HYPERLINK("https://mp39851918.megaplan.ua/deals/111810/card/","19025")</f>
      </c>
      <c r="B4481" s="3" t="inlineStr">
        <is>
          <t>112-8791370-9429816</t>
        </is>
      </c>
      <c r="C4481" s="3" t="inlineStr">
        <is>
          <t>TuckerRocky</t>
        </is>
      </c>
    </row>
    <row collapsed="false" customFormat="false" customHeight="false" hidden="false" ht="12.1" outlineLevel="0" r="4482">
      <c r="A4482" s="3" t="s">
        <f>=HYPERLINK("https://mp39851918.megaplan.ua/deals/111814/card/","19026")</f>
      </c>
      <c r="B4482" s="3" t="inlineStr">
        <is>
          <t>111-0953862-1083466</t>
        </is>
      </c>
      <c r="C4482" s="3" t="inlineStr">
        <is>
          <t>RockyMountain</t>
        </is>
      </c>
    </row>
    <row collapsed="false" customFormat="false" customHeight="false" hidden="false" ht="12.1" outlineLevel="0" r="4483">
      <c r="A4483" s="3" t="s">
        <f>=HYPERLINK("https://mp39851918.megaplan.ua/deals/111815/card/","19027")</f>
      </c>
      <c r="B4483" s="3" t="inlineStr">
        <is>
          <t>114-9255570-0429819</t>
        </is>
      </c>
      <c r="C4483" s="3" t="inlineStr">
        <is>
          <t>TuckerRocky</t>
        </is>
      </c>
    </row>
    <row collapsed="false" customFormat="false" customHeight="false" hidden="false" ht="12.1" outlineLevel="0" r="4484">
      <c r="A4484" s="3" t="s">
        <f>=HYPERLINK("https://mp39851918.megaplan.ua/deals/111816/card/","19028")</f>
      </c>
      <c r="B4484" s="3" t="inlineStr">
        <is>
          <t>113-3959673-9265024</t>
        </is>
      </c>
      <c r="C4484" s="3" t="inlineStr">
        <is>
          <t>RockyMountain</t>
        </is>
      </c>
    </row>
    <row collapsed="false" customFormat="false" customHeight="false" hidden="false" ht="12.1" outlineLevel="0" r="4485">
      <c r="A4485" s="3" t="s">
        <f>=HYPERLINK("https://mp39851918.megaplan.ua/deals/111817/card/","19029")</f>
      </c>
      <c r="B4485" s="3" t="inlineStr">
        <is>
          <t>111-1944926-5726634</t>
        </is>
      </c>
      <c r="C4485" s="3" t="inlineStr">
        <is>
          <t>TuckerRocky</t>
        </is>
      </c>
    </row>
    <row collapsed="false" customFormat="false" customHeight="false" hidden="false" ht="12.1" outlineLevel="0" r="4486">
      <c r="A4486" s="3" t="s">
        <f>=HYPERLINK("https://mp39851918.megaplan.ua/deals/111820/card/","19030")</f>
      </c>
      <c r="B4486" s="3" t="inlineStr">
        <is>
          <t>111-7980201-1112214</t>
        </is>
      </c>
      <c r="C4486" s="3" t="inlineStr">
        <is>
          <t>PartsUnlimited</t>
        </is>
      </c>
    </row>
    <row collapsed="false" customFormat="false" customHeight="false" hidden="false" ht="12.1" outlineLevel="0" r="4487">
      <c r="A4487" s="3" t="s">
        <f>=HYPERLINK("https://mp39851918.megaplan.ua/deals/111823/card/","19031")</f>
      </c>
      <c r="B4487" s="3" t="inlineStr">
        <is>
          <t>114-4495959-0164221</t>
        </is>
      </c>
      <c r="C4487" s="3" t="inlineStr">
        <is>
          <t>TuckerRocky</t>
        </is>
      </c>
    </row>
    <row collapsed="false" customFormat="false" customHeight="false" hidden="false" ht="12.1" outlineLevel="0" r="4488">
      <c r="A4488" s="3" t="s">
        <f>=HYPERLINK("https://mp39851918.megaplan.ua/deals/111827/card/","19032")</f>
      </c>
      <c r="B4488" s="3" t="inlineStr">
        <is>
          <t>112-1544598-3430626</t>
        </is>
      </c>
      <c r="C4488" s="3" t="inlineStr">
        <is>
          <t>Autodist</t>
        </is>
      </c>
    </row>
    <row collapsed="false" customFormat="false" customHeight="false" hidden="false" ht="12.1" outlineLevel="0" r="4489">
      <c r="A4489" s="3" t="s">
        <f>=HYPERLINK("https://mp39851918.megaplan.ua/deals/111832/card/","19033")</f>
      </c>
      <c r="B4489" s="3" t="inlineStr">
        <is>
          <t>113-4780323-4681832</t>
        </is>
      </c>
      <c r="C4489" s="3" t="inlineStr">
        <is>
          <t>Autodist</t>
        </is>
      </c>
    </row>
    <row collapsed="false" customFormat="false" customHeight="false" hidden="false" ht="12.1" outlineLevel="0" r="4490">
      <c r="A4490" s="3" t="s">
        <f>=HYPERLINK("https://mp39851918.megaplan.ua/deals/111843/card/","19035")</f>
      </c>
      <c r="B4490" s="3" t="inlineStr">
        <is>
          <t>113-9478604-9700256</t>
        </is>
      </c>
      <c r="C4490" s="3" t="inlineStr">
        <is>
          <t>other</t>
        </is>
      </c>
    </row>
    <row collapsed="false" customFormat="false" customHeight="false" hidden="false" ht="12.1" outlineLevel="0" r="4491">
      <c r="A4491" s="3" t="s">
        <f>=HYPERLINK("https://mp39851918.megaplan.ua/deals/111844/card/","19036")</f>
      </c>
      <c r="B4491" s="3" t="inlineStr">
        <is>
          <t>114-9951684-3423448</t>
        </is>
      </c>
      <c r="C4491" s="3" t="inlineStr">
        <is>
          <t>other</t>
        </is>
      </c>
    </row>
    <row collapsed="false" customFormat="false" customHeight="false" hidden="false" ht="12.1" outlineLevel="0" r="4492">
      <c r="A4492" s="3" t="s">
        <f>=HYPERLINK("https://mp39851918.megaplan.ua/deals/111846/card/","19037")</f>
      </c>
      <c r="B4492" s="3" t="inlineStr">
        <is>
          <t>111-0953862-1083466</t>
        </is>
      </c>
      <c r="C4492" s="3" t="inlineStr">
        <is>
          <t>other</t>
        </is>
      </c>
    </row>
    <row collapsed="false" customFormat="false" customHeight="false" hidden="false" ht="12.1" outlineLevel="0" r="4493">
      <c r="A4493" s="3" t="s">
        <f>=HYPERLINK("https://mp39851918.megaplan.ua/deals/111848/card/","19038")</f>
      </c>
      <c r="B4493" s="3" t="inlineStr">
        <is>
          <t>114-0826800-1194658</t>
        </is>
      </c>
      <c r="C4493" s="3" t="inlineStr">
        <is>
          <t>other</t>
        </is>
      </c>
    </row>
    <row collapsed="false" customFormat="false" customHeight="false" hidden="false" ht="12.1" outlineLevel="0" r="4494">
      <c r="A4494" s="3" t="s">
        <f>=HYPERLINK("https://mp39851918.megaplan.ua/deals/111849/card/","19039")</f>
      </c>
      <c r="B4494" s="3" t="inlineStr">
        <is>
          <t>114-3227713-6793003</t>
        </is>
      </c>
      <c r="C4494" s="3" t="inlineStr">
        <is>
          <t>RockyMountain</t>
        </is>
      </c>
    </row>
    <row collapsed="false" customFormat="false" customHeight="false" hidden="false" ht="12.1" outlineLevel="0" r="4495">
      <c r="A4495" s="3" t="s">
        <f>=HYPERLINK("https://mp39851918.megaplan.ua/deals/111862/card/","19041")</f>
      </c>
      <c r="B4495" s="3" t="inlineStr">
        <is>
          <t>114-8828740-5647416</t>
        </is>
      </c>
      <c r="C4495" s="3" t="inlineStr">
        <is>
          <t>RockyMountain</t>
        </is>
      </c>
    </row>
    <row collapsed="false" customFormat="false" customHeight="false" hidden="false" ht="12.1" outlineLevel="0" r="4496">
      <c r="A4496" s="3" t="s">
        <f>=HYPERLINK("https://mp39851918.megaplan.ua/deals/111867/card/","19042")</f>
      </c>
      <c r="B4496" s="3" t="inlineStr">
        <is>
          <t>113-1427373-9381833</t>
        </is>
      </c>
      <c r="C4496" s="3" t="inlineStr">
        <is>
          <t>RockyMountain</t>
        </is>
      </c>
    </row>
    <row collapsed="false" customFormat="false" customHeight="false" hidden="false" ht="12.1" outlineLevel="0" r="4497">
      <c r="A4497" s="3" t="s">
        <f>=HYPERLINK("https://mp39851918.megaplan.ua/deals/111883/card/","19043")</f>
      </c>
      <c r="B4497" s="3" t="inlineStr">
        <is>
          <t>112-0210019-9883427</t>
        </is>
      </c>
      <c r="C4497" s="3" t="inlineStr">
        <is>
          <t>RockyMountain</t>
        </is>
      </c>
    </row>
    <row collapsed="false" customFormat="false" customHeight="false" hidden="false" ht="12.1" outlineLevel="0" r="4498">
      <c r="A4498" s="3" t="s">
        <f>=HYPERLINK("https://mp39851918.megaplan.ua/deals/111885/card/","19044")</f>
      </c>
      <c r="B4498" s="3" t="inlineStr">
        <is>
          <t>112-9357353-4567442</t>
        </is>
      </c>
      <c r="C4498" s="3" t="inlineStr">
        <is>
          <t>TuckerRocky</t>
        </is>
      </c>
    </row>
    <row collapsed="false" customFormat="false" customHeight="false" hidden="false" ht="12.1" outlineLevel="0" r="4499">
      <c r="A4499" s="3" t="s">
        <f>=HYPERLINK("https://mp39851918.megaplan.ua/deals/111886/card/","19045")</f>
      </c>
      <c r="B4499" s="3" t="inlineStr">
        <is>
          <t>114-7360592-1417859</t>
        </is>
      </c>
      <c r="C4499" s="3" t="inlineStr">
        <is>
          <t>Autodist</t>
        </is>
      </c>
    </row>
    <row collapsed="false" customFormat="false" customHeight="false" hidden="false" ht="12.1" outlineLevel="0" r="4500">
      <c r="A4500" s="3" t="s">
        <f>=HYPERLINK("https://mp39851918.megaplan.ua/deals/111890/card/","19047")</f>
      </c>
      <c r="B4500" s="3" t="inlineStr">
        <is>
          <t>113-2292661-6339430</t>
        </is>
      </c>
      <c r="C4500" s="3" t="inlineStr">
        <is>
          <t>PartsUnlimited</t>
        </is>
      </c>
    </row>
    <row collapsed="false" customFormat="false" customHeight="false" hidden="false" ht="12.1" outlineLevel="0" r="4501">
      <c r="A4501" s="3" t="s">
        <f>=HYPERLINK("https://mp39851918.megaplan.ua/deals/111892/card/","19048")</f>
      </c>
      <c r="B4501" s="3" t="inlineStr">
        <is>
          <t>111-2093121-4273869</t>
        </is>
      </c>
      <c r="C4501" s="3" t="inlineStr">
        <is>
          <t>RockyMountain</t>
        </is>
      </c>
    </row>
    <row collapsed="false" customFormat="false" customHeight="false" hidden="false" ht="12.1" outlineLevel="0" r="4502">
      <c r="A4502" s="3" t="s">
        <f>=HYPERLINK("https://mp39851918.megaplan.ua/deals/111895/card/","19049")</f>
      </c>
      <c r="B4502" s="3" t="inlineStr">
        <is>
          <t>111-3040722-8564239</t>
        </is>
      </c>
      <c r="C4502" s="3" t="inlineStr">
        <is>
          <t>TuckerRocky</t>
        </is>
      </c>
    </row>
    <row collapsed="false" customFormat="false" customHeight="false" hidden="false" ht="12.1" outlineLevel="0" r="4503">
      <c r="A4503" s="3" t="s">
        <f>=HYPERLINK("https://mp39851918.megaplan.ua/deals/111904/card/","19050")</f>
      </c>
      <c r="B4503" s="3" t="inlineStr">
        <is>
          <t>111-5760028-6675443</t>
        </is>
      </c>
      <c r="C4503" s="3" t="inlineStr">
        <is>
          <t>Autodist</t>
        </is>
      </c>
    </row>
    <row collapsed="false" customFormat="false" customHeight="false" hidden="false" ht="12.1" outlineLevel="0" r="4504">
      <c r="A4504" s="3" t="s">
        <f>=HYPERLINK("https://mp39851918.megaplan.ua/deals/111907/card/","19051")</f>
      </c>
      <c r="B4504" s="3" t="inlineStr">
        <is>
          <t>113-4687136-9242618</t>
        </is>
      </c>
      <c r="C4504" s="3" t="inlineStr">
        <is>
          <t>TuckerRocky</t>
        </is>
      </c>
    </row>
    <row collapsed="false" customFormat="false" customHeight="false" hidden="false" ht="12.1" outlineLevel="0" r="4505">
      <c r="A4505" s="3" t="s">
        <f>=HYPERLINK("https://mp39851918.megaplan.ua/deals/111908/card/","19052")</f>
      </c>
      <c r="B4505" s="3" t="inlineStr">
        <is>
          <t>114-8093502-4765809</t>
        </is>
      </c>
      <c r="C4505" s="3" t="inlineStr">
        <is>
          <t>Autodist</t>
        </is>
      </c>
    </row>
    <row collapsed="false" customFormat="false" customHeight="false" hidden="false" ht="12.1" outlineLevel="0" r="4506">
      <c r="A4506" s="3" t="s">
        <f>=HYPERLINK("https://mp39851918.megaplan.ua/deals/111929/card/","19053")</f>
      </c>
      <c r="B4506" s="3" t="inlineStr">
        <is>
          <t>114-5103911-8609801</t>
        </is>
      </c>
      <c r="C4506" s="3" t="inlineStr">
        <is>
          <t>RockyMountain</t>
        </is>
      </c>
    </row>
    <row collapsed="false" customFormat="false" customHeight="false" hidden="false" ht="12.1" outlineLevel="0" r="4507">
      <c r="A4507" s="3" t="s">
        <f>=HYPERLINK("https://mp39851918.megaplan.ua/deals/111937/card/","19054")</f>
      </c>
      <c r="B4507" s="3" t="inlineStr">
        <is>
          <t>111-8826072-5640252</t>
        </is>
      </c>
      <c r="C4507" s="3" t="inlineStr">
        <is>
          <t>RockyMountain</t>
        </is>
      </c>
    </row>
    <row collapsed="false" customFormat="false" customHeight="false" hidden="false" ht="12.1" outlineLevel="0" r="4508">
      <c r="A4508" s="3" t="s">
        <f>=HYPERLINK("https://mp39851918.megaplan.ua/deals/111947/card/","19055")</f>
      </c>
      <c r="B4508" s="3" t="inlineStr">
        <is>
          <t>113-1609325-0401027</t>
        </is>
      </c>
      <c r="C4508" s="3" t="inlineStr">
        <is>
          <t>Autodist</t>
        </is>
      </c>
    </row>
    <row collapsed="false" customFormat="false" customHeight="false" hidden="false" ht="12.1" outlineLevel="0" r="4509">
      <c r="A4509" s="3" t="s">
        <f>=HYPERLINK("https://mp39851918.megaplan.ua/deals/111956/card/","19056")</f>
      </c>
      <c r="B4509" s="3" t="inlineStr">
        <is>
          <t>112-0118289-8369031</t>
        </is>
      </c>
      <c r="C4509" s="3" t="inlineStr">
        <is>
          <t>TuckerRocky</t>
        </is>
      </c>
    </row>
    <row collapsed="false" customFormat="false" customHeight="false" hidden="false" ht="12.1" outlineLevel="0" r="4510">
      <c r="A4510" s="3" t="s">
        <f>=HYPERLINK("https://mp39851918.megaplan.ua/deals/111960/card/","19057")</f>
      </c>
      <c r="B4510" s="3" t="inlineStr">
        <is>
          <t>112-1280577-4120240</t>
        </is>
      </c>
      <c r="C4510" s="3" t="inlineStr">
        <is>
          <t>Autodist</t>
        </is>
      </c>
    </row>
    <row collapsed="false" customFormat="false" customHeight="false" hidden="false" ht="12.1" outlineLevel="0" r="4511">
      <c r="A4511" s="3" t="s">
        <f>=HYPERLINK("https://mp39851918.megaplan.ua/deals/111961/card/","19058")</f>
      </c>
      <c r="B4511" s="3" t="inlineStr">
        <is>
          <t>113-8941152-4320252</t>
        </is>
      </c>
      <c r="C4511" s="3" t="inlineStr">
        <is>
          <t>RockyMountain</t>
        </is>
      </c>
    </row>
    <row collapsed="false" customFormat="false" customHeight="false" hidden="false" ht="12.1" outlineLevel="0" r="4512">
      <c r="A4512" s="3" t="s">
        <f>=HYPERLINK("https://mp39851918.megaplan.ua/deals/111969/card/","19060")</f>
      </c>
      <c r="B4512" s="3" t="inlineStr">
        <is>
          <t>111-2695849-1812245</t>
        </is>
      </c>
      <c r="C4512" s="3" t="inlineStr">
        <is>
          <t>RockyMountain</t>
        </is>
      </c>
    </row>
    <row collapsed="false" customFormat="false" customHeight="false" hidden="false" ht="12.1" outlineLevel="0" r="4513">
      <c r="A4513" s="3" t="s">
        <f>=HYPERLINK("https://mp39851918.megaplan.ua/deals/111975/card/","19061")</f>
      </c>
      <c r="B4513" s="3" t="inlineStr">
        <is>
          <t>114-6186927-5314604</t>
        </is>
      </c>
      <c r="C4513" s="3" t="inlineStr">
        <is>
          <t>RockyMountain</t>
        </is>
      </c>
    </row>
    <row collapsed="false" customFormat="false" customHeight="false" hidden="false" ht="12.1" outlineLevel="0" r="4514">
      <c r="A4514" s="3" t="s">
        <f>=HYPERLINK("https://mp39851918.megaplan.ua/deals/111988/card/","19063")</f>
      </c>
      <c r="B4514" s="3" t="inlineStr">
        <is>
          <t>113-9099498-2955469</t>
        </is>
      </c>
      <c r="C4514" s="3" t="inlineStr">
        <is>
          <t>RockyMountain</t>
        </is>
      </c>
    </row>
    <row collapsed="false" customFormat="false" customHeight="false" hidden="false" ht="12.1" outlineLevel="0" r="4515">
      <c r="A4515" s="3" t="s">
        <f>=HYPERLINK("https://mp39851918.megaplan.ua/deals/111994/card/","19064")</f>
      </c>
      <c r="B4515" s="3" t="inlineStr">
        <is>
          <t>111-8770315-8028221</t>
        </is>
      </c>
      <c r="C4515" s="3" t="inlineStr">
        <is>
          <t>TuckerRocky</t>
        </is>
      </c>
    </row>
    <row collapsed="false" customFormat="false" customHeight="false" hidden="false" ht="12.1" outlineLevel="0" r="4516">
      <c r="A4516" s="3" t="s">
        <f>=HYPERLINK("https://mp39851918.megaplan.ua/deals/111998/card/","19065")</f>
      </c>
      <c r="B4516" s="3" t="inlineStr">
        <is>
          <t>112-5988014-1621000</t>
        </is>
      </c>
      <c r="C4516" s="3" t="inlineStr">
        <is>
          <t>RockyMountain</t>
        </is>
      </c>
    </row>
    <row collapsed="false" customFormat="false" customHeight="false" hidden="false" ht="12.1" outlineLevel="0" r="4517">
      <c r="A4517" s="3" t="s">
        <f>=HYPERLINK("https://mp39851918.megaplan.ua/deals/112014/card/","19067")</f>
      </c>
      <c r="B4517" s="3" t="inlineStr">
        <is>
          <t>114-6150444-4286638</t>
        </is>
      </c>
      <c r="C4517" s="3" t="inlineStr">
        <is>
          <t>Autodist</t>
        </is>
      </c>
    </row>
    <row collapsed="false" customFormat="false" customHeight="false" hidden="false" ht="12.1" outlineLevel="0" r="4518">
      <c r="A4518" s="3" t="s">
        <f>=HYPERLINK("https://mp39851918.megaplan.ua/deals/112017/card/","19068")</f>
      </c>
      <c r="B4518" s="3" t="inlineStr">
        <is>
          <t>113-1084051-5155447</t>
        </is>
      </c>
      <c r="C4518" s="3" t="inlineStr">
        <is>
          <t>Autodist</t>
        </is>
      </c>
    </row>
    <row collapsed="false" customFormat="false" customHeight="false" hidden="false" ht="12.1" outlineLevel="0" r="4519">
      <c r="A4519" s="3" t="s">
        <f>=HYPERLINK("https://mp39851918.megaplan.ua/deals/112018/card/","19069")</f>
      </c>
      <c r="B4519" s="3" t="inlineStr">
        <is>
          <t>113-7314078-3711424</t>
        </is>
      </c>
      <c r="C4519" s="3" t="inlineStr">
        <is>
          <t>TuckerRocky</t>
        </is>
      </c>
    </row>
    <row collapsed="false" customFormat="false" customHeight="false" hidden="false" ht="12.1" outlineLevel="0" r="4520">
      <c r="A4520" s="3" t="s">
        <f>=HYPERLINK("https://mp39851918.megaplan.ua/deals/112019/card/","19070")</f>
      </c>
      <c r="B4520" s="3" t="inlineStr">
        <is>
          <t>113-0753693-5469012</t>
        </is>
      </c>
      <c r="C4520" s="3" t="inlineStr">
        <is>
          <t>RockyMountain</t>
        </is>
      </c>
    </row>
    <row collapsed="false" customFormat="false" customHeight="false" hidden="false" ht="12.1" outlineLevel="0" r="4521">
      <c r="A4521" s="3" t="s">
        <f>=HYPERLINK("https://mp39851918.megaplan.ua/deals/112039/card/","19072")</f>
      </c>
      <c r="B4521" s="3" t="inlineStr">
        <is>
          <t>114-6884322-7932205</t>
        </is>
      </c>
      <c r="C4521" s="3" t="inlineStr">
        <is>
          <t>RockyMountain</t>
        </is>
      </c>
    </row>
    <row collapsed="false" customFormat="false" customHeight="false" hidden="false" ht="12.1" outlineLevel="0" r="4522">
      <c r="A4522" s="3" t="s">
        <f>=HYPERLINK("https://mp39851918.megaplan.ua/deals/112047/card/","19073")</f>
      </c>
      <c r="B4522" s="3" t="inlineStr">
        <is>
          <t>111-5734190-5271457</t>
        </is>
      </c>
      <c r="C4522" s="3" t="inlineStr">
        <is>
          <t>TuckerRocky</t>
        </is>
      </c>
    </row>
    <row collapsed="false" customFormat="false" customHeight="false" hidden="false" ht="12.1" outlineLevel="0" r="4523">
      <c r="A4523" s="3" t="s">
        <f>=HYPERLINK("https://mp39851918.megaplan.ua/deals/112049/card/","19074")</f>
      </c>
      <c r="B4523" s="3" t="inlineStr">
        <is>
          <t>112-5768402-4414628</t>
        </is>
      </c>
      <c r="C4523" s="3" t="inlineStr">
        <is>
          <t>RockyMountain</t>
        </is>
      </c>
    </row>
    <row collapsed="false" customFormat="false" customHeight="false" hidden="false" ht="12.1" outlineLevel="0" r="4524">
      <c r="A4524" s="3" t="s">
        <f>=HYPERLINK("https://mp39851918.megaplan.ua/deals/112067/card/","19075")</f>
      </c>
      <c r="B4524" s="3" t="inlineStr">
        <is>
          <t>113-5650231-1951437</t>
        </is>
      </c>
      <c r="C4524" s="3" t="inlineStr">
        <is>
          <t>Autodist</t>
        </is>
      </c>
    </row>
    <row collapsed="false" customFormat="false" customHeight="false" hidden="false" ht="12.1" outlineLevel="0" r="4525">
      <c r="A4525" s="3" t="s">
        <f>=HYPERLINK("https://mp39851918.megaplan.ua/deals/112095/card/","19076")</f>
      </c>
      <c r="B4525" s="3" t="inlineStr">
        <is>
          <t>111-9199350-3365826</t>
        </is>
      </c>
      <c r="C4525" s="3" t="inlineStr">
        <is>
          <t>TuckerRocky</t>
        </is>
      </c>
    </row>
    <row collapsed="false" customFormat="false" customHeight="false" hidden="false" ht="12.1" outlineLevel="0" r="4526">
      <c r="A4526" s="3" t="s">
        <f>=HYPERLINK("https://mp39851918.megaplan.ua/deals/112101/card/","19077")</f>
      </c>
      <c r="B4526" s="3" t="inlineStr">
        <is>
          <t>111-1282873-3254631</t>
        </is>
      </c>
      <c r="C4526" s="3" t="inlineStr">
        <is>
          <t>RockyMountain</t>
        </is>
      </c>
    </row>
    <row collapsed="false" customFormat="false" customHeight="false" hidden="false" ht="12.1" outlineLevel="0" r="4527">
      <c r="A4527" s="3" t="s">
        <f>=HYPERLINK("https://mp39851918.megaplan.ua/deals/112102/card/","19078")</f>
      </c>
      <c r="B4527" s="3" t="inlineStr">
        <is>
          <t>111-4728774-2987449</t>
        </is>
      </c>
      <c r="C4527" s="3" t="inlineStr">
        <is>
          <t>TuckerRocky</t>
        </is>
      </c>
    </row>
    <row collapsed="false" customFormat="false" customHeight="false" hidden="false" ht="12.1" outlineLevel="0" r="4528">
      <c r="A4528" s="3" t="s">
        <f>=HYPERLINK("https://mp39851918.megaplan.ua/deals/112119/card/","19079")</f>
      </c>
      <c r="B4528" s="3" t="inlineStr">
        <is>
          <t>112-4463746-7321836</t>
        </is>
      </c>
      <c r="C4528" s="3" t="inlineStr">
        <is>
          <t>Autodist</t>
        </is>
      </c>
    </row>
    <row collapsed="false" customFormat="false" customHeight="false" hidden="false" ht="12.1" outlineLevel="0" r="4529">
      <c r="A4529" s="3" t="s">
        <f>=HYPERLINK("https://mp39851918.megaplan.ua/deals/112123/card/","19080")</f>
      </c>
      <c r="B4529" s="3" t="inlineStr">
        <is>
          <t>112-6787905-8775456</t>
        </is>
      </c>
      <c r="C4529" s="3" t="inlineStr">
        <is>
          <t>TuckerRocky</t>
        </is>
      </c>
    </row>
    <row collapsed="false" customFormat="false" customHeight="false" hidden="false" ht="12.1" outlineLevel="0" r="4530">
      <c r="A4530" s="3" t="s">
        <f>=HYPERLINK("https://mp39851918.megaplan.ua/deals/112132/card/","19081")</f>
      </c>
      <c r="B4530" s="3" t="inlineStr">
        <is>
          <t>111-9657709-8572210</t>
        </is>
      </c>
      <c r="C4530" s="3" t="inlineStr">
        <is>
          <t>RockyMountain</t>
        </is>
      </c>
    </row>
    <row collapsed="false" customFormat="false" customHeight="false" hidden="false" ht="12.1" outlineLevel="0" r="4531">
      <c r="A4531" s="3" t="s">
        <f>=HYPERLINK("https://mp39851918.megaplan.ua/deals/112138/card/","19082")</f>
      </c>
      <c r="B4531" s="3" t="inlineStr">
        <is>
          <t>111-9212843-8739430</t>
        </is>
      </c>
      <c r="C4531" s="3" t="inlineStr">
        <is>
          <t>Autodist</t>
        </is>
      </c>
    </row>
    <row collapsed="false" customFormat="false" customHeight="false" hidden="false" ht="12.1" outlineLevel="0" r="4532">
      <c r="A4532" s="3" t="s">
        <f>=HYPERLINK("https://mp39851918.megaplan.ua/deals/112156/card/","19083")</f>
      </c>
      <c r="B4532" s="3" t="inlineStr">
        <is>
          <t>111-1964169-4019435</t>
        </is>
      </c>
      <c r="C4532" s="3" t="inlineStr">
        <is>
          <t>Autodist</t>
        </is>
      </c>
    </row>
    <row collapsed="false" customFormat="false" customHeight="false" hidden="false" ht="12.1" outlineLevel="0" r="4533">
      <c r="A4533" s="3" t="s">
        <f>=HYPERLINK("https://mp39851918.megaplan.ua/deals/112164/card/","19084")</f>
      </c>
      <c r="B4533" s="3" t="inlineStr">
        <is>
          <t>113-9418277-8893845</t>
        </is>
      </c>
      <c r="C4533" s="3" t="inlineStr">
        <is>
          <t>RockyMountain</t>
        </is>
      </c>
    </row>
    <row collapsed="false" customFormat="false" customHeight="false" hidden="false" ht="12.1" outlineLevel="0" r="4534">
      <c r="A4534" s="3" t="s">
        <f>=HYPERLINK("https://mp39851918.megaplan.ua/deals/112173/card/","19085")</f>
      </c>
      <c r="B4534" s="3" t="inlineStr">
        <is>
          <t>113-7185215-9232265</t>
        </is>
      </c>
      <c r="C4534" s="3" t="inlineStr">
        <is>
          <t>PartsUnlimited</t>
        </is>
      </c>
    </row>
    <row collapsed="false" customFormat="false" customHeight="false" hidden="false" ht="12.1" outlineLevel="0" r="4535">
      <c r="A4535" s="3" t="s">
        <f>=HYPERLINK("https://mp39851918.megaplan.ua/deals/112174/card/","19086")</f>
      </c>
      <c r="B4535" s="3" t="inlineStr">
        <is>
          <t>113-7512769-5193031</t>
        </is>
      </c>
      <c r="C4535" s="3" t="inlineStr">
        <is>
          <t>Autodist</t>
        </is>
      </c>
    </row>
    <row collapsed="false" customFormat="false" customHeight="false" hidden="false" ht="12.1" outlineLevel="0" r="4536">
      <c r="A4536" s="3" t="s">
        <f>=HYPERLINK("https://mp39851918.megaplan.ua/deals/112190/card/","19087")</f>
      </c>
      <c r="B4536" s="3" t="inlineStr">
        <is>
          <t>113-4541241-9939428</t>
        </is>
      </c>
      <c r="C4536" s="3" t="inlineStr">
        <is>
          <t>Autodist</t>
        </is>
      </c>
    </row>
    <row collapsed="false" customFormat="false" customHeight="false" hidden="false" ht="12.1" outlineLevel="0" r="4537">
      <c r="A4537" s="3" t="s">
        <f>=HYPERLINK("https://mp39851918.megaplan.ua/deals/112191/card/","19088")</f>
      </c>
      <c r="B4537" s="3" t="inlineStr">
        <is>
          <t>111-5278154-5498610</t>
        </is>
      </c>
      <c r="C4537" s="3" t="inlineStr">
        <is>
          <t>RockyMountain</t>
        </is>
      </c>
    </row>
    <row collapsed="false" customFormat="false" customHeight="false" hidden="false" ht="12.1" outlineLevel="0" r="4538">
      <c r="A4538" s="3" t="s">
        <f>=HYPERLINK("https://mp39851918.megaplan.ua/deals/112200/card/","19089")</f>
      </c>
      <c r="B4538" s="3" t="inlineStr">
        <is>
          <t>113-0952887-0650634</t>
        </is>
      </c>
      <c r="C4538" s="3" t="inlineStr">
        <is>
          <t>TuckerRocky</t>
        </is>
      </c>
    </row>
    <row collapsed="false" customFormat="false" customHeight="false" hidden="false" ht="12.1" outlineLevel="0" r="4539">
      <c r="A4539" s="3" t="s">
        <f>=HYPERLINK("https://mp39851918.megaplan.ua/deals/112202/card/","19090")</f>
      </c>
      <c r="B4539" s="3" t="inlineStr">
        <is>
          <t>111-5916462-0920248</t>
        </is>
      </c>
      <c r="C4539" s="3" t="inlineStr">
        <is>
          <t>RockyMountain</t>
        </is>
      </c>
    </row>
    <row collapsed="false" customFormat="false" customHeight="false" hidden="false" ht="12.1" outlineLevel="0" r="4540">
      <c r="A4540" s="3" t="s">
        <f>=HYPERLINK("https://mp39851918.megaplan.ua/deals/112238/card/","19091")</f>
      </c>
      <c r="B4540" s="3" t="inlineStr">
        <is>
          <t>113-4283310-0174633</t>
        </is>
      </c>
      <c r="C4540" s="3" t="inlineStr">
        <is>
          <t>RockyMountain</t>
        </is>
      </c>
    </row>
    <row collapsed="false" customFormat="false" customHeight="false" hidden="false" ht="12.1" outlineLevel="0" r="4541">
      <c r="A4541" s="3" t="s">
        <f>=HYPERLINK("https://mp39851918.megaplan.ua/deals/112255/card/","19093")</f>
      </c>
      <c r="B4541" s="3" t="inlineStr">
        <is>
          <t>111-0016215-5790611</t>
        </is>
      </c>
      <c r="C4541" s="3" t="inlineStr">
        <is>
          <t>Autodist</t>
        </is>
      </c>
    </row>
    <row collapsed="false" customFormat="false" customHeight="false" hidden="false" ht="12.1" outlineLevel="0" r="4542">
      <c r="A4542" s="3" t="s">
        <f>=HYPERLINK("https://mp39851918.megaplan.ua/deals/112256/card/","19094")</f>
      </c>
      <c r="B4542" s="3" t="inlineStr">
        <is>
          <t>111-3484552-4262651</t>
        </is>
      </c>
      <c r="C4542" s="3" t="inlineStr">
        <is>
          <t>RockyMountain</t>
        </is>
      </c>
    </row>
    <row collapsed="false" customFormat="false" customHeight="false" hidden="false" ht="12.1" outlineLevel="0" r="4543">
      <c r="A4543" s="3" t="s">
        <f>=HYPERLINK("https://mp39851918.megaplan.ua/deals/112258/card/","19095")</f>
      </c>
      <c r="B4543" s="3" t="inlineStr">
        <is>
          <t>111-6355107-4748208</t>
        </is>
      </c>
      <c r="C4543" s="3" t="inlineStr">
        <is>
          <t>TuckerRocky</t>
        </is>
      </c>
    </row>
    <row collapsed="false" customFormat="false" customHeight="false" hidden="false" ht="12.1" outlineLevel="0" r="4544">
      <c r="A4544" s="3" t="s">
        <f>=HYPERLINK("https://mp39851918.megaplan.ua/deals/112272/card/","19097")</f>
      </c>
      <c r="B4544" s="3" t="inlineStr">
        <is>
          <t>111-0626333-1181007</t>
        </is>
      </c>
      <c r="C4544" s="3" t="inlineStr">
        <is>
          <t>TuckerRocky</t>
        </is>
      </c>
    </row>
    <row collapsed="false" customFormat="false" customHeight="false" hidden="false" ht="12.1" outlineLevel="0" r="4545">
      <c r="A4545" s="3" t="s">
        <f>=HYPERLINK("https://mp39851918.megaplan.ua/deals/112275/card/","19098")</f>
      </c>
      <c r="B4545" s="3" t="inlineStr">
        <is>
          <t>113-5584699-4826629</t>
        </is>
      </c>
      <c r="C4545" s="3" t="inlineStr">
        <is>
          <t>TuckerRocky</t>
        </is>
      </c>
    </row>
    <row collapsed="false" customFormat="false" customHeight="false" hidden="false" ht="12.1" outlineLevel="0" r="4546">
      <c r="A4546" s="3" t="s">
        <f>=HYPERLINK("https://mp39851918.megaplan.ua/deals/112277/card/","19099")</f>
      </c>
      <c r="B4546" s="3" t="inlineStr">
        <is>
          <t>111-2105548-5111424</t>
        </is>
      </c>
      <c r="C4546" s="3" t="inlineStr">
        <is>
          <t>TuckerRocky</t>
        </is>
      </c>
    </row>
    <row collapsed="false" customFormat="false" customHeight="false" hidden="false" ht="12.1" outlineLevel="0" r="4547">
      <c r="A4547" s="3" t="s">
        <f>=HYPERLINK("https://mp39851918.megaplan.ua/deals/112283/card/","19101")</f>
      </c>
      <c r="B4547" s="3" t="inlineStr">
        <is>
          <t>114-0831439-4700268</t>
        </is>
      </c>
      <c r="C4547" s="3" t="inlineStr">
        <is>
          <t>RockyMountain</t>
        </is>
      </c>
    </row>
    <row collapsed="false" customFormat="false" customHeight="false" hidden="false" ht="12.1" outlineLevel="0" r="4548">
      <c r="A4548" s="3" t="s">
        <f>=HYPERLINK("https://mp39851918.megaplan.ua/deals/112286/card/","19102")</f>
      </c>
      <c r="B4548" s="3" t="inlineStr">
        <is>
          <t>111-5068339-7721028</t>
        </is>
      </c>
      <c r="C4548" s="3" t="inlineStr">
        <is>
          <t>TuckerRocky</t>
        </is>
      </c>
    </row>
    <row collapsed="false" customFormat="false" customHeight="false" hidden="false" ht="12.1" outlineLevel="0" r="4549">
      <c r="A4549" s="3" t="s">
        <f>=HYPERLINK("https://mp39851918.megaplan.ua/deals/112288/card/","19103")</f>
      </c>
      <c r="B4549" s="3" t="inlineStr">
        <is>
          <t>114-9253456-2223422</t>
        </is>
      </c>
      <c r="C4549" s="3" t="inlineStr">
        <is>
          <t>TuckerRocky</t>
        </is>
      </c>
    </row>
    <row collapsed="false" customFormat="false" customHeight="false" hidden="false" ht="12.1" outlineLevel="0" r="4550">
      <c r="A4550" s="3" t="s">
        <f>=HYPERLINK("https://mp39851918.megaplan.ua/deals/112294/card/","19104")</f>
      </c>
      <c r="B4550" s="3" t="inlineStr">
        <is>
          <t>111-8836629-7144251</t>
        </is>
      </c>
      <c r="C4550" s="3" t="inlineStr">
        <is>
          <t>Autodist</t>
        </is>
      </c>
    </row>
    <row collapsed="false" customFormat="false" customHeight="false" hidden="false" ht="12.1" outlineLevel="0" r="4551">
      <c r="A4551" s="3" t="s">
        <f>=HYPERLINK("https://mp39851918.megaplan.ua/deals/112297/card/","19105")</f>
      </c>
      <c r="B4551" s="3" t="inlineStr">
        <is>
          <t>113-7159029-5137850</t>
        </is>
      </c>
      <c r="C4551" s="3" t="inlineStr">
        <is>
          <t>other</t>
        </is>
      </c>
    </row>
    <row collapsed="false" customFormat="false" customHeight="false" hidden="false" ht="12.1" outlineLevel="0" r="4552">
      <c r="A4552" s="3" t="s">
        <f>=HYPERLINK("https://mp39851918.megaplan.ua/deals/112301/card/","19106")</f>
      </c>
      <c r="B4552" s="3" t="inlineStr">
        <is>
          <t>114-5836119-1187469</t>
        </is>
      </c>
      <c r="C4552" s="3" t="inlineStr">
        <is>
          <t>RockyMountain</t>
        </is>
      </c>
    </row>
    <row collapsed="false" customFormat="false" customHeight="false" hidden="false" ht="12.1" outlineLevel="0" r="4553">
      <c r="A4553" s="3" t="s">
        <f>=HYPERLINK("https://mp39851918.megaplan.ua/deals/112307/card/","19107")</f>
      </c>
      <c r="B4553" s="3" t="inlineStr">
        <is>
          <t>113-6879039-8133047</t>
        </is>
      </c>
      <c r="C4553" s="3" t="inlineStr">
        <is>
          <t>Autodist</t>
        </is>
      </c>
    </row>
    <row collapsed="false" customFormat="false" customHeight="false" hidden="false" ht="12.1" outlineLevel="0" r="4554">
      <c r="A4554" s="3" t="s">
        <f>=HYPERLINK("https://mp39851918.megaplan.ua/deals/112308/card/","19108")</f>
      </c>
      <c r="B4554" s="3" t="inlineStr">
        <is>
          <t>113-3876695-0848212</t>
        </is>
      </c>
      <c r="C4554" s="3" t="inlineStr">
        <is>
          <t>Autodist</t>
        </is>
      </c>
    </row>
    <row collapsed="false" customFormat="false" customHeight="false" hidden="false" ht="12.1" outlineLevel="0" r="4555">
      <c r="A4555" s="3" t="s">
        <f>=HYPERLINK("https://mp39851918.megaplan.ua/deals/112309/card/","19109")</f>
      </c>
      <c r="B4555" s="3" t="inlineStr">
        <is>
          <t>114-2501441-2954630</t>
        </is>
      </c>
      <c r="C4555" s="3" t="inlineStr">
        <is>
          <t>Autodist</t>
        </is>
      </c>
    </row>
    <row collapsed="false" customFormat="false" customHeight="false" hidden="false" ht="12.1" outlineLevel="0" r="4556">
      <c r="A4556" s="3" t="s">
        <f>=HYPERLINK("https://mp39851918.megaplan.ua/deals/112323/card/","19112")</f>
      </c>
      <c r="B4556" s="3" t="inlineStr">
        <is>
          <t>114-8036675-8001048</t>
        </is>
      </c>
      <c r="C4556" s="3" t="inlineStr">
        <is>
          <t>PartsUnlimited</t>
        </is>
      </c>
    </row>
    <row collapsed="false" customFormat="false" customHeight="false" hidden="false" ht="12.1" outlineLevel="0" r="4557">
      <c r="A4557" s="3" t="s">
        <f>=HYPERLINK("https://mp39851918.megaplan.ua/deals/112332/card/","19113")</f>
      </c>
      <c r="B4557" s="3" t="inlineStr">
        <is>
          <t>111-6475291-0473817</t>
        </is>
      </c>
      <c r="C4557" s="3" t="inlineStr">
        <is>
          <t>RockyMountain</t>
        </is>
      </c>
    </row>
    <row collapsed="false" customFormat="false" customHeight="false" hidden="false" ht="12.1" outlineLevel="0" r="4558">
      <c r="A4558" s="3" t="s">
        <f>=HYPERLINK("https://mp39851918.megaplan.ua/deals/112352/card/","19115")</f>
      </c>
      <c r="B4558" s="3" t="inlineStr">
        <is>
          <t>114-2718273-8561835</t>
        </is>
      </c>
      <c r="C4558" s="3" t="inlineStr">
        <is>
          <t>Autodist</t>
        </is>
      </c>
    </row>
    <row collapsed="false" customFormat="false" customHeight="false" hidden="false" ht="12.1" outlineLevel="0" r="4559">
      <c r="A4559" s="3" t="s">
        <f>=HYPERLINK("https://mp39851918.megaplan.ua/deals/112353/card/","19116")</f>
      </c>
      <c r="B4559" s="3" t="inlineStr">
        <is>
          <t>112-3134038-7553815</t>
        </is>
      </c>
      <c r="C4559" s="3" t="inlineStr">
        <is>
          <t>RockyMountain</t>
        </is>
      </c>
    </row>
    <row collapsed="false" customFormat="false" customHeight="false" hidden="false" ht="12.1" outlineLevel="0" r="4560">
      <c r="A4560" s="3" t="s">
        <f>=HYPERLINK("https://mp39851918.megaplan.ua/deals/112360/card/","19117")</f>
      </c>
      <c r="B4560" s="3" t="inlineStr">
        <is>
          <t>113-9839899-9154609</t>
        </is>
      </c>
      <c r="C4560" s="3" t="inlineStr">
        <is>
          <t>RockyMountain</t>
        </is>
      </c>
    </row>
    <row collapsed="false" customFormat="false" customHeight="false" hidden="false" ht="12.1" outlineLevel="0" r="4561">
      <c r="A4561" s="3" t="s">
        <f>=HYPERLINK("https://mp39851918.megaplan.ua/deals/112361/card/","19118")</f>
      </c>
      <c r="B4561" s="3" t="inlineStr">
        <is>
          <t>111-6831186-9012257</t>
        </is>
      </c>
      <c r="C4561" s="3" t="inlineStr">
        <is>
          <t>RockyMountain</t>
        </is>
      </c>
    </row>
    <row collapsed="false" customFormat="false" customHeight="false" hidden="false" ht="12.1" outlineLevel="0" r="4562">
      <c r="A4562" s="3" t="s">
        <f>=HYPERLINK("https://mp39851918.megaplan.ua/deals/112363/card/","19119")</f>
      </c>
      <c r="B4562" s="3" t="inlineStr">
        <is>
          <t>112-5004053-7662615</t>
        </is>
      </c>
      <c r="C4562" s="3" t="inlineStr">
        <is>
          <t>RockyMountain</t>
        </is>
      </c>
    </row>
    <row collapsed="false" customFormat="false" customHeight="false" hidden="false" ht="12.1" outlineLevel="0" r="4563">
      <c r="A4563" s="3" t="s">
        <f>=HYPERLINK("https://mp39851918.megaplan.ua/deals/112364/card/","19120")</f>
      </c>
      <c r="B4563" s="3" t="inlineStr">
        <is>
          <t>111-3050402-5532216</t>
        </is>
      </c>
      <c r="C4563" s="3" t="inlineStr">
        <is>
          <t>RockyMountain</t>
        </is>
      </c>
    </row>
    <row collapsed="false" customFormat="false" customHeight="false" hidden="false" ht="12.1" outlineLevel="0" r="4564">
      <c r="A4564" s="3" t="s">
        <f>=HYPERLINK("https://mp39851918.megaplan.ua/deals/112365/card/","19121")</f>
      </c>
      <c r="B4564" s="3" t="inlineStr">
        <is>
          <t>112-7020236-3132223</t>
        </is>
      </c>
      <c r="C4564" s="3" t="inlineStr">
        <is>
          <t>PartsUnlimited</t>
        </is>
      </c>
    </row>
    <row collapsed="false" customFormat="false" customHeight="false" hidden="false" ht="12.1" outlineLevel="0" r="4565">
      <c r="A4565" s="3" t="s">
        <f>=HYPERLINK("https://mp39851918.megaplan.ua/deals/112370/card/","19122")</f>
      </c>
      <c r="B4565" s="3" t="inlineStr">
        <is>
          <t>113-4946608-9266635</t>
        </is>
      </c>
      <c r="C4565" s="3" t="inlineStr">
        <is>
          <t>Autodist</t>
        </is>
      </c>
    </row>
    <row collapsed="false" customFormat="false" customHeight="false" hidden="false" ht="12.1" outlineLevel="0" r="4566">
      <c r="A4566" s="3" t="s">
        <f>=HYPERLINK("https://mp39851918.megaplan.ua/deals/112379/card/","19123")</f>
      </c>
      <c r="B4566" s="3" t="inlineStr">
        <is>
          <t>114-4396320-0555403</t>
        </is>
      </c>
      <c r="C4566" s="3" t="inlineStr">
        <is>
          <t>Autodist</t>
        </is>
      </c>
    </row>
    <row collapsed="false" customFormat="false" customHeight="false" hidden="false" ht="12.1" outlineLevel="0" r="4567">
      <c r="A4567" s="3" t="s">
        <f>=HYPERLINK("https://mp39851918.megaplan.ua/deals/112380/card/","19124")</f>
      </c>
      <c r="B4567" s="3" t="inlineStr">
        <is>
          <t>114-5848222-0817859</t>
        </is>
      </c>
      <c r="C4567" s="3" t="inlineStr">
        <is>
          <t>Autodist</t>
        </is>
      </c>
    </row>
    <row collapsed="false" customFormat="false" customHeight="false" hidden="false" ht="12.1" outlineLevel="0" r="4568">
      <c r="A4568" s="3" t="s">
        <f>=HYPERLINK("https://mp39851918.megaplan.ua/deals/112388/card/","19125")</f>
      </c>
      <c r="B4568" s="3" t="inlineStr">
        <is>
          <t>113-4722726-2102662</t>
        </is>
      </c>
      <c r="C4568" s="3" t="inlineStr">
        <is>
          <t>Autodist</t>
        </is>
      </c>
    </row>
    <row collapsed="false" customFormat="false" customHeight="false" hidden="false" ht="12.1" outlineLevel="0" r="4569">
      <c r="A4569" s="3" t="s">
        <f>=HYPERLINK("https://mp39851918.megaplan.ua/deals/112394/card/","19127")</f>
      </c>
      <c r="B4569" s="3" t="inlineStr">
        <is>
          <t>114-3095014-2303456</t>
        </is>
      </c>
      <c r="C4569" s="3" t="inlineStr">
        <is>
          <t>TuckerRocky</t>
        </is>
      </c>
    </row>
    <row collapsed="false" customFormat="false" customHeight="false" hidden="false" ht="12.1" outlineLevel="0" r="4570">
      <c r="A4570" s="3" t="s">
        <f>=HYPERLINK("https://mp39851918.megaplan.ua/deals/112409/card/","19128")</f>
      </c>
      <c r="B4570" s="3" t="inlineStr">
        <is>
          <t>112-7212784-0964230</t>
        </is>
      </c>
      <c r="C4570" s="3" t="inlineStr">
        <is>
          <t>TuckerRocky</t>
        </is>
      </c>
    </row>
    <row collapsed="false" customFormat="false" customHeight="false" hidden="false" ht="12.1" outlineLevel="0" r="4571">
      <c r="A4571" s="3" t="s">
        <f>=HYPERLINK("https://mp39851918.megaplan.ua/deals/112412/card/","19129")</f>
      </c>
      <c r="B4571" s="3" t="inlineStr">
        <is>
          <t>114-1000474-8835451</t>
        </is>
      </c>
      <c r="C4571" s="3" t="inlineStr">
        <is>
          <t>TuckerRocky</t>
        </is>
      </c>
    </row>
    <row collapsed="false" customFormat="false" customHeight="false" hidden="false" ht="12.1" outlineLevel="0" r="4572">
      <c r="A4572" s="3" t="s">
        <f>=HYPERLINK("https://mp39851918.megaplan.ua/deals/112418/card/","19130")</f>
      </c>
      <c r="B4572" s="3" t="inlineStr">
        <is>
          <t>113-2004743-1613825</t>
        </is>
      </c>
      <c r="C4572" s="3" t="inlineStr">
        <is>
          <t>RockyMountain</t>
        </is>
      </c>
    </row>
    <row collapsed="false" customFormat="false" customHeight="false" hidden="false" ht="12.1" outlineLevel="0" r="4573">
      <c r="A4573" s="3" t="s">
        <f>=HYPERLINK("https://mp39851918.megaplan.ua/deals/112428/card/","19131")</f>
      </c>
      <c r="B4573" s="3" t="inlineStr">
        <is>
          <t>111-6493154-0078659</t>
        </is>
      </c>
      <c r="C4573" s="3" t="inlineStr">
        <is>
          <t>RockyMountain</t>
        </is>
      </c>
    </row>
    <row collapsed="false" customFormat="false" customHeight="false" hidden="false" ht="12.1" outlineLevel="0" r="4574">
      <c r="A4574" s="3" t="s">
        <f>=HYPERLINK("https://mp39851918.megaplan.ua/deals/112429/card/","19132")</f>
      </c>
      <c r="B4574" s="3" t="inlineStr">
        <is>
          <t>111-9551108-5159412</t>
        </is>
      </c>
      <c r="C4574" s="3" t="inlineStr">
        <is>
          <t>TuckerRocky</t>
        </is>
      </c>
    </row>
    <row collapsed="false" customFormat="false" customHeight="false" hidden="false" ht="12.1" outlineLevel="0" r="4575">
      <c r="A4575" s="3" t="s">
        <f>=HYPERLINK("https://mp39851918.megaplan.ua/deals/112436/card/","19133")</f>
      </c>
      <c r="B4575" s="3" t="inlineStr">
        <is>
          <t>111-1568682-3754618</t>
        </is>
      </c>
      <c r="C4575" s="3" t="inlineStr">
        <is>
          <t>TuckerRocky</t>
        </is>
      </c>
    </row>
    <row collapsed="false" customFormat="false" customHeight="false" hidden="false" ht="12.1" outlineLevel="0" r="4576">
      <c r="A4576" s="3" t="s">
        <f>=HYPERLINK("https://mp39851918.megaplan.ua/deals/112437/card/","19134")</f>
      </c>
      <c r="B4576" s="3" t="inlineStr">
        <is>
          <t>113-6442055-2904244</t>
        </is>
      </c>
      <c r="C4576" s="3" t="inlineStr">
        <is>
          <t>RockyMountain</t>
        </is>
      </c>
    </row>
    <row collapsed="false" customFormat="false" customHeight="false" hidden="false" ht="12.1" outlineLevel="0" r="4577">
      <c r="A4577" s="3" t="s">
        <f>=HYPERLINK("https://mp39851918.megaplan.ua/deals/112442/card/","19135")</f>
      </c>
      <c r="B4577" s="3" t="inlineStr">
        <is>
          <t>113-5880284-2973014</t>
        </is>
      </c>
      <c r="C4577" s="3" t="inlineStr">
        <is>
          <t>TuckerRocky</t>
        </is>
      </c>
    </row>
    <row collapsed="false" customFormat="false" customHeight="false" hidden="false" ht="12.1" outlineLevel="0" r="4578">
      <c r="A4578" s="3" t="s">
        <f>=HYPERLINK("https://mp39851918.megaplan.ua/deals/112444/card/","19136")</f>
      </c>
      <c r="B4578" s="3" t="inlineStr">
        <is>
          <t>114-1600242-7180222</t>
        </is>
      </c>
      <c r="C4578" s="3" t="inlineStr">
        <is>
          <t>TuckerRocky</t>
        </is>
      </c>
    </row>
    <row collapsed="false" customFormat="false" customHeight="false" hidden="false" ht="12.1" outlineLevel="0" r="4579">
      <c r="A4579" s="3" t="s">
        <f>=HYPERLINK("https://mp39851918.megaplan.ua/deals/112448/card/","19137")</f>
      </c>
      <c r="B4579" s="3" t="inlineStr">
        <is>
          <t>111-8924151-0445023</t>
        </is>
      </c>
      <c r="C4579" s="3" t="inlineStr">
        <is>
          <t>RockyMountain</t>
        </is>
      </c>
    </row>
    <row collapsed="false" customFormat="false" customHeight="false" hidden="false" ht="12.1" outlineLevel="0" r="4580">
      <c r="A4580" s="3" t="s">
        <f>=HYPERLINK("https://mp39851918.megaplan.ua/deals/112449/card/","19138")</f>
      </c>
      <c r="B4580" s="3" t="inlineStr">
        <is>
          <t>114-9754420-8768254</t>
        </is>
      </c>
      <c r="C4580" s="3" t="inlineStr">
        <is>
          <t>Autodist</t>
        </is>
      </c>
    </row>
    <row collapsed="false" customFormat="false" customHeight="false" hidden="false" ht="12.1" outlineLevel="0" r="4581">
      <c r="A4581" s="3" t="s">
        <f>=HYPERLINK("https://mp39851918.megaplan.ua/deals/112458/card/","19139")</f>
      </c>
      <c r="B4581" s="3" t="inlineStr">
        <is>
          <t>113-5395915-5676210</t>
        </is>
      </c>
      <c r="C4581" s="3" t="inlineStr">
        <is>
          <t>RockyMountain</t>
        </is>
      </c>
    </row>
    <row collapsed="false" customFormat="false" customHeight="false" hidden="false" ht="12.1" outlineLevel="0" r="4582">
      <c r="A4582" s="3" t="s">
        <f>=HYPERLINK("https://mp39851918.megaplan.ua/deals/112469/card/","19141")</f>
      </c>
      <c r="B4582" s="3" t="inlineStr">
        <is>
          <t>112-0769603-7249857</t>
        </is>
      </c>
      <c r="C4582" s="3" t="inlineStr">
        <is>
          <t>RockyMountain</t>
        </is>
      </c>
    </row>
    <row collapsed="false" customFormat="false" customHeight="false" hidden="false" ht="12.1" outlineLevel="0" r="4583">
      <c r="A4583" s="3" t="s">
        <f>=HYPERLINK("https://mp39851918.megaplan.ua/deals/112476/card/","19142")</f>
      </c>
      <c r="B4583" s="3" t="inlineStr">
        <is>
          <t>114-7621447-6531466</t>
        </is>
      </c>
      <c r="C4583" s="3" t="inlineStr">
        <is>
          <t>RockyMountain</t>
        </is>
      </c>
    </row>
    <row collapsed="false" customFormat="false" customHeight="false" hidden="false" ht="12.1" outlineLevel="0" r="4584">
      <c r="A4584" s="3" t="s">
        <f>=HYPERLINK("https://mp39851918.megaplan.ua/deals/112479/card/","19143")</f>
      </c>
      <c r="B4584" s="3" t="inlineStr">
        <is>
          <t>111-2164033-5356229</t>
        </is>
      </c>
      <c r="C4584" s="3" t="inlineStr">
        <is>
          <t>RockyMountain</t>
        </is>
      </c>
    </row>
    <row collapsed="false" customFormat="false" customHeight="false" hidden="false" ht="12.1" outlineLevel="0" r="4585">
      <c r="A4585" s="3" t="s">
        <f>=HYPERLINK("https://mp39851918.megaplan.ua/deals/112494/card/","19144")</f>
      </c>
      <c r="B4585" s="3" t="inlineStr">
        <is>
          <t>111-5114856-4307423</t>
        </is>
      </c>
      <c r="C4585" s="3" t="inlineStr">
        <is>
          <t>Autodist</t>
        </is>
      </c>
    </row>
    <row collapsed="false" customFormat="false" customHeight="false" hidden="false" ht="12.1" outlineLevel="0" r="4586">
      <c r="A4586" s="3" t="s">
        <f>=HYPERLINK("https://mp39851918.megaplan.ua/deals/112498/card/","19145")</f>
      </c>
      <c r="B4586" s="3" t="inlineStr">
        <is>
          <t>112-0658686-4570620</t>
        </is>
      </c>
      <c r="C4586" s="3" t="inlineStr">
        <is>
          <t>TuckerRocky</t>
        </is>
      </c>
    </row>
    <row collapsed="false" customFormat="false" customHeight="false" hidden="false" ht="12.1" outlineLevel="0" r="4587">
      <c r="A4587" s="3" t="s">
        <f>=HYPERLINK("https://mp39851918.megaplan.ua/deals/112512/card/","19147")</f>
      </c>
      <c r="B4587" s="3" t="inlineStr">
        <is>
          <t>111-5328555-0332204</t>
        </is>
      </c>
      <c r="C4587" s="3" t="inlineStr">
        <is>
          <t>TuckerRocky</t>
        </is>
      </c>
    </row>
    <row collapsed="false" customFormat="false" customHeight="false" hidden="false" ht="12.1" outlineLevel="0" r="4588">
      <c r="A4588" s="3" t="s">
        <f>=HYPERLINK("https://mp39851918.megaplan.ua/deals/112519/card/","19148")</f>
      </c>
      <c r="B4588" s="3" t="inlineStr">
        <is>
          <t>112-2198310-6957868</t>
        </is>
      </c>
      <c r="C4588" s="3" t="inlineStr">
        <is>
          <t>Autodist</t>
        </is>
      </c>
    </row>
    <row collapsed="false" customFormat="false" customHeight="false" hidden="false" ht="12.1" outlineLevel="0" r="4589">
      <c r="A4589" s="3" t="s">
        <f>=HYPERLINK("https://mp39851918.megaplan.ua/deals/112520/card/","19149")</f>
      </c>
      <c r="B4589" s="3" t="inlineStr">
        <is>
          <t>112-2812051-6043402</t>
        </is>
      </c>
      <c r="C4589" s="3" t="inlineStr">
        <is>
          <t>RockyMountain</t>
        </is>
      </c>
    </row>
    <row collapsed="false" customFormat="false" customHeight="false" hidden="false" ht="12.1" outlineLevel="0" r="4590">
      <c r="A4590" s="3" t="s">
        <f>=HYPERLINK("https://mp39851918.megaplan.ua/deals/112524/card/","19150")</f>
      </c>
      <c r="B4590" s="3" t="inlineStr">
        <is>
          <t>111-8209318-1635427</t>
        </is>
      </c>
      <c r="C4590" s="3" t="inlineStr">
        <is>
          <t>RockyMountain</t>
        </is>
      </c>
    </row>
    <row collapsed="false" customFormat="false" customHeight="false" hidden="false" ht="12.1" outlineLevel="0" r="4591">
      <c r="A4591" s="3" t="s">
        <f>=HYPERLINK("https://mp39851918.megaplan.ua/deals/112530/card/","19151")</f>
      </c>
      <c r="B4591" s="3" t="inlineStr">
        <is>
          <t>111-9784359-7483424</t>
        </is>
      </c>
      <c r="C4591" s="3" t="inlineStr">
        <is>
          <t>TuckerRocky</t>
        </is>
      </c>
    </row>
    <row collapsed="false" customFormat="false" customHeight="false" hidden="false" ht="12.1" outlineLevel="0" r="4592">
      <c r="A4592" s="3" t="s">
        <f>=HYPERLINK("https://mp39851918.megaplan.ua/deals/112541/card/","19152")</f>
      </c>
      <c r="B4592" s="3" t="inlineStr">
        <is>
          <t>114-6437131-2228232</t>
        </is>
      </c>
      <c r="C4592" s="3" t="inlineStr">
        <is>
          <t>Autodist</t>
        </is>
      </c>
    </row>
    <row collapsed="false" customFormat="false" customHeight="false" hidden="false" ht="12.1" outlineLevel="0" r="4593">
      <c r="A4593" s="3" t="s">
        <f>=HYPERLINK("https://mp39851918.megaplan.ua/deals/112547/card/","19153")</f>
      </c>
      <c r="B4593" s="3" t="inlineStr">
        <is>
          <t>112-5191016-5400267</t>
        </is>
      </c>
      <c r="C4593" s="3" t="inlineStr">
        <is>
          <t>TuckerRocky</t>
        </is>
      </c>
    </row>
    <row collapsed="false" customFormat="false" customHeight="false" hidden="false" ht="12.1" outlineLevel="0" r="4594">
      <c r="A4594" s="3" t="s">
        <f>=HYPERLINK("https://mp39851918.megaplan.ua/deals/112552/card/","19154")</f>
      </c>
      <c r="B4594" s="3" t="inlineStr">
        <is>
          <t>111-8164663-0693023</t>
        </is>
      </c>
      <c r="C4594" s="3" t="inlineStr">
        <is>
          <t>RockyMountain</t>
        </is>
      </c>
    </row>
    <row collapsed="false" customFormat="false" customHeight="false" hidden="false" ht="12.1" outlineLevel="0" r="4595">
      <c r="A4595" s="3" t="s">
        <f>=HYPERLINK("https://mp39851918.megaplan.ua/deals/112557/card/","19155")</f>
      </c>
      <c r="B4595" s="3" t="inlineStr">
        <is>
          <t>114-8326604-1678609</t>
        </is>
      </c>
      <c r="C4595" s="3" t="inlineStr">
        <is>
          <t>TuckerRocky</t>
        </is>
      </c>
    </row>
    <row collapsed="false" customFormat="false" customHeight="false" hidden="false" ht="12.1" outlineLevel="0" r="4596">
      <c r="A4596" s="3" t="s">
        <f>=HYPERLINK("https://mp39851918.megaplan.ua/deals/112560/card/","19156")</f>
      </c>
      <c r="B4596" s="3" t="inlineStr">
        <is>
          <t>114-8437184-4733827</t>
        </is>
      </c>
      <c r="C4596" s="3" t="inlineStr">
        <is>
          <t>RockyMountain</t>
        </is>
      </c>
    </row>
    <row collapsed="false" customFormat="false" customHeight="false" hidden="false" ht="12.1" outlineLevel="0" r="4597">
      <c r="A4597" s="3" t="s">
        <f>=HYPERLINK("https://mp39851918.megaplan.ua/deals/112566/card/","19157")</f>
      </c>
      <c r="B4597" s="3" t="inlineStr">
        <is>
          <t>113-3655087-6209023</t>
        </is>
      </c>
      <c r="C4597" s="3" t="inlineStr">
        <is>
          <t>TuckerRocky</t>
        </is>
      </c>
    </row>
    <row collapsed="false" customFormat="false" customHeight="false" hidden="false" ht="12.1" outlineLevel="0" r="4598">
      <c r="A4598" s="3" t="s">
        <f>=HYPERLINK("https://mp39851918.megaplan.ua/deals/112569/card/","19158")</f>
      </c>
      <c r="B4598" s="3" t="inlineStr">
        <is>
          <t>114-8135156-6143424</t>
        </is>
      </c>
      <c r="C4598" s="3" t="inlineStr">
        <is>
          <t>PartsUnlimited</t>
        </is>
      </c>
    </row>
    <row collapsed="false" customFormat="false" customHeight="false" hidden="false" ht="12.1" outlineLevel="0" r="4599">
      <c r="A4599" s="3" t="s">
        <f>=HYPERLINK("https://mp39851918.megaplan.ua/deals/112575/card/","19159")</f>
      </c>
      <c r="B4599" s="3" t="inlineStr">
        <is>
          <t>114-4159513-2070640</t>
        </is>
      </c>
      <c r="C4599" s="3" t="inlineStr">
        <is>
          <t>RockyMountain</t>
        </is>
      </c>
    </row>
    <row collapsed="false" customFormat="false" customHeight="false" hidden="false" ht="12.1" outlineLevel="0" r="4600">
      <c r="A4600" s="3" t="s">
        <f>=HYPERLINK("https://mp39851918.megaplan.ua/deals/112596/card/","19160")</f>
      </c>
      <c r="B4600" s="3" t="inlineStr">
        <is>
          <t>112-5488717-8857824</t>
        </is>
      </c>
      <c r="C4600" s="3" t="inlineStr">
        <is>
          <t>Autodist</t>
        </is>
      </c>
    </row>
    <row collapsed="false" customFormat="false" customHeight="false" hidden="false" ht="12.1" outlineLevel="0" r="4601">
      <c r="A4601" s="3" t="s">
        <f>=HYPERLINK("https://mp39851918.megaplan.ua/deals/112613/card/","19161")</f>
      </c>
      <c r="B4601" s="3" t="inlineStr">
        <is>
          <t>112-5437446-5448234</t>
        </is>
      </c>
      <c r="C4601" s="3" t="inlineStr">
        <is>
          <t>TuckerRocky</t>
        </is>
      </c>
    </row>
    <row collapsed="false" customFormat="false" customHeight="false" hidden="false" ht="12.1" outlineLevel="0" r="4602">
      <c r="A4602" s="3" t="s">
        <f>=HYPERLINK("https://mp39851918.megaplan.ua/deals/112618/card/","19162")</f>
      </c>
      <c r="B4602" s="3" t="inlineStr">
        <is>
          <t>112-7521215-1560225</t>
        </is>
      </c>
      <c r="C4602" s="3" t="inlineStr">
        <is>
          <t>TuckerRocky</t>
        </is>
      </c>
    </row>
    <row collapsed="false" customFormat="false" customHeight="false" hidden="false" ht="12.1" outlineLevel="0" r="4603">
      <c r="A4603" s="3" t="s">
        <f>=HYPERLINK("https://mp39851918.megaplan.ua/deals/112641/card/","19163")</f>
      </c>
      <c r="B4603" s="3" t="inlineStr">
        <is>
          <t>113-7681516-8471427</t>
        </is>
      </c>
      <c r="C4603" s="3" t="inlineStr">
        <is>
          <t>TuckerRocky</t>
        </is>
      </c>
    </row>
    <row collapsed="false" customFormat="false" customHeight="false" hidden="false" ht="12.1" outlineLevel="0" r="4604">
      <c r="A4604" s="3" t="s">
        <f>=HYPERLINK("https://mp39851918.megaplan.ua/deals/112662/card/","19165")</f>
      </c>
      <c r="B4604" s="3" t="inlineStr">
        <is>
          <t>114-6552553-0351401</t>
        </is>
      </c>
      <c r="C4604" s="3" t="inlineStr">
        <is>
          <t>RockyMountain</t>
        </is>
      </c>
    </row>
    <row collapsed="false" customFormat="false" customHeight="false" hidden="false" ht="12.1" outlineLevel="0" r="4605">
      <c r="A4605" s="3" t="s">
        <f>=HYPERLINK("https://mp39851918.megaplan.ua/deals/112666/card/","19166")</f>
      </c>
      <c r="B4605" s="3" t="inlineStr">
        <is>
          <t>113-4375552-9453047</t>
        </is>
      </c>
      <c r="C4605" s="3" t="inlineStr">
        <is>
          <t>PartsUnlimited</t>
        </is>
      </c>
    </row>
    <row collapsed="false" customFormat="false" customHeight="false" hidden="false" ht="12.1" outlineLevel="0" r="4606">
      <c r="A4606" s="3" t="s">
        <f>=HYPERLINK("https://mp39851918.megaplan.ua/deals/112671/card/","19167")</f>
      </c>
      <c r="B4606" s="3" t="inlineStr">
        <is>
          <t>113-6126746-6365820</t>
        </is>
      </c>
      <c r="C4606" s="3" t="inlineStr">
        <is>
          <t>TuckerRocky</t>
        </is>
      </c>
    </row>
    <row collapsed="false" customFormat="false" customHeight="false" hidden="false" ht="12.1" outlineLevel="0" r="4607">
      <c r="A4607" s="3" t="s">
        <f>=HYPERLINK("https://mp39851918.megaplan.ua/deals/112684/card/","19169")</f>
      </c>
      <c r="B4607" s="3" t="inlineStr">
        <is>
          <t>112-0638478-4096221</t>
        </is>
      </c>
      <c r="C4607" s="3" t="inlineStr">
        <is>
          <t>TuckerRocky</t>
        </is>
      </c>
    </row>
    <row collapsed="false" customFormat="false" customHeight="false" hidden="false" ht="12.1" outlineLevel="0" r="4608">
      <c r="A4608" s="3" t="s">
        <f>=HYPERLINK("https://mp39851918.megaplan.ua/deals/112687/card/","19170")</f>
      </c>
      <c r="B4608" s="3" t="inlineStr">
        <is>
          <t>112-9644963-5613860</t>
        </is>
      </c>
      <c r="C4608" s="3" t="inlineStr">
        <is>
          <t>Autodist</t>
        </is>
      </c>
    </row>
    <row collapsed="false" customFormat="false" customHeight="false" hidden="false" ht="12.1" outlineLevel="0" r="4609">
      <c r="A4609" s="3" t="s">
        <f>=HYPERLINK("https://mp39851918.megaplan.ua/deals/112704/card/","19171")</f>
      </c>
      <c r="B4609" s="3" t="inlineStr">
        <is>
          <t>111-0331407-5061800</t>
        </is>
      </c>
      <c r="C4609" s="3" t="inlineStr">
        <is>
          <t>other</t>
        </is>
      </c>
    </row>
    <row collapsed="false" customFormat="false" customHeight="false" hidden="false" ht="12.1" outlineLevel="0" r="4610">
      <c r="A4610" s="3" t="s">
        <f>=HYPERLINK("https://mp39851918.megaplan.ua/deals/112707/card/","19172")</f>
      </c>
      <c r="B4610" s="3" t="inlineStr">
        <is>
          <t>113-8731668-9473828</t>
        </is>
      </c>
      <c r="C4610" s="3" t="inlineStr">
        <is>
          <t>TuckerRocky</t>
        </is>
      </c>
    </row>
    <row collapsed="false" customFormat="false" customHeight="false" hidden="false" ht="12.1" outlineLevel="0" r="4611">
      <c r="A4611" s="3" t="s">
        <f>=HYPERLINK("https://mp39851918.megaplan.ua/deals/112708/card/","19173")</f>
      </c>
      <c r="B4611" s="3" t="inlineStr">
        <is>
          <t>112-1823372-9923430</t>
        </is>
      </c>
      <c r="C4611" s="3" t="inlineStr">
        <is>
          <t>TuckerRocky</t>
        </is>
      </c>
    </row>
    <row collapsed="false" customFormat="false" customHeight="false" hidden="false" ht="12.1" outlineLevel="0" r="4612">
      <c r="A4612" s="3" t="s">
        <f>=HYPERLINK("https://mp39851918.megaplan.ua/deals/112712/card/","19174")</f>
      </c>
      <c r="B4612" s="3" t="inlineStr">
        <is>
          <t>111-7428903-6233054</t>
        </is>
      </c>
      <c r="C4612" s="3" t="inlineStr">
        <is>
          <t>TuckerRocky</t>
        </is>
      </c>
    </row>
    <row collapsed="false" customFormat="false" customHeight="false" hidden="false" ht="12.1" outlineLevel="0" r="4613">
      <c r="A4613" s="3" t="s">
        <f>=HYPERLINK("https://mp39851918.megaplan.ua/deals/112713/card/","19175")</f>
      </c>
      <c r="B4613" s="3" t="inlineStr">
        <is>
          <t>113-9106620-2807405</t>
        </is>
      </c>
      <c r="C4613" s="3" t="inlineStr">
        <is>
          <t>PartsUnlimited</t>
        </is>
      </c>
    </row>
    <row collapsed="false" customFormat="false" customHeight="false" hidden="false" ht="12.1" outlineLevel="0" r="4614">
      <c r="A4614" s="3" t="s">
        <f>=HYPERLINK("https://mp39851918.megaplan.ua/deals/112714/card/","19176")</f>
      </c>
      <c r="B4614" s="3" t="inlineStr">
        <is>
          <t>113-9182022-3266648</t>
        </is>
      </c>
      <c r="C4614" s="3" t="inlineStr">
        <is>
          <t>TuckerRocky</t>
        </is>
      </c>
    </row>
    <row collapsed="false" customFormat="false" customHeight="false" hidden="false" ht="12.1" outlineLevel="0" r="4615">
      <c r="A4615" s="3" t="s">
        <f>=HYPERLINK("https://mp39851918.megaplan.ua/deals/112715/card/","19177")</f>
      </c>
      <c r="B4615" s="3" t="inlineStr">
        <is>
          <t>114-0640793-2291469</t>
        </is>
      </c>
      <c r="C4615" s="3" t="inlineStr">
        <is>
          <t>RockyMountain</t>
        </is>
      </c>
    </row>
    <row collapsed="false" customFormat="false" customHeight="false" hidden="false" ht="12.1" outlineLevel="0" r="4616">
      <c r="A4616" s="3" t="s">
        <f>=HYPERLINK("https://mp39851918.megaplan.ua/deals/112716/card/","19178")</f>
      </c>
      <c r="B4616" s="3" t="inlineStr">
        <is>
          <t>111-7940066-9898616</t>
        </is>
      </c>
      <c r="C4616" s="3" t="inlineStr">
        <is>
          <t>TuckerRocky</t>
        </is>
      </c>
    </row>
    <row collapsed="false" customFormat="false" customHeight="false" hidden="false" ht="12.1" outlineLevel="0" r="4617">
      <c r="A4617" s="3" t="s">
        <f>=HYPERLINK("https://mp39851918.megaplan.ua/deals/112717/card/","19179")</f>
      </c>
      <c r="B4617" s="3" t="inlineStr">
        <is>
          <t>114-9779299-3866602</t>
        </is>
      </c>
      <c r="C4617" s="3" t="inlineStr">
        <is>
          <t>TuckerRocky</t>
        </is>
      </c>
    </row>
    <row collapsed="false" customFormat="false" customHeight="false" hidden="false" ht="12.1" outlineLevel="0" r="4618">
      <c r="A4618" s="3" t="s">
        <f>=HYPERLINK("https://mp39851918.megaplan.ua/deals/112718/card/","19180")</f>
      </c>
      <c r="B4618" s="3" t="inlineStr">
        <is>
          <t>112-1547939-1688206</t>
        </is>
      </c>
      <c r="C4618" s="3" t="inlineStr">
        <is>
          <t>Autodist</t>
        </is>
      </c>
    </row>
    <row collapsed="false" customFormat="false" customHeight="false" hidden="false" ht="12.1" outlineLevel="0" r="4619">
      <c r="A4619" s="3" t="s">
        <f>=HYPERLINK("https://mp39851918.megaplan.ua/deals/112719/card/","19181")</f>
      </c>
      <c r="B4619" s="3" t="inlineStr">
        <is>
          <t>111-6062171-6905862</t>
        </is>
      </c>
      <c r="C4619" s="3" t="inlineStr">
        <is>
          <t>Autodist</t>
        </is>
      </c>
    </row>
    <row collapsed="false" customFormat="false" customHeight="false" hidden="false" ht="12.1" outlineLevel="0" r="4620">
      <c r="A4620" s="3" t="s">
        <f>=HYPERLINK("https://mp39851918.megaplan.ua/deals/112720/card/","19182")</f>
      </c>
      <c r="B4620" s="3" t="inlineStr">
        <is>
          <t>111-9380904-8979458</t>
        </is>
      </c>
      <c r="C4620" s="3" t="inlineStr">
        <is>
          <t>Autodist</t>
        </is>
      </c>
    </row>
    <row collapsed="false" customFormat="false" customHeight="false" hidden="false" ht="12.1" outlineLevel="0" r="4621">
      <c r="A4621" s="3" t="s">
        <f>=HYPERLINK("https://mp39851918.megaplan.ua/deals/112721/card/","19183")</f>
      </c>
      <c r="B4621" s="3" t="inlineStr">
        <is>
          <t>112-0719258-7628231</t>
        </is>
      </c>
      <c r="C4621" s="3" t="inlineStr">
        <is>
          <t>PartsUnlimited</t>
        </is>
      </c>
    </row>
    <row collapsed="false" customFormat="false" customHeight="false" hidden="false" ht="12.1" outlineLevel="0" r="4622">
      <c r="A4622" s="3" t="s">
        <f>=HYPERLINK("https://mp39851918.megaplan.ua/deals/112727/card/","19184")</f>
      </c>
      <c r="B4622" s="3" t="inlineStr">
        <is>
          <t>111-2454662-5857042</t>
        </is>
      </c>
      <c r="C4622" s="3" t="inlineStr">
        <is>
          <t>Autodist</t>
        </is>
      </c>
    </row>
    <row collapsed="false" customFormat="false" customHeight="false" hidden="false" ht="12.1" outlineLevel="0" r="4623">
      <c r="A4623" s="3" t="s">
        <f>=HYPERLINK("https://mp39851918.megaplan.ua/deals/112729/card/","19185")</f>
      </c>
      <c r="B4623" s="3" t="inlineStr">
        <is>
          <t>112-0626995-6061859</t>
        </is>
      </c>
      <c r="C4623" s="3" t="inlineStr">
        <is>
          <t>TuckerRocky</t>
        </is>
      </c>
    </row>
    <row collapsed="false" customFormat="false" customHeight="false" hidden="false" ht="12.1" outlineLevel="0" r="4624">
      <c r="A4624" s="3" t="s">
        <f>=HYPERLINK("https://mp39851918.megaplan.ua/deals/112734/card/","19186")</f>
      </c>
      <c r="B4624" s="3" t="inlineStr">
        <is>
          <t>113-8824585-7561840</t>
        </is>
      </c>
      <c r="C4624" s="3" t="inlineStr">
        <is>
          <t>RockyMountain</t>
        </is>
      </c>
    </row>
    <row collapsed="false" customFormat="false" customHeight="false" hidden="false" ht="12.1" outlineLevel="0" r="4625">
      <c r="A4625" s="3" t="s">
        <f>=HYPERLINK("https://mp39851918.megaplan.ua/deals/112735/card/","19187")</f>
      </c>
      <c r="B4625" s="3" t="inlineStr">
        <is>
          <t>113-7571471-2239454</t>
        </is>
      </c>
      <c r="C4625" s="3" t="inlineStr">
        <is>
          <t>RockyMountain</t>
        </is>
      </c>
    </row>
    <row collapsed="false" customFormat="false" customHeight="false" hidden="false" ht="12.1" outlineLevel="0" r="4626">
      <c r="A4626" s="3" t="s">
        <f>=HYPERLINK("https://mp39851918.megaplan.ua/deals/112738/card/","19188")</f>
      </c>
      <c r="B4626" s="3" t="inlineStr">
        <is>
          <t>112-5208308-2938656</t>
        </is>
      </c>
      <c r="C4626" s="3" t="inlineStr">
        <is>
          <t>RockyMountain</t>
        </is>
      </c>
    </row>
    <row collapsed="false" customFormat="false" customHeight="false" hidden="false" ht="12.1" outlineLevel="0" r="4627">
      <c r="A4627" s="3" t="s">
        <f>=HYPERLINK("https://mp39851918.megaplan.ua/deals/112741/card/","19189")</f>
      </c>
      <c r="B4627" s="3" t="inlineStr">
        <is>
          <t>114-0094174-9205033</t>
        </is>
      </c>
      <c r="C4627" s="3" t="inlineStr">
        <is>
          <t>TuckerRocky</t>
        </is>
      </c>
    </row>
    <row collapsed="false" customFormat="false" customHeight="false" hidden="false" ht="12.1" outlineLevel="0" r="4628">
      <c r="A4628" s="3" t="s">
        <f>=HYPERLINK("https://mp39851918.megaplan.ua/deals/112746/card/","19190")</f>
      </c>
      <c r="B4628" s="3" t="inlineStr">
        <is>
          <t>114-7443242-7283408</t>
        </is>
      </c>
      <c r="C4628" s="3" t="inlineStr">
        <is>
          <t>RockyMountain</t>
        </is>
      </c>
    </row>
    <row collapsed="false" customFormat="false" customHeight="false" hidden="false" ht="12.1" outlineLevel="0" r="4629">
      <c r="A4629" s="3" t="s">
        <f>=HYPERLINK("https://mp39851918.megaplan.ua/deals/112748/card/","19191")</f>
      </c>
      <c r="B4629" s="3" t="inlineStr">
        <is>
          <t>111-2508581-1613831</t>
        </is>
      </c>
      <c r="C4629" s="3" t="inlineStr">
        <is>
          <t>Autodist</t>
        </is>
      </c>
    </row>
    <row collapsed="false" customFormat="false" customHeight="false" hidden="false" ht="12.1" outlineLevel="0" r="4630">
      <c r="A4630" s="3" t="s">
        <f>=HYPERLINK("https://mp39851918.megaplan.ua/deals/112766/card/","19194")</f>
      </c>
      <c r="B4630" s="3" t="inlineStr">
        <is>
          <t>114-9939463-7349868</t>
        </is>
      </c>
      <c r="C4630" s="3" t="inlineStr">
        <is>
          <t>other</t>
        </is>
      </c>
    </row>
    <row collapsed="false" customFormat="false" customHeight="false" hidden="false" ht="12.1" outlineLevel="0" r="4631">
      <c r="A4631" s="3" t="s">
        <f>=HYPERLINK("https://mp39851918.megaplan.ua/deals/112769/card/","19195")</f>
      </c>
      <c r="B4631" s="3" t="inlineStr">
        <is>
          <t>112-3713741-1129012</t>
        </is>
      </c>
      <c r="C4631" s="3" t="inlineStr">
        <is>
          <t>RockyMountain</t>
        </is>
      </c>
    </row>
    <row collapsed="false" customFormat="false" customHeight="false" hidden="false" ht="12.1" outlineLevel="0" r="4632">
      <c r="A4632" s="3" t="s">
        <f>=HYPERLINK("https://mp39851918.megaplan.ua/deals/112770/card/","19196")</f>
      </c>
      <c r="B4632" s="3" t="inlineStr">
        <is>
          <t>113-2595904-8677863</t>
        </is>
      </c>
      <c r="C4632" s="3" t="inlineStr">
        <is>
          <t>RockyMountain</t>
        </is>
      </c>
    </row>
    <row collapsed="false" customFormat="false" customHeight="false" hidden="false" ht="12.1" outlineLevel="0" r="4633">
      <c r="A4633" s="3" t="s">
        <f>=HYPERLINK("https://mp39851918.megaplan.ua/deals/112771/card/","19197")</f>
      </c>
      <c r="B4633" s="3" t="inlineStr">
        <is>
          <t>112-7277876-6099429</t>
        </is>
      </c>
      <c r="C4633" s="3" t="inlineStr">
        <is>
          <t>RockyMountain</t>
        </is>
      </c>
    </row>
    <row collapsed="false" customFormat="false" customHeight="false" hidden="false" ht="12.1" outlineLevel="0" r="4634">
      <c r="A4634" s="3" t="s">
        <f>=HYPERLINK("https://mp39851918.megaplan.ua/deals/112779/card/","19198")</f>
      </c>
      <c r="B4634" s="3" t="inlineStr">
        <is>
          <t>113-7358543-0244203</t>
        </is>
      </c>
      <c r="C4634" s="3" t="inlineStr">
        <is>
          <t>PartsUnlimited</t>
        </is>
      </c>
    </row>
    <row collapsed="false" customFormat="false" customHeight="false" hidden="false" ht="12.1" outlineLevel="0" r="4635">
      <c r="A4635" s="3" t="s">
        <f>=HYPERLINK("https://mp39851918.megaplan.ua/deals/112780/card/","19199")</f>
      </c>
      <c r="B4635" s="3" t="inlineStr">
        <is>
          <t>113-4355441-3823443</t>
        </is>
      </c>
      <c r="C4635" s="3" t="inlineStr">
        <is>
          <t>TuckerRocky</t>
        </is>
      </c>
    </row>
    <row collapsed="false" customFormat="false" customHeight="false" hidden="false" ht="12.1" outlineLevel="0" r="4636">
      <c r="A4636" s="3" t="s">
        <f>=HYPERLINK("https://mp39851918.megaplan.ua/deals/112781/card/","19200")</f>
      </c>
      <c r="B4636" s="3" t="inlineStr">
        <is>
          <t>113-0284116-7819400</t>
        </is>
      </c>
      <c r="C4636" s="3" t="inlineStr">
        <is>
          <t>TuckerRocky</t>
        </is>
      </c>
    </row>
    <row collapsed="false" customFormat="false" customHeight="false" hidden="false" ht="12.1" outlineLevel="0" r="4637">
      <c r="A4637" s="3" t="s">
        <f>=HYPERLINK("https://mp39851918.megaplan.ua/deals/112802/card/","19201")</f>
      </c>
      <c r="B4637" s="3" t="inlineStr">
        <is>
          <t>114-8453543-0349832</t>
        </is>
      </c>
      <c r="C4637" s="3" t="inlineStr">
        <is>
          <t>RockyMountain</t>
        </is>
      </c>
    </row>
    <row collapsed="false" customFormat="false" customHeight="false" hidden="false" ht="12.1" outlineLevel="0" r="4638">
      <c r="A4638" s="3" t="s">
        <f>=HYPERLINK("https://mp39851918.megaplan.ua/deals/112807/card/","19202")</f>
      </c>
      <c r="B4638" s="3" t="inlineStr">
        <is>
          <t>112-7133471-6724247</t>
        </is>
      </c>
      <c r="C4638" s="3" t="inlineStr">
        <is>
          <t>RockyMountain</t>
        </is>
      </c>
    </row>
    <row collapsed="false" customFormat="false" customHeight="false" hidden="false" ht="12.1" outlineLevel="0" r="4639">
      <c r="A4639" s="3" t="s">
        <f>=HYPERLINK("https://mp39851918.megaplan.ua/deals/112823/card/","19203")</f>
      </c>
      <c r="B4639" s="3" t="inlineStr">
        <is>
          <t>114-3090043-9157066</t>
        </is>
      </c>
      <c r="C4639" s="3" t="inlineStr">
        <is>
          <t>RockyMountain</t>
        </is>
      </c>
    </row>
    <row collapsed="false" customFormat="false" customHeight="false" hidden="false" ht="12.1" outlineLevel="0" r="4640">
      <c r="A4640" s="3" t="s">
        <f>=HYPERLINK("https://mp39851918.megaplan.ua/deals/112837/card/","19204")</f>
      </c>
      <c r="B4640" s="3" t="inlineStr">
        <is>
          <t>113-3270200-9867438</t>
        </is>
      </c>
      <c r="C4640" s="3" t="inlineStr">
        <is>
          <t>RockyMountain</t>
        </is>
      </c>
    </row>
    <row collapsed="false" customFormat="false" customHeight="false" hidden="false" ht="12.1" outlineLevel="0" r="4641">
      <c r="A4641" s="3" t="s">
        <f>=HYPERLINK("https://mp39851918.megaplan.ua/deals/112839/card/","19205")</f>
      </c>
      <c r="B4641" s="3" t="inlineStr">
        <is>
          <t>113-9300048-2730627</t>
        </is>
      </c>
      <c r="C4641" s="3" t="inlineStr">
        <is>
          <t>TuckerRocky</t>
        </is>
      </c>
    </row>
    <row collapsed="false" customFormat="false" customHeight="false" hidden="false" ht="12.1" outlineLevel="0" r="4642">
      <c r="A4642" s="3" t="s">
        <f>=HYPERLINK("https://mp39851918.megaplan.ua/deals/112850/card/","19208")</f>
      </c>
      <c r="B4642" s="3" t="inlineStr">
        <is>
          <t>112-1689302-2176233</t>
        </is>
      </c>
      <c r="C4642" s="3" t="inlineStr">
        <is>
          <t>RockyMountain</t>
        </is>
      </c>
    </row>
    <row collapsed="false" customFormat="false" customHeight="false" hidden="false" ht="12.1" outlineLevel="0" r="4643">
      <c r="A4643" s="3" t="s">
        <f>=HYPERLINK("https://mp39851918.megaplan.ua/deals/112858/card/","19209")</f>
      </c>
      <c r="B4643" s="3" t="inlineStr">
        <is>
          <t>112-5479335-7967430</t>
        </is>
      </c>
      <c r="C4643" s="3" t="inlineStr">
        <is>
          <t>TuckerRocky</t>
        </is>
      </c>
    </row>
    <row collapsed="false" customFormat="false" customHeight="false" hidden="false" ht="12.1" outlineLevel="0" r="4644">
      <c r="A4644" s="3" t="s">
        <f>=HYPERLINK("https://mp39851918.megaplan.ua/deals/112872/card/","19210")</f>
      </c>
      <c r="B4644" s="3" t="inlineStr">
        <is>
          <t>114-6825641-2652204</t>
        </is>
      </c>
      <c r="C4644" s="3" t="inlineStr">
        <is>
          <t>RockyMountain</t>
        </is>
      </c>
    </row>
    <row collapsed="false" customFormat="false" customHeight="false" hidden="false" ht="12.1" outlineLevel="0" r="4645">
      <c r="A4645" s="3" t="s">
        <f>=HYPERLINK("https://mp39851918.megaplan.ua/deals/112887/card/","19211")</f>
      </c>
      <c r="B4645" s="3" t="inlineStr">
        <is>
          <t>113-6792907-8137026</t>
        </is>
      </c>
      <c r="C4645" s="3" t="inlineStr">
        <is>
          <t>PartsUnlimited</t>
        </is>
      </c>
    </row>
    <row collapsed="false" customFormat="false" customHeight="false" hidden="false" ht="12.1" outlineLevel="0" r="4646">
      <c r="A4646" s="3" t="s">
        <f>=HYPERLINK("https://mp39851918.megaplan.ua/deals/112889/card/","19212")</f>
      </c>
      <c r="B4646" s="3" t="inlineStr">
        <is>
          <t>112-3015290-8729841</t>
        </is>
      </c>
      <c r="C4646" s="3" t="inlineStr">
        <is>
          <t>RockyMountain</t>
        </is>
      </c>
    </row>
    <row collapsed="false" customFormat="false" customHeight="false" hidden="false" ht="12.1" outlineLevel="0" r="4647">
      <c r="A4647" s="3" t="s">
        <f>=HYPERLINK("https://mp39851918.megaplan.ua/deals/112894/card/","19213")</f>
      </c>
      <c r="B4647" s="3" t="inlineStr">
        <is>
          <t>114-4806253-4598641</t>
        </is>
      </c>
      <c r="C4647" s="3" t="inlineStr">
        <is>
          <t>RockyMountain</t>
        </is>
      </c>
    </row>
    <row collapsed="false" customFormat="false" customHeight="false" hidden="false" ht="12.1" outlineLevel="0" r="4648">
      <c r="A4648" s="3" t="s">
        <f>=HYPERLINK("https://mp39851918.megaplan.ua/deals/112895/card/","19214")</f>
      </c>
      <c r="B4648" s="3" t="inlineStr">
        <is>
          <t>113-2917472-3469846</t>
        </is>
      </c>
      <c r="C4648" s="3" t="inlineStr">
        <is>
          <t>RockyMountain</t>
        </is>
      </c>
    </row>
    <row collapsed="false" customFormat="false" customHeight="false" hidden="false" ht="12.1" outlineLevel="0" r="4649">
      <c r="A4649" s="3" t="s">
        <f>=HYPERLINK("https://mp39851918.megaplan.ua/deals/112908/card/","19215")</f>
      </c>
      <c r="B4649" s="3" t="inlineStr">
        <is>
          <t>113-8865565-2219400</t>
        </is>
      </c>
      <c r="C4649" s="3" t="inlineStr">
        <is>
          <t>PartsUnlimited</t>
        </is>
      </c>
    </row>
    <row collapsed="false" customFormat="false" customHeight="false" hidden="false" ht="12.1" outlineLevel="0" r="4650">
      <c r="A4650" s="3" t="s">
        <f>=HYPERLINK("https://mp39851918.megaplan.ua/deals/112920/card/","19218")</f>
      </c>
      <c r="B4650" s="3" t="inlineStr">
        <is>
          <t>113-1305170-6032269</t>
        </is>
      </c>
      <c r="C4650" s="3" t="inlineStr">
        <is>
          <t>TuckerRocky</t>
        </is>
      </c>
    </row>
    <row collapsed="false" customFormat="false" customHeight="false" hidden="false" ht="12.1" outlineLevel="0" r="4651">
      <c r="A4651" s="3" t="s">
        <f>=HYPERLINK("https://mp39851918.megaplan.ua/deals/112923/card/","19219")</f>
      </c>
      <c r="B4651" s="3" t="inlineStr">
        <is>
          <t>113-4066071-9959462</t>
        </is>
      </c>
      <c r="C4651" s="3" t="inlineStr">
        <is>
          <t>RockyMountain</t>
        </is>
      </c>
    </row>
    <row collapsed="false" customFormat="false" customHeight="false" hidden="false" ht="12.1" outlineLevel="0" r="4652">
      <c r="A4652" s="3" t="s">
        <f>=HYPERLINK("https://mp39851918.megaplan.ua/deals/112924/card/","19220")</f>
      </c>
      <c r="B4652" s="3" t="inlineStr">
        <is>
          <t>114-6465049-8901029</t>
        </is>
      </c>
      <c r="C4652" s="3" t="inlineStr">
        <is>
          <t>Autodist</t>
        </is>
      </c>
    </row>
    <row collapsed="false" customFormat="false" customHeight="false" hidden="false" ht="12.1" outlineLevel="0" r="4653">
      <c r="A4653" s="3" t="s">
        <f>=HYPERLINK("https://mp39851918.megaplan.ua/deals/112925/card/","19221")</f>
      </c>
      <c r="B4653" s="3" t="inlineStr">
        <is>
          <t>113-8754146-9617812</t>
        </is>
      </c>
      <c r="C4653" s="3" t="inlineStr">
        <is>
          <t>TuckerRocky</t>
        </is>
      </c>
    </row>
    <row collapsed="false" customFormat="false" customHeight="false" hidden="false" ht="12.1" outlineLevel="0" r="4654">
      <c r="A4654" s="3" t="s">
        <f>=HYPERLINK("https://mp39851918.megaplan.ua/deals/112928/card/","19222")</f>
      </c>
      <c r="B4654" s="3" t="inlineStr">
        <is>
          <t>112-4066745-1252241</t>
        </is>
      </c>
      <c r="C4654" s="3" t="inlineStr">
        <is>
          <t>RockyMountain</t>
        </is>
      </c>
    </row>
    <row collapsed="false" customFormat="false" customHeight="false" hidden="false" ht="12.1" outlineLevel="0" r="4655">
      <c r="A4655" s="3" t="s">
        <f>=HYPERLINK("https://mp39851918.megaplan.ua/deals/112944/card/","19223")</f>
      </c>
      <c r="B4655" s="3" t="inlineStr">
        <is>
          <t>111-8839100-9061021</t>
        </is>
      </c>
      <c r="C4655" s="3" t="inlineStr">
        <is>
          <t>TuckerRocky</t>
        </is>
      </c>
    </row>
    <row collapsed="false" customFormat="false" customHeight="false" hidden="false" ht="12.1" outlineLevel="0" r="4656">
      <c r="A4656" s="3" t="s">
        <f>=HYPERLINK("https://mp39851918.megaplan.ua/deals/112946/card/","19224")</f>
      </c>
      <c r="B4656" s="3" t="inlineStr">
        <is>
          <t>114-7948293-9708214</t>
        </is>
      </c>
      <c r="C4656" s="3" t="inlineStr">
        <is>
          <t>Autodist</t>
        </is>
      </c>
    </row>
    <row collapsed="false" customFormat="false" customHeight="false" hidden="false" ht="12.1" outlineLevel="0" r="4657">
      <c r="A4657" s="3" t="s">
        <f>=HYPERLINK("https://mp39851918.megaplan.ua/deals/112962/card/","19225")</f>
      </c>
      <c r="B4657" s="3" t="inlineStr">
        <is>
          <t>111-7305863-5904239</t>
        </is>
      </c>
      <c r="C4657" s="3" t="inlineStr">
        <is>
          <t>Autodist</t>
        </is>
      </c>
    </row>
    <row collapsed="false" customFormat="false" customHeight="false" hidden="false" ht="12.1" outlineLevel="0" r="4658">
      <c r="A4658" s="3" t="s">
        <f>=HYPERLINK("https://mp39851918.megaplan.ua/deals/112963/card/","19226")</f>
      </c>
      <c r="B4658" s="3" t="inlineStr">
        <is>
          <t>113-4110013-0062610</t>
        </is>
      </c>
      <c r="C4658" s="3" t="inlineStr">
        <is>
          <t>TuckerRocky</t>
        </is>
      </c>
    </row>
    <row collapsed="false" customFormat="false" customHeight="false" hidden="false" ht="12.1" outlineLevel="0" r="4659">
      <c r="A4659" s="3" t="s">
        <f>=HYPERLINK("https://mp39851918.megaplan.ua/deals/112973/card/","19227")</f>
      </c>
      <c r="B4659" s="3" t="inlineStr">
        <is>
          <t>113-1252892-9370626</t>
        </is>
      </c>
      <c r="C4659" s="3" t="inlineStr">
        <is>
          <t>Autodist</t>
        </is>
      </c>
    </row>
    <row collapsed="false" customFormat="false" customHeight="false" hidden="false" ht="12.1" outlineLevel="0" r="4660">
      <c r="A4660" s="3" t="s">
        <f>=HYPERLINK("https://mp39851918.megaplan.ua/deals/112975/card/","19228")</f>
      </c>
      <c r="B4660" s="3" t="inlineStr">
        <is>
          <t>114-2715304-1068244</t>
        </is>
      </c>
      <c r="C4660" s="3" t="inlineStr">
        <is>
          <t>RockyMountain</t>
        </is>
      </c>
    </row>
    <row collapsed="false" customFormat="false" customHeight="false" hidden="false" ht="12.1" outlineLevel="0" r="4661">
      <c r="A4661" s="3" t="s">
        <f>=HYPERLINK("https://mp39851918.megaplan.ua/deals/112978/card/","19229")</f>
      </c>
      <c r="B4661" s="3" t="inlineStr">
        <is>
          <t>111-7991199-8155430</t>
        </is>
      </c>
      <c r="C4661" s="3" t="inlineStr">
        <is>
          <t>TuckerRocky</t>
        </is>
      </c>
    </row>
    <row collapsed="false" customFormat="false" customHeight="false" hidden="false" ht="12.1" outlineLevel="0" r="4662">
      <c r="A4662" s="3" t="s">
        <f>=HYPERLINK("https://mp39851918.megaplan.ua/deals/112984/card/","19230")</f>
      </c>
      <c r="B4662" s="3" t="inlineStr">
        <is>
          <t>114-8593830-1907434</t>
        </is>
      </c>
      <c r="C4662" s="3" t="inlineStr">
        <is>
          <t>Autodist</t>
        </is>
      </c>
    </row>
    <row collapsed="false" customFormat="false" customHeight="false" hidden="false" ht="12.1" outlineLevel="0" r="4663">
      <c r="A4663" s="3" t="s">
        <f>=HYPERLINK("https://mp39851918.megaplan.ua/deals/113002/card/","19231")</f>
      </c>
      <c r="B4663" s="3" t="inlineStr">
        <is>
          <t>112-8087896-2525062</t>
        </is>
      </c>
      <c r="C4663" s="3" t="inlineStr">
        <is>
          <t>TuckerRocky</t>
        </is>
      </c>
    </row>
    <row collapsed="false" customFormat="false" customHeight="false" hidden="false" ht="12.1" outlineLevel="0" r="4664">
      <c r="A4664" s="3" t="s">
        <f>=HYPERLINK("https://mp39851918.megaplan.ua/deals/113003/card/","19232")</f>
      </c>
      <c r="B4664" s="3" t="inlineStr">
        <is>
          <t>113-5008548-1217047</t>
        </is>
      </c>
      <c r="C4664" s="3" t="inlineStr">
        <is>
          <t>RockyMountain</t>
        </is>
      </c>
    </row>
    <row collapsed="false" customFormat="false" customHeight="false" hidden="false" ht="12.1" outlineLevel="0" r="4665">
      <c r="A4665" s="3" t="s">
        <f>=HYPERLINK("https://mp39851918.megaplan.ua/deals/113022/card/","19233")</f>
      </c>
      <c r="B4665" s="3" t="inlineStr">
        <is>
          <t>112-5861264-1702650</t>
        </is>
      </c>
      <c r="C4665" s="3" t="inlineStr">
        <is>
          <t>PartsUnlimited</t>
        </is>
      </c>
    </row>
    <row collapsed="false" customFormat="false" customHeight="false" hidden="false" ht="12.1" outlineLevel="0" r="4666">
      <c r="A4666" s="3" t="s">
        <f>=HYPERLINK("https://mp39851918.megaplan.ua/deals/113024/card/","19234")</f>
      </c>
      <c r="B4666" s="3" t="inlineStr">
        <is>
          <t>113-5236823-7777857</t>
        </is>
      </c>
      <c r="C4666" s="3" t="inlineStr">
        <is>
          <t>Autodist</t>
        </is>
      </c>
    </row>
    <row collapsed="false" customFormat="false" customHeight="false" hidden="false" ht="12.1" outlineLevel="0" r="4667">
      <c r="A4667" s="3" t="s">
        <f>=HYPERLINK("https://mp39851918.megaplan.ua/deals/113030/card/","19235")</f>
      </c>
      <c r="B4667" s="3" t="inlineStr">
        <is>
          <t>112-2927404-9389001</t>
        </is>
      </c>
      <c r="C4667" s="3" t="inlineStr">
        <is>
          <t>TuckerRocky</t>
        </is>
      </c>
    </row>
    <row collapsed="false" customFormat="false" customHeight="false" hidden="false" ht="12.1" outlineLevel="0" r="4668">
      <c r="A4668" s="3" t="s">
        <f>=HYPERLINK("https://mp39851918.megaplan.ua/deals/113031/card/","19236")</f>
      </c>
      <c r="B4668" s="3" t="inlineStr">
        <is>
          <t>113-8999632-8409855</t>
        </is>
      </c>
      <c r="C4668" s="3" t="inlineStr">
        <is>
          <t>RockyMountain</t>
        </is>
      </c>
    </row>
    <row collapsed="false" customFormat="false" customHeight="false" hidden="false" ht="12.1" outlineLevel="0" r="4669">
      <c r="A4669" s="3" t="s">
        <f>=HYPERLINK("https://mp39851918.megaplan.ua/deals/113050/card/","19238")</f>
      </c>
      <c r="B4669" s="3" t="inlineStr">
        <is>
          <t>113-6728601-0289847</t>
        </is>
      </c>
      <c r="C4669" s="3" t="inlineStr">
        <is>
          <t>TuckerRocky</t>
        </is>
      </c>
    </row>
    <row collapsed="false" customFormat="false" customHeight="false" hidden="false" ht="12.1" outlineLevel="0" r="4670">
      <c r="A4670" s="3" t="s">
        <f>=HYPERLINK("https://mp39851918.megaplan.ua/deals/113089/card/","19240")</f>
      </c>
      <c r="B4670" s="3" t="inlineStr">
        <is>
          <t>111-2718102-4473855</t>
        </is>
      </c>
      <c r="C4670" s="3" t="inlineStr">
        <is>
          <t>TuckerRocky</t>
        </is>
      </c>
    </row>
    <row collapsed="false" customFormat="false" customHeight="false" hidden="false" ht="12.1" outlineLevel="0" r="4671">
      <c r="A4671" s="3" t="s">
        <f>=HYPERLINK("https://mp39851918.megaplan.ua/deals/113093/card/","19241")</f>
      </c>
      <c r="B4671" s="3" t="inlineStr">
        <is>
          <t>111-7393428-5635411</t>
        </is>
      </c>
      <c r="C4671" s="3" t="inlineStr">
        <is>
          <t>TuckerRocky</t>
        </is>
      </c>
    </row>
    <row collapsed="false" customFormat="false" customHeight="false" hidden="false" ht="12.1" outlineLevel="0" r="4672">
      <c r="A4672" s="3" t="s">
        <f>=HYPERLINK("https://mp39851918.megaplan.ua/deals/113106/card/","19242")</f>
      </c>
      <c r="B4672" s="3" t="inlineStr">
        <is>
          <t>111-2086597-5428248</t>
        </is>
      </c>
      <c r="C4672" s="3" t="inlineStr">
        <is>
          <t>Autodist</t>
        </is>
      </c>
    </row>
    <row collapsed="false" customFormat="false" customHeight="false" hidden="false" ht="12.1" outlineLevel="0" r="4673">
      <c r="A4673" s="3" t="s">
        <f>=HYPERLINK("https://mp39851918.megaplan.ua/deals/113114/card/","19244")</f>
      </c>
      <c r="B4673" s="3" t="inlineStr">
        <is>
          <t>114-7025613-9549029</t>
        </is>
      </c>
      <c r="C4673" s="3" t="inlineStr">
        <is>
          <t>RockyMountain</t>
        </is>
      </c>
    </row>
    <row collapsed="false" customFormat="false" customHeight="false" hidden="false" ht="12.1" outlineLevel="0" r="4674">
      <c r="A4674" s="3" t="s">
        <f>=HYPERLINK("https://mp39851918.megaplan.ua/deals/113122/card/","19245")</f>
      </c>
      <c r="B4674" s="3" t="inlineStr">
        <is>
          <t>112-0402799-5403421</t>
        </is>
      </c>
      <c r="C4674" s="3" t="inlineStr">
        <is>
          <t>Autodist</t>
        </is>
      </c>
    </row>
    <row collapsed="false" customFormat="false" customHeight="false" hidden="false" ht="12.1" outlineLevel="0" r="4675">
      <c r="A4675" s="3" t="s">
        <f>=HYPERLINK("https://mp39851918.megaplan.ua/deals/113127/card/","19246")</f>
      </c>
      <c r="B4675" s="3" t="inlineStr">
        <is>
          <t>114-0546164-9490667</t>
        </is>
      </c>
      <c r="C4675" s="3" t="inlineStr">
        <is>
          <t>TuckerRocky</t>
        </is>
      </c>
    </row>
    <row collapsed="false" customFormat="false" customHeight="false" hidden="false" ht="12.1" outlineLevel="0" r="4676">
      <c r="A4676" s="3" t="s">
        <f>=HYPERLINK("https://mp39851918.megaplan.ua/deals/113140/card/","19247")</f>
      </c>
      <c r="B4676" s="3" t="inlineStr">
        <is>
          <t>112-4548341-0339411</t>
        </is>
      </c>
      <c r="C4676" s="3" t="inlineStr">
        <is>
          <t>Autodist</t>
        </is>
      </c>
    </row>
    <row collapsed="false" customFormat="false" customHeight="false" hidden="false" ht="12.1" outlineLevel="0" r="4677">
      <c r="A4677" s="3" t="s">
        <f>=HYPERLINK("https://mp39851918.megaplan.ua/deals/113143/card/","19249")</f>
      </c>
      <c r="B4677" s="3" t="inlineStr">
        <is>
          <t>111-6240199-2107448</t>
        </is>
      </c>
      <c r="C4677" s="3" t="inlineStr">
        <is>
          <t>TuckerRocky</t>
        </is>
      </c>
    </row>
    <row collapsed="false" customFormat="false" customHeight="false" hidden="false" ht="12.1" outlineLevel="0" r="4678">
      <c r="A4678" s="3" t="s">
        <f>=HYPERLINK("https://mp39851918.megaplan.ua/deals/113144/card/","19250")</f>
      </c>
      <c r="B4678" s="3" t="inlineStr">
        <is>
          <t>111-1927673-9761806</t>
        </is>
      </c>
      <c r="C4678" s="3" t="inlineStr">
        <is>
          <t>Autodist</t>
        </is>
      </c>
    </row>
    <row collapsed="false" customFormat="false" customHeight="false" hidden="false" ht="12.1" outlineLevel="0" r="4679">
      <c r="A4679" s="3" t="s">
        <f>=HYPERLINK("https://mp39851918.megaplan.ua/deals/113154/card/","19252")</f>
      </c>
      <c r="B4679" s="3" t="inlineStr">
        <is>
          <t>114-7618253-2329054</t>
        </is>
      </c>
      <c r="C4679" s="3" t="inlineStr">
        <is>
          <t>PartsUnlimited</t>
        </is>
      </c>
    </row>
    <row collapsed="false" customFormat="false" customHeight="false" hidden="false" ht="12.1" outlineLevel="0" r="4680">
      <c r="A4680" s="3" t="s">
        <f>=HYPERLINK("https://mp39851918.megaplan.ua/deals/113166/card/","19253")</f>
      </c>
      <c r="B4680" s="3" t="inlineStr">
        <is>
          <t>112-7674370-5569825</t>
        </is>
      </c>
      <c r="C4680" s="3" t="inlineStr">
        <is>
          <t>TuckerRocky</t>
        </is>
      </c>
    </row>
    <row collapsed="false" customFormat="false" customHeight="false" hidden="false" ht="12.1" outlineLevel="0" r="4681">
      <c r="A4681" s="3" t="s">
        <f>=HYPERLINK("https://mp39851918.megaplan.ua/deals/113167/card/","19254")</f>
      </c>
      <c r="B4681" s="3" t="inlineStr">
        <is>
          <t>114-7621079-2470635</t>
        </is>
      </c>
      <c r="C4681" s="3" t="inlineStr">
        <is>
          <t>PartsUnlimited</t>
        </is>
      </c>
    </row>
    <row collapsed="false" customFormat="false" customHeight="false" hidden="false" ht="12.1" outlineLevel="0" r="4682">
      <c r="A4682" s="3" t="s">
        <f>=HYPERLINK("https://mp39851918.megaplan.ua/deals/113168/card/","19255")</f>
      </c>
      <c r="B4682" s="3" t="inlineStr">
        <is>
          <t>111-3884091-2654618</t>
        </is>
      </c>
      <c r="C4682" s="3" t="inlineStr">
        <is>
          <t>Autodist</t>
        </is>
      </c>
    </row>
    <row collapsed="false" customFormat="false" customHeight="false" hidden="false" ht="12.1" outlineLevel="0" r="4683">
      <c r="A4683" s="3" t="s">
        <f>=HYPERLINK("https://mp39851918.megaplan.ua/deals/113175/card/","19256")</f>
      </c>
      <c r="B4683" s="3" t="inlineStr">
        <is>
          <t>114-3204645-5717849</t>
        </is>
      </c>
      <c r="C4683" s="3" t="inlineStr">
        <is>
          <t>Autodist</t>
        </is>
      </c>
    </row>
    <row collapsed="false" customFormat="false" customHeight="false" hidden="false" ht="12.1" outlineLevel="0" r="4684">
      <c r="A4684" s="3" t="s">
        <f>=HYPERLINK("https://mp39851918.megaplan.ua/deals/113185/card/","19257")</f>
      </c>
      <c r="B4684" s="3" t="inlineStr">
        <is>
          <t>111-3254085-6152256</t>
        </is>
      </c>
      <c r="C4684" s="3" t="inlineStr">
        <is>
          <t>TuckerRocky</t>
        </is>
      </c>
    </row>
    <row collapsed="false" customFormat="false" customHeight="false" hidden="false" ht="12.1" outlineLevel="0" r="4685">
      <c r="A4685" s="3" t="s">
        <f>=HYPERLINK("https://mp39851918.megaplan.ua/deals/113189/card/","19258")</f>
      </c>
      <c r="B4685" s="3" t="inlineStr">
        <is>
          <t>113-6320803-7170633</t>
        </is>
      </c>
      <c r="C4685" s="3" t="inlineStr">
        <is>
          <t>TuckerRocky</t>
        </is>
      </c>
    </row>
    <row collapsed="false" customFormat="false" customHeight="false" hidden="false" ht="12.1" outlineLevel="0" r="4686">
      <c r="A4686" s="3" t="s">
        <f>=HYPERLINK("https://mp39851918.megaplan.ua/deals/113196/card/","19259")</f>
      </c>
      <c r="B4686" s="3" t="inlineStr">
        <is>
          <t>113-4978374-6725042</t>
        </is>
      </c>
      <c r="C4686" s="3" t="inlineStr">
        <is>
          <t>TuckerRocky</t>
        </is>
      </c>
    </row>
    <row collapsed="false" customFormat="false" customHeight="false" hidden="false" ht="12.1" outlineLevel="0" r="4687">
      <c r="A4687" s="3" t="s">
        <f>=HYPERLINK("https://mp39851918.megaplan.ua/deals/113198/card/","19260")</f>
      </c>
      <c r="B4687" s="3" t="inlineStr">
        <is>
          <t>111-6554924-7233837</t>
        </is>
      </c>
      <c r="C4687" s="3" t="inlineStr">
        <is>
          <t>TuckerRocky</t>
        </is>
      </c>
    </row>
    <row collapsed="false" customFormat="false" customHeight="false" hidden="false" ht="12.1" outlineLevel="0" r="4688">
      <c r="A4688" s="3" t="s">
        <f>=HYPERLINK("https://mp39851918.megaplan.ua/deals/113199/card/","19261")</f>
      </c>
      <c r="B4688" s="3" t="inlineStr">
        <is>
          <t>114-8735942-3773842</t>
        </is>
      </c>
      <c r="C4688" s="3" t="inlineStr">
        <is>
          <t>RockyMountain</t>
        </is>
      </c>
    </row>
    <row collapsed="false" customFormat="false" customHeight="false" hidden="false" ht="12.1" outlineLevel="0" r="4689">
      <c r="A4689" s="3" t="s">
        <f>=HYPERLINK("https://mp39851918.megaplan.ua/deals/113201/card/","19262")</f>
      </c>
      <c r="B4689" s="3" t="inlineStr">
        <is>
          <t>111-7481227-5877858</t>
        </is>
      </c>
      <c r="C4689" s="3" t="inlineStr">
        <is>
          <t>TuckerRocky</t>
        </is>
      </c>
    </row>
    <row collapsed="false" customFormat="false" customHeight="false" hidden="false" ht="12.1" outlineLevel="0" r="4690">
      <c r="A4690" s="3" t="s">
        <f>=HYPERLINK("https://mp39851918.megaplan.ua/deals/113225/card/","19263")</f>
      </c>
      <c r="B4690" s="3" t="inlineStr">
        <is>
          <t>111-6425633-6675447</t>
        </is>
      </c>
      <c r="C4690" s="3" t="inlineStr">
        <is>
          <t>RockyMountain</t>
        </is>
      </c>
    </row>
    <row collapsed="false" customFormat="false" customHeight="false" hidden="false" ht="12.1" outlineLevel="0" r="4691">
      <c r="A4691" s="3" t="s">
        <f>=HYPERLINK("https://mp39851918.megaplan.ua/deals/113228/card/","19264")</f>
      </c>
      <c r="B4691" s="3" t="inlineStr">
        <is>
          <t>112-7567294-3288202</t>
        </is>
      </c>
      <c r="C4691" s="3" t="inlineStr">
        <is>
          <t>RockyMountain</t>
        </is>
      </c>
    </row>
    <row collapsed="false" customFormat="false" customHeight="false" hidden="false" ht="12.1" outlineLevel="0" r="4692">
      <c r="A4692" s="3" t="s">
        <f>=HYPERLINK("https://mp39851918.megaplan.ua/deals/113229/card/","19265")</f>
      </c>
      <c r="B4692" s="3" t="inlineStr">
        <is>
          <t>111-1064716-6173865</t>
        </is>
      </c>
      <c r="C4692" s="3" t="inlineStr">
        <is>
          <t>RockyMountain</t>
        </is>
      </c>
    </row>
    <row collapsed="false" customFormat="false" customHeight="false" hidden="false" ht="12.1" outlineLevel="0" r="4693">
      <c r="A4693" s="3" t="s">
        <f>=HYPERLINK("https://mp39851918.megaplan.ua/deals/113247/card/","19266")</f>
      </c>
      <c r="B4693" s="3" t="inlineStr">
        <is>
          <t>111-7858294-3741868</t>
        </is>
      </c>
      <c r="C4693" s="3" t="inlineStr">
        <is>
          <t>RockyMountain</t>
        </is>
      </c>
    </row>
    <row collapsed="false" customFormat="false" customHeight="false" hidden="false" ht="12.1" outlineLevel="0" r="4694">
      <c r="A4694" s="3" t="s">
        <f>=HYPERLINK("https://mp39851918.megaplan.ua/deals/113248/card/","19267")</f>
      </c>
      <c r="B4694" s="3" t="inlineStr">
        <is>
          <t>111-8159243-0555468</t>
        </is>
      </c>
      <c r="C4694" s="3" t="inlineStr">
        <is>
          <t>RockyMountain</t>
        </is>
      </c>
    </row>
    <row collapsed="false" customFormat="false" customHeight="false" hidden="false" ht="12.1" outlineLevel="0" r="4695">
      <c r="A4695" s="3" t="s">
        <f>=HYPERLINK("https://mp39851918.megaplan.ua/deals/113249/card/","19268")</f>
      </c>
      <c r="B4695" s="3" t="inlineStr">
        <is>
          <t>113-3046802-1689030</t>
        </is>
      </c>
      <c r="C4695" s="3" t="inlineStr">
        <is>
          <t>RockyMountain</t>
        </is>
      </c>
    </row>
    <row collapsed="false" customFormat="false" customHeight="false" hidden="false" ht="12.1" outlineLevel="0" r="4696">
      <c r="A4696" s="3" t="s">
        <f>=HYPERLINK("https://mp39851918.megaplan.ua/deals/113251/card/","19269")</f>
      </c>
      <c r="B4696" s="3" t="inlineStr">
        <is>
          <t>112-1674726-1859446</t>
        </is>
      </c>
      <c r="C4696" s="3" t="inlineStr">
        <is>
          <t>Autodist</t>
        </is>
      </c>
    </row>
    <row collapsed="false" customFormat="false" customHeight="false" hidden="false" ht="12.1" outlineLevel="0" r="4697">
      <c r="A4697" s="3" t="s">
        <f>=HYPERLINK("https://mp39851918.megaplan.ua/deals/113254/card/","19270")</f>
      </c>
      <c r="B4697" s="3" t="inlineStr">
        <is>
          <t>114-5322952-1854638</t>
        </is>
      </c>
      <c r="C4697" s="3" t="inlineStr">
        <is>
          <t>RockyMountain</t>
        </is>
      </c>
    </row>
    <row collapsed="false" customFormat="false" customHeight="false" hidden="false" ht="12.1" outlineLevel="0" r="4698">
      <c r="A4698" s="3" t="s">
        <f>=HYPERLINK("https://mp39851918.megaplan.ua/deals/113265/card/","19271")</f>
      </c>
      <c r="B4698" s="3" t="inlineStr">
        <is>
          <t>112-3859372-4288230</t>
        </is>
      </c>
      <c r="C4698" s="3" t="inlineStr">
        <is>
          <t>RockyMountain</t>
        </is>
      </c>
    </row>
    <row collapsed="false" customFormat="false" customHeight="false" hidden="false" ht="12.1" outlineLevel="0" r="4699">
      <c r="A4699" s="3" t="s">
        <f>=HYPERLINK("https://mp39851918.megaplan.ua/deals/113280/card/","19272")</f>
      </c>
      <c r="B4699" s="3" t="inlineStr">
        <is>
          <t>112-0080557-7223438</t>
        </is>
      </c>
      <c r="C4699" s="3" t="inlineStr">
        <is>
          <t>Autodist</t>
        </is>
      </c>
    </row>
    <row collapsed="false" customFormat="false" customHeight="false" hidden="false" ht="12.1" outlineLevel="0" r="4700">
      <c r="A4700" s="3" t="s">
        <f>=HYPERLINK("https://mp39851918.megaplan.ua/deals/113284/card/","19273")</f>
      </c>
      <c r="B4700" s="3" t="inlineStr">
        <is>
          <t>111-4537500-5125032</t>
        </is>
      </c>
      <c r="C4700" s="3" t="inlineStr">
        <is>
          <t>RockyMountain</t>
        </is>
      </c>
    </row>
    <row collapsed="false" customFormat="false" customHeight="false" hidden="false" ht="12.1" outlineLevel="0" r="4701">
      <c r="A4701" s="3" t="s">
        <f>=HYPERLINK("https://mp39851918.megaplan.ua/deals/113291/card/","19274")</f>
      </c>
      <c r="B4701" s="3" t="inlineStr">
        <is>
          <t>114-0510715-0233063</t>
        </is>
      </c>
      <c r="C4701" s="3" t="inlineStr">
        <is>
          <t>TuckerRocky</t>
        </is>
      </c>
    </row>
    <row collapsed="false" customFormat="false" customHeight="false" hidden="false" ht="12.1" outlineLevel="0" r="4702">
      <c r="A4702" s="3" t="s">
        <f>=HYPERLINK("https://mp39851918.megaplan.ua/deals/113330/card/","19275")</f>
      </c>
      <c r="B4702" s="3" t="inlineStr">
        <is>
          <t>112-3492014-1874669</t>
        </is>
      </c>
      <c r="C4702" s="3" t="inlineStr">
        <is>
          <t>Autodist</t>
        </is>
      </c>
    </row>
    <row collapsed="false" customFormat="false" customHeight="false" hidden="false" ht="12.1" outlineLevel="0" r="4703">
      <c r="A4703" s="3" t="s">
        <f>=HYPERLINK("https://mp39851918.megaplan.ua/deals/113333/card/","19276")</f>
      </c>
      <c r="B4703" s="3" t="inlineStr">
        <is>
          <t>112-4807556-8108237</t>
        </is>
      </c>
      <c r="C4703" s="3" t="inlineStr">
        <is>
          <t>Autodist</t>
        </is>
      </c>
    </row>
    <row collapsed="false" customFormat="false" customHeight="false" hidden="false" ht="12.1" outlineLevel="0" r="4704">
      <c r="A4704" s="3" t="s">
        <f>=HYPERLINK("https://mp39851918.megaplan.ua/deals/113334/card/","19277")</f>
      </c>
      <c r="B4704" s="3" t="inlineStr">
        <is>
          <t>114-7297698-8201805</t>
        </is>
      </c>
      <c r="C4704" s="3" t="inlineStr">
        <is>
          <t>Autodist</t>
        </is>
      </c>
    </row>
    <row collapsed="false" customFormat="false" customHeight="false" hidden="false" ht="12.1" outlineLevel="0" r="4705">
      <c r="A4705" s="3" t="s">
        <f>=HYPERLINK("https://mp39851918.megaplan.ua/deals/113338/card/","19278")</f>
      </c>
      <c r="B4705" s="3" t="inlineStr">
        <is>
          <t>111-9340421-9794608</t>
        </is>
      </c>
      <c r="C4705" s="3" t="inlineStr">
        <is>
          <t>TuckerRocky</t>
        </is>
      </c>
    </row>
    <row collapsed="false" customFormat="false" customHeight="false" hidden="false" ht="12.1" outlineLevel="0" r="4706">
      <c r="A4706" s="3" t="s">
        <f>=HYPERLINK("https://mp39851918.megaplan.ua/deals/113348/card/","19279")</f>
      </c>
      <c r="B4706" s="3" t="inlineStr">
        <is>
          <t>112-7769892-7361854</t>
        </is>
      </c>
      <c r="C4706" s="3" t="inlineStr">
        <is>
          <t>TuckerRocky</t>
        </is>
      </c>
    </row>
    <row collapsed="false" customFormat="false" customHeight="false" hidden="false" ht="12.1" outlineLevel="0" r="4707">
      <c r="A4707" s="3" t="s">
        <f>=HYPERLINK("https://mp39851918.megaplan.ua/deals/113355/card/","19280")</f>
      </c>
      <c r="B4707" s="3" t="inlineStr">
        <is>
          <t>111-7544509-5631437</t>
        </is>
      </c>
      <c r="C4707" s="3" t="inlineStr">
        <is>
          <t>PartsUnlimited</t>
        </is>
      </c>
    </row>
    <row collapsed="false" customFormat="false" customHeight="false" hidden="false" ht="12.1" outlineLevel="0" r="4708">
      <c r="A4708" s="3" t="s">
        <f>=HYPERLINK("https://mp39851918.megaplan.ua/deals/113362/card/","19281")</f>
      </c>
      <c r="B4708" s="3" t="inlineStr">
        <is>
          <t>114-4277566-1115438</t>
        </is>
      </c>
      <c r="C4708" s="3" t="inlineStr">
        <is>
          <t>Autodist</t>
        </is>
      </c>
    </row>
    <row collapsed="false" customFormat="false" customHeight="false" hidden="false" ht="12.1" outlineLevel="0" r="4709">
      <c r="A4709" s="3" t="s">
        <f>=HYPERLINK("https://mp39851918.megaplan.ua/deals/113376/card/","19283")</f>
      </c>
      <c r="B4709" s="3" t="inlineStr">
        <is>
          <t>114-4724487-5332241</t>
        </is>
      </c>
      <c r="C4709" s="3" t="inlineStr">
        <is>
          <t>RockyMountain</t>
        </is>
      </c>
    </row>
    <row collapsed="false" customFormat="false" customHeight="false" hidden="false" ht="12.1" outlineLevel="0" r="4710">
      <c r="A4710" s="3" t="s">
        <f>=HYPERLINK("https://mp39851918.megaplan.ua/deals/113384/card/","19284")</f>
      </c>
      <c r="B4710" s="3" t="inlineStr">
        <is>
          <t>113-3800581-3516250</t>
        </is>
      </c>
      <c r="C4710" s="3" t="inlineStr">
        <is>
          <t>Autodist</t>
        </is>
      </c>
    </row>
    <row collapsed="false" customFormat="false" customHeight="false" hidden="false" ht="12.1" outlineLevel="0" r="4711">
      <c r="A4711" s="3" t="s">
        <f>=HYPERLINK("https://mp39851918.megaplan.ua/deals/113385/card/","19285")</f>
      </c>
      <c r="B4711" s="3" t="inlineStr">
        <is>
          <t>111-2553742-6502603</t>
        </is>
      </c>
      <c r="C4711" s="3" t="inlineStr">
        <is>
          <t>RockyMountain</t>
        </is>
      </c>
    </row>
    <row collapsed="false" customFormat="false" customHeight="false" hidden="false" ht="12.1" outlineLevel="0" r="4712">
      <c r="A4712" s="3" t="s">
        <f>=HYPERLINK("https://mp39851918.megaplan.ua/deals/113386/card/","19286")</f>
      </c>
      <c r="B4712" s="3" t="inlineStr">
        <is>
          <t>111-0433793-7285015</t>
        </is>
      </c>
      <c r="C4712" s="3" t="inlineStr">
        <is>
          <t>Autodist</t>
        </is>
      </c>
    </row>
    <row collapsed="false" customFormat="false" customHeight="false" hidden="false" ht="12.1" outlineLevel="0" r="4713">
      <c r="A4713" s="3" t="s">
        <f>=HYPERLINK("https://mp39851918.megaplan.ua/deals/113387/card/","19287")</f>
      </c>
      <c r="B4713" s="3" t="inlineStr">
        <is>
          <t>111-7215275-4261817</t>
        </is>
      </c>
      <c r="C4713" s="3" t="inlineStr">
        <is>
          <t>TuckerRocky</t>
        </is>
      </c>
    </row>
    <row collapsed="false" customFormat="false" customHeight="false" hidden="false" ht="12.1" outlineLevel="0" r="4714">
      <c r="A4714" s="3" t="s">
        <f>=HYPERLINK("https://mp39851918.megaplan.ua/deals/113389/card/","19288")</f>
      </c>
      <c r="B4714" s="3" t="inlineStr">
        <is>
          <t>113-4124755-5945864</t>
        </is>
      </c>
      <c r="C4714" s="3" t="inlineStr">
        <is>
          <t>RockyMountain</t>
        </is>
      </c>
    </row>
    <row collapsed="false" customFormat="false" customHeight="false" hidden="false" ht="12.1" outlineLevel="0" r="4715">
      <c r="A4715" s="3" t="s">
        <f>=HYPERLINK("https://mp39851918.megaplan.ua/deals/113393/card/","19289")</f>
      </c>
      <c r="B4715" s="3" t="inlineStr">
        <is>
          <t>111-0086792-4547404</t>
        </is>
      </c>
      <c r="C4715" s="3" t="inlineStr">
        <is>
          <t>Autodist</t>
        </is>
      </c>
    </row>
    <row collapsed="false" customFormat="false" customHeight="false" hidden="false" ht="12.1" outlineLevel="0" r="4716">
      <c r="A4716" s="3" t="s">
        <f>=HYPERLINK("https://mp39851918.megaplan.ua/deals/113399/card/","19291")</f>
      </c>
      <c r="B4716" s="3" t="inlineStr">
        <is>
          <t>112-5794340-6589003</t>
        </is>
      </c>
      <c r="C4716" s="3" t="inlineStr">
        <is>
          <t>RockyMountain</t>
        </is>
      </c>
    </row>
    <row collapsed="false" customFormat="false" customHeight="false" hidden="false" ht="12.1" outlineLevel="0" r="4717">
      <c r="A4717" s="3" t="s">
        <f>=HYPERLINK("https://mp39851918.megaplan.ua/deals/113403/card/","19292")</f>
      </c>
      <c r="B4717" s="3" t="inlineStr">
        <is>
          <t>114-0331663-5125009</t>
        </is>
      </c>
      <c r="C4717" s="3" t="inlineStr">
        <is>
          <t>RockyMountain</t>
        </is>
      </c>
    </row>
    <row collapsed="false" customFormat="false" customHeight="false" hidden="false" ht="12.1" outlineLevel="0" r="4718">
      <c r="A4718" s="3" t="s">
        <f>=HYPERLINK("https://mp39851918.megaplan.ua/deals/113413/card/","19294")</f>
      </c>
      <c r="B4718" s="3" t="inlineStr">
        <is>
          <t>111-9791302-4842666</t>
        </is>
      </c>
      <c r="C4718" s="3" t="inlineStr">
        <is>
          <t>TuckerRocky</t>
        </is>
      </c>
    </row>
    <row collapsed="false" customFormat="false" customHeight="false" hidden="false" ht="12.1" outlineLevel="0" r="4719">
      <c r="A4719" s="3" t="s">
        <f>=HYPERLINK("https://mp39851918.megaplan.ua/deals/113415/card/","19295")</f>
      </c>
      <c r="B4719" s="3" t="inlineStr">
        <is>
          <t>114-6433282-5924235</t>
        </is>
      </c>
      <c r="C4719" s="3" t="inlineStr">
        <is>
          <t>RockyMountain</t>
        </is>
      </c>
    </row>
    <row collapsed="false" customFormat="false" customHeight="false" hidden="false" ht="12.1" outlineLevel="0" r="4720">
      <c r="A4720" s="3" t="s">
        <f>=HYPERLINK("https://mp39851918.megaplan.ua/deals/113416/card/","19296")</f>
      </c>
      <c r="B4720" s="3" t="inlineStr">
        <is>
          <t>113-7987118-3046614</t>
        </is>
      </c>
      <c r="C4720" s="3" t="inlineStr">
        <is>
          <t>Autodist</t>
        </is>
      </c>
    </row>
    <row collapsed="false" customFormat="false" customHeight="false" hidden="false" ht="12.1" outlineLevel="0" r="4721">
      <c r="A4721" s="3" t="s">
        <f>=HYPERLINK("https://mp39851918.megaplan.ua/deals/113425/card/","19298")</f>
      </c>
      <c r="B4721" s="3" t="inlineStr">
        <is>
          <t>114-7510748-4066652</t>
        </is>
      </c>
      <c r="C4721" s="3" t="inlineStr">
        <is>
          <t>Autodist</t>
        </is>
      </c>
    </row>
    <row collapsed="false" customFormat="false" customHeight="false" hidden="false" ht="12.1" outlineLevel="0" r="4722">
      <c r="A4722" s="3" t="s">
        <f>=HYPERLINK("https://mp39851918.megaplan.ua/deals/113435/card/","19300")</f>
      </c>
      <c r="B4722" s="3" t="inlineStr">
        <is>
          <t>114-1645659-8977807</t>
        </is>
      </c>
      <c r="C4722" s="3" t="inlineStr">
        <is>
          <t>RockyMountain</t>
        </is>
      </c>
    </row>
    <row collapsed="false" customFormat="false" customHeight="false" hidden="false" ht="12.1" outlineLevel="0" r="4723">
      <c r="A4723" s="3" t="s">
        <f>=HYPERLINK("https://mp39851918.megaplan.ua/deals/113436/card/","19301")</f>
      </c>
      <c r="B4723" s="3" t="inlineStr">
        <is>
          <t>114-4215887-3151423</t>
        </is>
      </c>
      <c r="C4723" s="3" t="inlineStr">
        <is>
          <t>RockyMountain</t>
        </is>
      </c>
    </row>
    <row collapsed="false" customFormat="false" customHeight="false" hidden="false" ht="12.1" outlineLevel="0" r="4724">
      <c r="A4724" s="3" t="s">
        <f>=HYPERLINK("https://mp39851918.megaplan.ua/deals/113438/card/","19302")</f>
      </c>
      <c r="B4724" s="3" t="inlineStr">
        <is>
          <t>111-3087675-7179434</t>
        </is>
      </c>
      <c r="C4724" s="3" t="inlineStr">
        <is>
          <t>RockyMountain</t>
        </is>
      </c>
    </row>
    <row collapsed="false" customFormat="false" customHeight="false" hidden="false" ht="12.1" outlineLevel="0" r="4725">
      <c r="A4725" s="3" t="s">
        <f>=HYPERLINK("https://mp39851918.megaplan.ua/deals/113439/card/","19303")</f>
      </c>
      <c r="B4725" s="3" t="inlineStr">
        <is>
          <t>111-8709258-4679429</t>
        </is>
      </c>
      <c r="C4725" s="3" t="inlineStr">
        <is>
          <t>RockyMountain</t>
        </is>
      </c>
    </row>
    <row collapsed="false" customFormat="false" customHeight="false" hidden="false" ht="12.1" outlineLevel="0" r="4726">
      <c r="A4726" s="3" t="s">
        <f>=HYPERLINK("https://mp39851918.megaplan.ua/deals/113440/card/","19304")</f>
      </c>
      <c r="B4726" s="3" t="inlineStr">
        <is>
          <t>111-5827755-7629019</t>
        </is>
      </c>
      <c r="C4726" s="3" t="inlineStr">
        <is>
          <t>TuckerRocky</t>
        </is>
      </c>
    </row>
    <row collapsed="false" customFormat="false" customHeight="false" hidden="false" ht="12.1" outlineLevel="0" r="4727">
      <c r="A4727" s="3" t="s">
        <f>=HYPERLINK("https://mp39851918.megaplan.ua/deals/113457/card/","19305")</f>
      </c>
      <c r="B4727" s="3" t="inlineStr">
        <is>
          <t>111-7219835-3140232</t>
        </is>
      </c>
      <c r="C4727" s="3" t="inlineStr">
        <is>
          <t>TuckerRocky</t>
        </is>
      </c>
    </row>
    <row collapsed="false" customFormat="false" customHeight="false" hidden="false" ht="12.1" outlineLevel="0" r="4728">
      <c r="A4728" s="3" t="s">
        <f>=HYPERLINK("https://mp39851918.megaplan.ua/deals/113458/card/","19306")</f>
      </c>
      <c r="B4728" s="3" t="inlineStr">
        <is>
          <t>112-9338183-9004225</t>
        </is>
      </c>
      <c r="C4728" s="3" t="inlineStr">
        <is>
          <t>PartsUnlimited</t>
        </is>
      </c>
    </row>
    <row collapsed="false" customFormat="false" customHeight="false" hidden="false" ht="12.1" outlineLevel="0" r="4729">
      <c r="A4729" s="3" t="s">
        <f>=HYPERLINK("https://mp39851918.megaplan.ua/deals/113482/card/","19308")</f>
      </c>
      <c r="B4729" s="3" t="inlineStr">
        <is>
          <t>111-0764234-4877059</t>
        </is>
      </c>
      <c r="C4729" s="3" t="inlineStr">
        <is>
          <t>PartsUnlimited</t>
        </is>
      </c>
    </row>
    <row collapsed="false" customFormat="false" customHeight="false" hidden="false" ht="12.1" outlineLevel="0" r="4730">
      <c r="A4730" s="3" t="s">
        <f>=HYPERLINK("https://mp39851918.megaplan.ua/deals/113483/card/","19309")</f>
      </c>
      <c r="B4730" s="3" t="inlineStr">
        <is>
          <t>112-3257750-0307407</t>
        </is>
      </c>
      <c r="C4730" s="3" t="inlineStr">
        <is>
          <t>RockyMountain</t>
        </is>
      </c>
    </row>
    <row collapsed="false" customFormat="false" customHeight="false" hidden="false" ht="12.1" outlineLevel="0" r="4731">
      <c r="A4731" s="3" t="s">
        <f>=HYPERLINK("https://mp39851918.megaplan.ua/deals/113506/card/","19310")</f>
      </c>
      <c r="B4731" s="3" t="inlineStr">
        <is>
          <t>112-1410956-8340247</t>
        </is>
      </c>
      <c r="C4731" s="3" t="inlineStr">
        <is>
          <t>PartsUnlimited</t>
        </is>
      </c>
    </row>
    <row collapsed="false" customFormat="false" customHeight="false" hidden="false" ht="12.1" outlineLevel="0" r="4732">
      <c r="A4732" s="3" t="s">
        <f>=HYPERLINK("https://mp39851918.megaplan.ua/deals/113518/card/","19312")</f>
      </c>
      <c r="B4732" s="3" t="inlineStr">
        <is>
          <t>111-4409352-1716266</t>
        </is>
      </c>
      <c r="C4732" s="3" t="inlineStr">
        <is>
          <t>TuckerRocky</t>
        </is>
      </c>
    </row>
    <row collapsed="false" customFormat="false" customHeight="false" hidden="false" ht="12.1" outlineLevel="0" r="4733">
      <c r="A4733" s="3" t="s">
        <f>=HYPERLINK("https://mp39851918.megaplan.ua/deals/113529/card/","19313")</f>
      </c>
      <c r="B4733" s="3" t="inlineStr">
        <is>
          <t>111-3811583-6297026</t>
        </is>
      </c>
      <c r="C4733" s="3" t="inlineStr">
        <is>
          <t>TuckerRocky</t>
        </is>
      </c>
    </row>
    <row collapsed="false" customFormat="false" customHeight="false" hidden="false" ht="12.1" outlineLevel="0" r="4734">
      <c r="A4734" s="3" t="s">
        <f>=HYPERLINK("https://mp39851918.megaplan.ua/deals/113530/card/","19314")</f>
      </c>
      <c r="B4734" s="3" t="inlineStr">
        <is>
          <t>114-8740725-1141067</t>
        </is>
      </c>
      <c r="C4734" s="3" t="inlineStr">
        <is>
          <t>Autodist</t>
        </is>
      </c>
    </row>
    <row collapsed="false" customFormat="false" customHeight="false" hidden="false" ht="12.1" outlineLevel="0" r="4735">
      <c r="A4735" s="3" t="s">
        <f>=HYPERLINK("https://mp39851918.megaplan.ua/deals/113535/card/","19315")</f>
      </c>
      <c r="B4735" s="3" t="inlineStr">
        <is>
          <t>114-0193163-8821010</t>
        </is>
      </c>
      <c r="C4735" s="3" t="inlineStr">
        <is>
          <t>TuckerRocky</t>
        </is>
      </c>
    </row>
    <row collapsed="false" customFormat="false" customHeight="false" hidden="false" ht="12.1" outlineLevel="0" r="4736">
      <c r="A4736" s="3" t="s">
        <f>=HYPERLINK("https://mp39851918.megaplan.ua/deals/113537/card/","19316")</f>
      </c>
      <c r="B4736" s="3" t="inlineStr">
        <is>
          <t>114-8955854-0237064</t>
        </is>
      </c>
      <c r="C4736" s="3" t="inlineStr">
        <is>
          <t>RockyMountain</t>
        </is>
      </c>
    </row>
    <row collapsed="false" customFormat="false" customHeight="false" hidden="false" ht="12.1" outlineLevel="0" r="4737">
      <c r="A4737" s="3" t="s">
        <f>=HYPERLINK("https://mp39851918.megaplan.ua/deals/113542/card/","19317")</f>
      </c>
      <c r="B4737" s="3" t="inlineStr">
        <is>
          <t>114-3619661-5255467</t>
        </is>
      </c>
      <c r="C4737" s="3" t="inlineStr">
        <is>
          <t>TuckerRocky</t>
        </is>
      </c>
    </row>
    <row collapsed="false" customFormat="false" customHeight="false" hidden="false" ht="12.1" outlineLevel="0" r="4738">
      <c r="A4738" s="3" t="s">
        <f>=HYPERLINK("https://mp39851918.megaplan.ua/deals/113544/card/","19318")</f>
      </c>
      <c r="B4738" s="3" t="inlineStr">
        <is>
          <t>114-4310737-6451422</t>
        </is>
      </c>
      <c r="C4738" s="3" t="inlineStr">
        <is>
          <t>Autodist</t>
        </is>
      </c>
    </row>
    <row collapsed="false" customFormat="false" customHeight="false" hidden="false" ht="12.1" outlineLevel="0" r="4739">
      <c r="A4739" s="3" t="s">
        <f>=HYPERLINK("https://mp39851918.megaplan.ua/deals/113550/card/","19319")</f>
      </c>
      <c r="B4739" s="3" t="inlineStr">
        <is>
          <t>113-1871089-1534666</t>
        </is>
      </c>
      <c r="C4739" s="3" t="inlineStr">
        <is>
          <t>TuckerRocky</t>
        </is>
      </c>
    </row>
    <row collapsed="false" customFormat="false" customHeight="false" hidden="false" ht="12.1" outlineLevel="0" r="4740">
      <c r="A4740" s="3" t="s">
        <f>=HYPERLINK("https://mp39851918.megaplan.ua/deals/113552/card/","19320")</f>
      </c>
      <c r="B4740" s="3" t="inlineStr">
        <is>
          <t>113-3504675-4747428</t>
        </is>
      </c>
      <c r="C4740" s="3" t="inlineStr">
        <is>
          <t>PartsUnlimited</t>
        </is>
      </c>
    </row>
    <row collapsed="false" customFormat="false" customHeight="false" hidden="false" ht="12.1" outlineLevel="0" r="4741">
      <c r="A4741" s="3" t="s">
        <f>=HYPERLINK("https://mp39851918.megaplan.ua/deals/113558/card/","19321")</f>
      </c>
      <c r="B4741" s="3" t="inlineStr">
        <is>
          <t>111-2526463-0077050</t>
        </is>
      </c>
      <c r="C4741" s="3" t="inlineStr">
        <is>
          <t>RockyMountain</t>
        </is>
      </c>
    </row>
    <row collapsed="false" customFormat="false" customHeight="false" hidden="false" ht="12.1" outlineLevel="0" r="4742">
      <c r="A4742" s="3" t="s">
        <f>=HYPERLINK("https://mp39851918.megaplan.ua/deals/113570/card/","19324")</f>
      </c>
      <c r="B4742" s="3" t="inlineStr">
        <is>
          <t>111-6849355-8631455</t>
        </is>
      </c>
      <c r="C4742" s="3" t="inlineStr">
        <is>
          <t>TuckerRocky</t>
        </is>
      </c>
    </row>
    <row collapsed="false" customFormat="false" customHeight="false" hidden="false" ht="12.1" outlineLevel="0" r="4743">
      <c r="A4743" s="3" t="s">
        <f>=HYPERLINK("https://mp39851918.megaplan.ua/deals/113572/card/","19325")</f>
      </c>
      <c r="B4743" s="3" t="inlineStr">
        <is>
          <t>111-2768520-5637053</t>
        </is>
      </c>
      <c r="C4743" s="3" t="inlineStr">
        <is>
          <t>TuckerRocky</t>
        </is>
      </c>
    </row>
    <row collapsed="false" customFormat="false" customHeight="false" hidden="false" ht="12.1" outlineLevel="0" r="4744">
      <c r="A4744" s="3" t="s">
        <f>=HYPERLINK("https://mp39851918.megaplan.ua/deals/113574/card/","19326")</f>
      </c>
      <c r="B4744" s="3" t="inlineStr">
        <is>
          <t>114-9601172-8404208</t>
        </is>
      </c>
      <c r="C4744" s="3" t="inlineStr">
        <is>
          <t>RockyMountain</t>
        </is>
      </c>
    </row>
    <row collapsed="false" customFormat="false" customHeight="false" hidden="false" ht="12.1" outlineLevel="0" r="4745">
      <c r="A4745" s="3" t="s">
        <f>=HYPERLINK("https://mp39851918.megaplan.ua/deals/113577/card/","19327")</f>
      </c>
      <c r="B4745" s="3" t="inlineStr">
        <is>
          <t>114-2847168-6205028</t>
        </is>
      </c>
      <c r="C4745" s="3" t="inlineStr">
        <is>
          <t>Autodist</t>
        </is>
      </c>
    </row>
    <row collapsed="false" customFormat="false" customHeight="false" hidden="false" ht="12.1" outlineLevel="0" r="4746">
      <c r="A4746" s="3" t="s">
        <f>=HYPERLINK("https://mp39851918.megaplan.ua/deals/113580/card/","19328")</f>
      </c>
      <c r="B4746" s="3" t="inlineStr">
        <is>
          <t>112-7601216-9809861</t>
        </is>
      </c>
      <c r="C4746" s="3" t="inlineStr">
        <is>
          <t>PartsUnlimited</t>
        </is>
      </c>
    </row>
    <row collapsed="false" customFormat="false" customHeight="false" hidden="false" ht="12.1" outlineLevel="0" r="4747">
      <c r="A4747" s="3" t="s">
        <f>=HYPERLINK("https://mp39851918.megaplan.ua/deals/113581/card/","19329")</f>
      </c>
      <c r="B4747" s="3" t="inlineStr">
        <is>
          <t>114-8481872-2065858</t>
        </is>
      </c>
      <c r="C4747" s="3" t="inlineStr">
        <is>
          <t>TuckerRocky</t>
        </is>
      </c>
    </row>
    <row collapsed="false" customFormat="false" customHeight="false" hidden="false" ht="12.1" outlineLevel="0" r="4748">
      <c r="A4748" s="3" t="s">
        <f>=HYPERLINK("https://mp39851918.megaplan.ua/deals/113583/card/","19330")</f>
      </c>
      <c r="B4748" s="3" t="inlineStr">
        <is>
          <t>111-1893335-8917029</t>
        </is>
      </c>
      <c r="C4748" s="3" t="inlineStr">
        <is>
          <t>RockyMountain</t>
        </is>
      </c>
    </row>
    <row collapsed="false" customFormat="false" customHeight="false" hidden="false" ht="12.1" outlineLevel="0" r="4749">
      <c r="A4749" s="3" t="s">
        <f>=HYPERLINK("https://mp39851918.megaplan.ua/deals/113584/card/","19331")</f>
      </c>
      <c r="B4749" s="3" t="inlineStr">
        <is>
          <t>111-4282521-9733052</t>
        </is>
      </c>
      <c r="C4749" s="3" t="inlineStr">
        <is>
          <t>PartsUnlimited</t>
        </is>
      </c>
    </row>
    <row collapsed="false" customFormat="false" customHeight="false" hidden="false" ht="12.1" outlineLevel="0" r="4750">
      <c r="A4750" s="3" t="s">
        <f>=HYPERLINK("https://mp39851918.megaplan.ua/deals/113586/card/","19332")</f>
      </c>
      <c r="B4750" s="3" t="inlineStr">
        <is>
          <t>112-3941424-3271411</t>
        </is>
      </c>
      <c r="C4750" s="3" t="inlineStr">
        <is>
          <t>PartsUnlimited</t>
        </is>
      </c>
    </row>
    <row collapsed="false" customFormat="false" customHeight="false" hidden="false" ht="12.1" outlineLevel="0" r="4751">
      <c r="A4751" s="3" t="s">
        <f>=HYPERLINK("https://mp39851918.megaplan.ua/deals/113589/card/","19333")</f>
      </c>
      <c r="B4751" s="3" t="inlineStr">
        <is>
          <t>111-3983335-5171459</t>
        </is>
      </c>
      <c r="C4751" s="3" t="inlineStr">
        <is>
          <t>Autodist</t>
        </is>
      </c>
    </row>
    <row collapsed="false" customFormat="false" customHeight="false" hidden="false" ht="12.1" outlineLevel="0" r="4752">
      <c r="A4752" s="3" t="s">
        <f>=HYPERLINK("https://mp39851918.megaplan.ua/deals/113591/card/","19334")</f>
      </c>
      <c r="B4752" s="3" t="inlineStr">
        <is>
          <t>111-9348443-5255427</t>
        </is>
      </c>
      <c r="C4752" s="3" t="inlineStr">
        <is>
          <t>TuckerRocky</t>
        </is>
      </c>
    </row>
    <row collapsed="false" customFormat="false" customHeight="false" hidden="false" ht="12.1" outlineLevel="0" r="4753">
      <c r="A4753" s="3" t="s">
        <f>=HYPERLINK("https://mp39851918.megaplan.ua/deals/113598/card/","19335")</f>
      </c>
      <c r="B4753" s="3" t="inlineStr">
        <is>
          <t>113-5049585-6033825</t>
        </is>
      </c>
      <c r="C4753" s="3" t="inlineStr">
        <is>
          <t>TuckerRocky</t>
        </is>
      </c>
    </row>
    <row collapsed="false" customFormat="false" customHeight="false" hidden="false" ht="12.1" outlineLevel="0" r="4754">
      <c r="A4754" s="3" t="s">
        <f>=HYPERLINK("https://mp39851918.megaplan.ua/deals/113621/card/","19340")</f>
      </c>
      <c r="B4754" s="3" t="inlineStr">
        <is>
          <t>113-8450798-2827467</t>
        </is>
      </c>
      <c r="C4754" s="3" t="inlineStr">
        <is>
          <t>Autodist</t>
        </is>
      </c>
    </row>
    <row collapsed="false" customFormat="false" customHeight="false" hidden="false" ht="12.1" outlineLevel="0" r="4755">
      <c r="A4755" s="3" t="s">
        <f>=HYPERLINK("https://mp39851918.megaplan.ua/deals/113641/card/","19341")</f>
      </c>
      <c r="B4755" s="3" t="inlineStr">
        <is>
          <t>111-8711834-3776265</t>
        </is>
      </c>
      <c r="C4755" s="3" t="inlineStr">
        <is>
          <t>PartsUnlimited</t>
        </is>
      </c>
    </row>
    <row collapsed="false" customFormat="false" customHeight="false" hidden="false" ht="12.1" outlineLevel="0" r="4756">
      <c r="A4756" s="3" t="s">
        <f>=HYPERLINK("https://mp39851918.megaplan.ua/deals/113642/card/","19342")</f>
      </c>
      <c r="B4756" s="3" t="inlineStr">
        <is>
          <t>111-0360232-5291470</t>
        </is>
      </c>
      <c r="C4756" s="3" t="inlineStr">
        <is>
          <t>RockyMountain</t>
        </is>
      </c>
    </row>
    <row collapsed="false" customFormat="false" customHeight="false" hidden="false" ht="12.1" outlineLevel="0" r="4757">
      <c r="A4757" s="3" t="s">
        <f>=HYPERLINK("https://mp39851918.megaplan.ua/deals/113656/card/","19343")</f>
      </c>
      <c r="B4757" s="3" t="inlineStr">
        <is>
          <t>111-1176658-1695421</t>
        </is>
      </c>
      <c r="C4757" s="3" t="inlineStr">
        <is>
          <t>TuckerRocky</t>
        </is>
      </c>
    </row>
    <row collapsed="false" customFormat="false" customHeight="false" hidden="false" ht="12.1" outlineLevel="0" r="4758">
      <c r="A4758" s="3" t="s">
        <f>=HYPERLINK("https://mp39851918.megaplan.ua/deals/113658/card/","19344")</f>
      </c>
      <c r="B4758" s="3" t="inlineStr">
        <is>
          <t>111-3283662-2001002</t>
        </is>
      </c>
      <c r="C4758" s="3" t="inlineStr">
        <is>
          <t>Autodist</t>
        </is>
      </c>
    </row>
    <row collapsed="false" customFormat="false" customHeight="false" hidden="false" ht="12.1" outlineLevel="0" r="4759">
      <c r="A4759" s="3" t="s">
        <f>=HYPERLINK("https://mp39851918.megaplan.ua/deals/113669/card/","19345")</f>
      </c>
      <c r="B4759" s="3" t="inlineStr">
        <is>
          <t>112-0287593-3808257</t>
        </is>
      </c>
      <c r="C4759" s="3" t="inlineStr">
        <is>
          <t>Autodist</t>
        </is>
      </c>
    </row>
    <row collapsed="false" customFormat="false" customHeight="false" hidden="false" ht="12.1" outlineLevel="0" r="4760">
      <c r="A4760" s="3" t="s">
        <f>=HYPERLINK("https://mp39851918.megaplan.ua/deals/113670/card/","19346")</f>
      </c>
      <c r="B4760" s="3" t="inlineStr">
        <is>
          <t>112-1340905-0158635</t>
        </is>
      </c>
      <c r="C4760" s="3" t="inlineStr">
        <is>
          <t>RockyMountain</t>
        </is>
      </c>
    </row>
    <row collapsed="false" customFormat="false" customHeight="false" hidden="false" ht="12.1" outlineLevel="0" r="4761">
      <c r="A4761" s="3" t="s">
        <f>=HYPERLINK("https://mp39851918.megaplan.ua/deals/113673/card/","19347")</f>
      </c>
      <c r="B4761" s="3" t="inlineStr">
        <is>
          <t>113-7653197-8381001</t>
        </is>
      </c>
      <c r="C4761" s="3" t="inlineStr">
        <is>
          <t>PartsUnlimited</t>
        </is>
      </c>
    </row>
    <row collapsed="false" customFormat="false" customHeight="false" hidden="false" ht="12.1" outlineLevel="0" r="4762">
      <c r="A4762" s="3" t="s">
        <f>=HYPERLINK("https://mp39851918.megaplan.ua/deals/113695/card/","19350")</f>
      </c>
      <c r="B4762" s="3" t="inlineStr">
        <is>
          <t>113-9398498-9877006</t>
        </is>
      </c>
      <c r="C4762" s="3" t="inlineStr">
        <is>
          <t>TuckerRocky</t>
        </is>
      </c>
    </row>
    <row collapsed="false" customFormat="false" customHeight="false" hidden="false" ht="12.1" outlineLevel="0" r="4763">
      <c r="A4763" s="3" t="s">
        <f>=HYPERLINK("https://mp39851918.megaplan.ua/deals/113707/card/","19351")</f>
      </c>
      <c r="B4763" s="3" t="inlineStr">
        <is>
          <t>113-9706451-7723467</t>
        </is>
      </c>
      <c r="C4763" s="3" t="inlineStr">
        <is>
          <t>RockyMountain</t>
        </is>
      </c>
    </row>
    <row collapsed="false" customFormat="false" customHeight="false" hidden="false" ht="12.1" outlineLevel="0" r="4764">
      <c r="A4764" s="3" t="s">
        <f>=HYPERLINK("https://mp39851918.megaplan.ua/deals/113713/card/","19352")</f>
      </c>
      <c r="B4764" s="3" t="inlineStr">
        <is>
          <t>111-2494173-3897012</t>
        </is>
      </c>
      <c r="C4764" s="3" t="inlineStr">
        <is>
          <t>Autodist</t>
        </is>
      </c>
    </row>
    <row collapsed="false" customFormat="false" customHeight="false" hidden="false" ht="12.1" outlineLevel="0" r="4765">
      <c r="A4765" s="3" t="s">
        <f>=HYPERLINK("https://mp39851918.megaplan.ua/deals/113714/card/","19353")</f>
      </c>
      <c r="B4765" s="3" t="inlineStr">
        <is>
          <t>114-3149569-9615430</t>
        </is>
      </c>
      <c r="C4765" s="3" t="inlineStr">
        <is>
          <t>TuckerRocky</t>
        </is>
      </c>
    </row>
    <row collapsed="false" customFormat="false" customHeight="false" hidden="false" ht="12.1" outlineLevel="0" r="4766">
      <c r="A4766" s="3" t="s">
        <f>=HYPERLINK("https://mp39851918.megaplan.ua/deals/113733/card/","19355")</f>
      </c>
      <c r="B4766" s="3" t="inlineStr">
        <is>
          <t>113-9781843-9782639</t>
        </is>
      </c>
      <c r="C4766" s="3" t="inlineStr">
        <is>
          <t>RockyMountain</t>
        </is>
      </c>
    </row>
    <row collapsed="false" customFormat="false" customHeight="false" hidden="false" ht="12.1" outlineLevel="0" r="4767">
      <c r="A4767" s="3" t="s">
        <f>=HYPERLINK("https://mp39851918.megaplan.ua/deals/113738/card/","19356")</f>
      </c>
      <c r="B4767" s="3" t="inlineStr">
        <is>
          <t>113-6172967-8376212</t>
        </is>
      </c>
      <c r="C4767" s="3" t="inlineStr">
        <is>
          <t>RockyMountain</t>
        </is>
      </c>
    </row>
    <row collapsed="false" customFormat="false" customHeight="false" hidden="false" ht="12.1" outlineLevel="0" r="4768">
      <c r="A4768" s="3" t="s">
        <f>=HYPERLINK("https://mp39851918.megaplan.ua/deals/113740/card/","19357")</f>
      </c>
      <c r="B4768" s="3" t="inlineStr">
        <is>
          <t>114-6591987-5035461</t>
        </is>
      </c>
      <c r="C4768" s="3" t="inlineStr">
        <is>
          <t>RockyMountain</t>
        </is>
      </c>
    </row>
    <row collapsed="false" customFormat="false" customHeight="false" hidden="false" ht="12.1" outlineLevel="0" r="4769">
      <c r="A4769" s="3" t="s">
        <f>=HYPERLINK("https://mp39851918.megaplan.ua/deals/113766/card/","19358")</f>
      </c>
      <c r="B4769" s="3" t="inlineStr">
        <is>
          <t>113-6929865-5584256</t>
        </is>
      </c>
      <c r="C4769" s="3" t="inlineStr">
        <is>
          <t>TuckerRocky</t>
        </is>
      </c>
    </row>
    <row collapsed="false" customFormat="false" customHeight="false" hidden="false" ht="12.1" outlineLevel="0" r="4770">
      <c r="A4770" s="3" t="s">
        <f>=HYPERLINK("https://mp39851918.megaplan.ua/deals/113779/card/","19360")</f>
      </c>
      <c r="B4770" s="3" t="inlineStr">
        <is>
          <t>114-1162083-2960210</t>
        </is>
      </c>
      <c r="C4770" s="3" t="inlineStr">
        <is>
          <t>PartsUnlimited</t>
        </is>
      </c>
    </row>
    <row collapsed="false" customFormat="false" customHeight="false" hidden="false" ht="12.1" outlineLevel="0" r="4771">
      <c r="A4771" s="3" t="s">
        <f>=HYPERLINK("https://mp39851918.megaplan.ua/deals/113790/card/","19361")</f>
      </c>
      <c r="B4771" s="3" t="inlineStr">
        <is>
          <t>113-0685504-4069840</t>
        </is>
      </c>
      <c r="C4771" s="3" t="inlineStr">
        <is>
          <t>Autodist</t>
        </is>
      </c>
    </row>
    <row collapsed="false" customFormat="false" customHeight="false" hidden="false" ht="12.1" outlineLevel="0" r="4772">
      <c r="A4772" s="3" t="s">
        <f>=HYPERLINK("https://mp39851918.megaplan.ua/deals/113797/card/","19362")</f>
      </c>
      <c r="B4772" s="3" t="inlineStr">
        <is>
          <t>111-1273939-7634638</t>
        </is>
      </c>
      <c r="C4772" s="3" t="inlineStr">
        <is>
          <t>TuckerRocky</t>
        </is>
      </c>
    </row>
    <row collapsed="false" customFormat="false" customHeight="false" hidden="false" ht="12.1" outlineLevel="0" r="4773">
      <c r="A4773" s="3" t="s">
        <f>=HYPERLINK("https://mp39851918.megaplan.ua/deals/113799/card/","19363")</f>
      </c>
      <c r="B4773" s="3" t="inlineStr">
        <is>
          <t>113-8509110-4293847</t>
        </is>
      </c>
      <c r="C4773" s="3" t="inlineStr">
        <is>
          <t>RockyMountain</t>
        </is>
      </c>
    </row>
    <row collapsed="false" customFormat="false" customHeight="false" hidden="false" ht="12.1" outlineLevel="0" r="4774">
      <c r="A4774" s="3" t="s">
        <f>=HYPERLINK("https://mp39851918.megaplan.ua/deals/113828/card/","19364")</f>
      </c>
      <c r="B4774" s="3" t="inlineStr">
        <is>
          <t>112-0280534-1647452</t>
        </is>
      </c>
      <c r="C4774" s="3" t="inlineStr">
        <is>
          <t>Autodist</t>
        </is>
      </c>
    </row>
    <row collapsed="false" customFormat="false" customHeight="false" hidden="false" ht="12.1" outlineLevel="0" r="4775">
      <c r="A4775" s="3" t="s">
        <f>=HYPERLINK("https://mp39851918.megaplan.ua/deals/113829/card/","19365")</f>
      </c>
      <c r="B4775" s="3" t="inlineStr">
        <is>
          <t>113-4593692-7341017</t>
        </is>
      </c>
      <c r="C4775" s="3" t="inlineStr">
        <is>
          <t>TuckerRocky</t>
        </is>
      </c>
    </row>
    <row collapsed="false" customFormat="false" customHeight="false" hidden="false" ht="12.1" outlineLevel="0" r="4776">
      <c r="A4776" s="3" t="s">
        <f>=HYPERLINK("https://mp39851918.megaplan.ua/deals/113831/card/","19366")</f>
      </c>
      <c r="B4776" s="3" t="inlineStr">
        <is>
          <t>113-4520687-7794620</t>
        </is>
      </c>
      <c r="C4776" s="3" t="inlineStr">
        <is>
          <t>RockyMountain</t>
        </is>
      </c>
    </row>
    <row collapsed="false" customFormat="false" customHeight="false" hidden="false" ht="12.1" outlineLevel="0" r="4777">
      <c r="A4777" s="3" t="s">
        <f>=HYPERLINK("https://mp39851918.megaplan.ua/deals/113848/card/","19367")</f>
      </c>
      <c r="B4777" s="3" t="inlineStr">
        <is>
          <t>111-1366998-1004253</t>
        </is>
      </c>
      <c r="C4777" s="3" t="inlineStr">
        <is>
          <t>Autodist</t>
        </is>
      </c>
    </row>
    <row collapsed="false" customFormat="false" customHeight="false" hidden="false" ht="12.1" outlineLevel="0" r="4778">
      <c r="A4778" s="3" t="s">
        <f>=HYPERLINK("https://mp39851918.megaplan.ua/deals/113852/card/","19368")</f>
      </c>
      <c r="B4778" s="3" t="inlineStr">
        <is>
          <t>114-0699155-3096247</t>
        </is>
      </c>
      <c r="C4778" s="3" t="inlineStr">
        <is>
          <t>RockyMountain</t>
        </is>
      </c>
    </row>
    <row collapsed="false" customFormat="false" customHeight="false" hidden="false" ht="12.1" outlineLevel="0" r="4779">
      <c r="A4779" s="3" t="s">
        <f>=HYPERLINK("https://mp39851918.megaplan.ua/deals/113861/card/","19371")</f>
      </c>
      <c r="B4779" s="3" t="inlineStr">
        <is>
          <t>112-8746956-3465832</t>
        </is>
      </c>
      <c r="C4779" s="3" t="inlineStr">
        <is>
          <t>Autodist</t>
        </is>
      </c>
    </row>
    <row collapsed="false" customFormat="false" customHeight="false" hidden="false" ht="12.1" outlineLevel="0" r="4780">
      <c r="A4780" s="3" t="s">
        <f>=HYPERLINK("https://mp39851918.megaplan.ua/deals/113886/card/","19372")</f>
      </c>
      <c r="B4780" s="3" t="inlineStr">
        <is>
          <t>114-0054003-1975477</t>
        </is>
      </c>
      <c r="C4780" s="3" t="inlineStr">
        <is>
          <t>RockyMountain</t>
        </is>
      </c>
    </row>
    <row collapsed="false" customFormat="false" customHeight="false" hidden="false" ht="12.1" outlineLevel="0" r="4781">
      <c r="A4781" s="3" t="s">
        <f>=HYPERLINK("https://mp39851918.megaplan.ua/deals/113887/card/","19373")</f>
      </c>
      <c r="B4781" s="3" t="inlineStr">
        <is>
          <t>113-7404902-2053823</t>
        </is>
      </c>
      <c r="C4781" s="3" t="inlineStr">
        <is>
          <t>Autodist</t>
        </is>
      </c>
    </row>
    <row collapsed="false" customFormat="false" customHeight="false" hidden="false" ht="12.1" outlineLevel="0" r="4782">
      <c r="A4782" s="3" t="s">
        <f>=HYPERLINK("https://mp39851918.megaplan.ua/deals/113894/card/","19374")</f>
      </c>
      <c r="B4782" s="3" t="inlineStr">
        <is>
          <t>111-2679795-8529024</t>
        </is>
      </c>
      <c r="C4782" s="3" t="inlineStr">
        <is>
          <t>Autodist</t>
        </is>
      </c>
    </row>
    <row collapsed="false" customFormat="false" customHeight="false" hidden="false" ht="12.1" outlineLevel="0" r="4783">
      <c r="A4783" s="3" t="s">
        <f>=HYPERLINK("https://mp39851918.megaplan.ua/deals/113897/card/","19375")</f>
      </c>
      <c r="B4783" s="3" t="inlineStr">
        <is>
          <t>113-2580384-0978644</t>
        </is>
      </c>
      <c r="C4783" s="3" t="inlineStr">
        <is>
          <t>Autodist</t>
        </is>
      </c>
    </row>
    <row collapsed="false" customFormat="false" customHeight="false" hidden="false" ht="12.1" outlineLevel="0" r="4784">
      <c r="A4784" s="3" t="s">
        <f>=HYPERLINK("https://mp39851918.megaplan.ua/deals/113901/card/","19376")</f>
      </c>
      <c r="B4784" s="3" t="inlineStr">
        <is>
          <t>112-8845761-5041032</t>
        </is>
      </c>
      <c r="C4784" s="3" t="inlineStr">
        <is>
          <t>TuckerRocky</t>
        </is>
      </c>
    </row>
    <row collapsed="false" customFormat="false" customHeight="false" hidden="false" ht="12.1" outlineLevel="0" r="4785">
      <c r="A4785" s="3" t="s">
        <f>=HYPERLINK("https://mp39851918.megaplan.ua/deals/113905/card/","19377")</f>
      </c>
      <c r="B4785" s="3" t="inlineStr">
        <is>
          <t>112-2732131-8500260</t>
        </is>
      </c>
      <c r="C4785" s="3" t="inlineStr">
        <is>
          <t>RockyMountain</t>
        </is>
      </c>
    </row>
    <row collapsed="false" customFormat="false" customHeight="false" hidden="false" ht="12.1" outlineLevel="0" r="4786">
      <c r="A4786" s="3" t="s">
        <f>=HYPERLINK("https://mp39851918.megaplan.ua/deals/113906/card/","19378")</f>
      </c>
      <c r="B4786" s="3" t="inlineStr">
        <is>
          <t>113-8789789-9645818</t>
        </is>
      </c>
      <c r="C4786" s="3" t="inlineStr">
        <is>
          <t>RockyMountain</t>
        </is>
      </c>
    </row>
    <row collapsed="false" customFormat="false" customHeight="false" hidden="false" ht="12.1" outlineLevel="0" r="4787">
      <c r="A4787" s="3" t="s">
        <f>=HYPERLINK("https://mp39851918.megaplan.ua/deals/113920/card/","19379")</f>
      </c>
      <c r="B4787" s="3" t="inlineStr">
        <is>
          <t>111-5400335-9292202</t>
        </is>
      </c>
      <c r="C4787" s="3" t="inlineStr">
        <is>
          <t>TuckerRocky</t>
        </is>
      </c>
    </row>
    <row collapsed="false" customFormat="false" customHeight="false" hidden="false" ht="12.1" outlineLevel="0" r="4788">
      <c r="A4788" s="3" t="s">
        <f>=HYPERLINK("https://mp39851918.megaplan.ua/deals/113922/card/","19380")</f>
      </c>
      <c r="B4788" s="3" t="inlineStr">
        <is>
          <t>111-2558170-2863415</t>
        </is>
      </c>
      <c r="C4788" s="3" t="inlineStr">
        <is>
          <t>RockyMountain</t>
        </is>
      </c>
    </row>
    <row collapsed="false" customFormat="false" customHeight="false" hidden="false" ht="12.1" outlineLevel="0" r="4789">
      <c r="A4789" s="3" t="s">
        <f>=HYPERLINK("https://mp39851918.megaplan.ua/deals/113923/card/","19381")</f>
      </c>
      <c r="B4789" s="3" t="inlineStr">
        <is>
          <t>114-5674600-6073011</t>
        </is>
      </c>
      <c r="C4789" s="3" t="inlineStr">
        <is>
          <t>PartsUnlimited</t>
        </is>
      </c>
    </row>
    <row collapsed="false" customFormat="false" customHeight="false" hidden="false" ht="12.1" outlineLevel="0" r="4790">
      <c r="A4790" s="3" t="s">
        <f>=HYPERLINK("https://mp39851918.megaplan.ua/deals/113937/card/","19382")</f>
      </c>
      <c r="B4790" s="3" t="inlineStr">
        <is>
          <t>114-9597124-5393025</t>
        </is>
      </c>
      <c r="C4790" s="3" t="inlineStr">
        <is>
          <t>TuckerRocky</t>
        </is>
      </c>
    </row>
    <row collapsed="false" customFormat="false" customHeight="false" hidden="false" ht="12.1" outlineLevel="0" r="4791">
      <c r="A4791" s="3" t="s">
        <f>=HYPERLINK("https://mp39851918.megaplan.ua/deals/113958/card/","19383")</f>
      </c>
      <c r="B4791" s="3" t="inlineStr">
        <is>
          <t>112-1117462-2162614</t>
        </is>
      </c>
      <c r="C4791" s="3" t="inlineStr">
        <is>
          <t>Autodist</t>
        </is>
      </c>
    </row>
    <row collapsed="false" customFormat="false" customHeight="false" hidden="false" ht="12.1" outlineLevel="0" r="4792">
      <c r="A4792" s="3" t="s">
        <f>=HYPERLINK("https://mp39851918.megaplan.ua/deals/113960/card/","19384")</f>
      </c>
      <c r="B4792" s="3" t="inlineStr">
        <is>
          <t>114-0598788-8621861</t>
        </is>
      </c>
      <c r="C4792" s="3" t="inlineStr">
        <is>
          <t>TuckerRocky</t>
        </is>
      </c>
    </row>
    <row collapsed="false" customFormat="false" customHeight="false" hidden="false" ht="12.1" outlineLevel="0" r="4793">
      <c r="A4793" s="3" t="s">
        <f>=HYPERLINK("https://mp39851918.megaplan.ua/deals/113970/card/","19385")</f>
      </c>
      <c r="B4793" s="3" t="inlineStr">
        <is>
          <t>112-7774836-5562664</t>
        </is>
      </c>
      <c r="C4793" s="3" t="inlineStr">
        <is>
          <t>TuckerRocky</t>
        </is>
      </c>
    </row>
    <row collapsed="false" customFormat="false" customHeight="false" hidden="false" ht="12.1" outlineLevel="0" r="4794">
      <c r="A4794" s="3" t="s">
        <f>=HYPERLINK("https://mp39851918.megaplan.ua/deals/113972/card/","19386")</f>
      </c>
      <c r="B4794" s="3" t="inlineStr">
        <is>
          <t>113-2892984-9563420</t>
        </is>
      </c>
      <c r="C4794" s="3" t="inlineStr">
        <is>
          <t>TuckerRocky</t>
        </is>
      </c>
    </row>
    <row collapsed="false" customFormat="false" customHeight="false" hidden="false" ht="12.1" outlineLevel="0" r="4795">
      <c r="A4795" s="3" t="s">
        <f>=HYPERLINK("https://mp39851918.megaplan.ua/deals/113989/card/","19388")</f>
      </c>
      <c r="B4795" s="3" t="inlineStr">
        <is>
          <t>111-3807657-6569065</t>
        </is>
      </c>
      <c r="C4795" s="3" t="inlineStr">
        <is>
          <t>RockyMountain</t>
        </is>
      </c>
    </row>
    <row collapsed="false" customFormat="false" customHeight="false" hidden="false" ht="12.1" outlineLevel="0" r="4796">
      <c r="A4796" s="3" t="s">
        <f>=HYPERLINK("https://mp39851918.megaplan.ua/deals/113991/card/","19389")</f>
      </c>
      <c r="B4796" s="3" t="inlineStr">
        <is>
          <t>113-2806152-2578607</t>
        </is>
      </c>
      <c r="C4796" s="3" t="inlineStr">
        <is>
          <t>Autodist</t>
        </is>
      </c>
    </row>
    <row collapsed="false" customFormat="false" customHeight="false" hidden="false" ht="12.1" outlineLevel="0" r="4797">
      <c r="A4797" s="3" t="s">
        <f>=HYPERLINK("https://mp39851918.megaplan.ua/deals/113997/card/","19391")</f>
      </c>
      <c r="B4797" s="3" t="inlineStr">
        <is>
          <t>113-0901390-0061806</t>
        </is>
      </c>
      <c r="C4797" s="3" t="inlineStr">
        <is>
          <t>Autodist</t>
        </is>
      </c>
    </row>
    <row collapsed="false" customFormat="false" customHeight="false" hidden="false" ht="12.1" outlineLevel="0" r="4798">
      <c r="A4798" s="3" t="s">
        <f>=HYPERLINK("https://mp39851918.megaplan.ua/deals/114006/card/","19392")</f>
      </c>
      <c r="B4798" s="3" t="inlineStr">
        <is>
          <t>112-3773928-3621027</t>
        </is>
      </c>
      <c r="C4798" s="3" t="inlineStr">
        <is>
          <t>Autodist</t>
        </is>
      </c>
    </row>
    <row collapsed="false" customFormat="false" customHeight="false" hidden="false" ht="12.1" outlineLevel="0" r="4799">
      <c r="A4799" s="3" t="s">
        <f>=HYPERLINK("https://mp39851918.megaplan.ua/deals/114010/card/","19393")</f>
      </c>
      <c r="B4799" s="3" t="inlineStr">
        <is>
          <t>113-9992569-7166662</t>
        </is>
      </c>
      <c r="C4799" s="3" t="inlineStr">
        <is>
          <t>PartsUnlimited</t>
        </is>
      </c>
    </row>
    <row collapsed="false" customFormat="false" customHeight="false" hidden="false" ht="12.1" outlineLevel="0" r="4800">
      <c r="A4800" s="3" t="s">
        <f>=HYPERLINK("https://mp39851918.megaplan.ua/deals/114025/card/","19396")</f>
      </c>
      <c r="B4800" s="3" t="inlineStr">
        <is>
          <t>114-5529109-1989013</t>
        </is>
      </c>
      <c r="C4800" s="3" t="inlineStr">
        <is>
          <t>Autodist</t>
        </is>
      </c>
    </row>
    <row collapsed="false" customFormat="false" customHeight="false" hidden="false" ht="12.1" outlineLevel="0" r="4801">
      <c r="A4801" s="3" t="s">
        <f>=HYPERLINK("https://mp39851918.megaplan.ua/deals/114028/card/","19397")</f>
      </c>
      <c r="B4801" s="3" t="inlineStr">
        <is>
          <t>111-4513093-4091447</t>
        </is>
      </c>
      <c r="C4801" s="3" t="inlineStr">
        <is>
          <t>TuckerRocky</t>
        </is>
      </c>
    </row>
    <row collapsed="false" customFormat="false" customHeight="false" hidden="false" ht="12.1" outlineLevel="0" r="4802">
      <c r="A4802" s="3" t="s">
        <f>=HYPERLINK("https://mp39851918.megaplan.ua/deals/114029/card/","19398")</f>
      </c>
      <c r="B4802" s="3" t="inlineStr">
        <is>
          <t>114-1808987-6045846</t>
        </is>
      </c>
      <c r="C4802" s="3" t="inlineStr">
        <is>
          <t>RockyMountain</t>
        </is>
      </c>
    </row>
    <row collapsed="false" customFormat="false" customHeight="false" hidden="false" ht="12.1" outlineLevel="0" r="4803">
      <c r="A4803" s="3" t="s">
        <f>=HYPERLINK("https://mp39851918.megaplan.ua/deals/114030/card/","19399")</f>
      </c>
      <c r="B4803" s="3" t="inlineStr">
        <is>
          <t>113-9701378-1840251</t>
        </is>
      </c>
      <c r="C4803" s="3" t="inlineStr">
        <is>
          <t>TuckerRocky</t>
        </is>
      </c>
    </row>
    <row collapsed="false" customFormat="false" customHeight="false" hidden="false" ht="12.1" outlineLevel="0" r="4804">
      <c r="A4804" s="3" t="s">
        <f>=HYPERLINK("https://mp39851918.megaplan.ua/deals/114032/card/","19400")</f>
      </c>
      <c r="B4804" s="3" t="inlineStr">
        <is>
          <t>111-6693473-2820223</t>
        </is>
      </c>
      <c r="C4804" s="3" t="inlineStr">
        <is>
          <t>PartsUnlimited</t>
        </is>
      </c>
    </row>
    <row collapsed="false" customFormat="false" customHeight="false" hidden="false" ht="12.1" outlineLevel="0" r="4805">
      <c r="A4805" s="3" t="s">
        <f>=HYPERLINK("https://mp39851918.megaplan.ua/deals/114034/card/","19402")</f>
      </c>
      <c r="B4805" s="3" t="inlineStr">
        <is>
          <t>114-7877827-3673833</t>
        </is>
      </c>
      <c r="C4805" s="3" t="inlineStr">
        <is>
          <t>TuckerRocky</t>
        </is>
      </c>
    </row>
    <row collapsed="false" customFormat="false" customHeight="false" hidden="false" ht="12.1" outlineLevel="0" r="4806">
      <c r="A4806" s="3" t="s">
        <f>=HYPERLINK("https://mp39851918.megaplan.ua/deals/114035/card/","19403")</f>
      </c>
      <c r="B4806" s="3" t="inlineStr">
        <is>
          <t>113-3148298-2941866</t>
        </is>
      </c>
      <c r="C4806" s="3" t="inlineStr">
        <is>
          <t>RockyMountain</t>
        </is>
      </c>
    </row>
    <row collapsed="false" customFormat="false" customHeight="false" hidden="false" ht="12.1" outlineLevel="0" r="4807">
      <c r="A4807" s="3" t="s">
        <f>=HYPERLINK("https://mp39851918.megaplan.ua/deals/114036/card/","19404")</f>
      </c>
      <c r="B4807" s="3" t="inlineStr">
        <is>
          <t>114-6337161-4317026</t>
        </is>
      </c>
      <c r="C4807" s="3" t="inlineStr">
        <is>
          <t>Autodist</t>
        </is>
      </c>
    </row>
    <row collapsed="false" customFormat="false" customHeight="false" hidden="false" ht="12.1" outlineLevel="0" r="4808">
      <c r="A4808" s="3" t="s">
        <f>=HYPERLINK("https://mp39851918.megaplan.ua/deals/114037/card/","19405")</f>
      </c>
      <c r="B4808" s="3" t="inlineStr">
        <is>
          <t>114-8453583-3785800</t>
        </is>
      </c>
      <c r="C4808" s="3" t="inlineStr">
        <is>
          <t>PartsUnlimited</t>
        </is>
      </c>
    </row>
    <row collapsed="false" customFormat="false" customHeight="false" hidden="false" ht="12.1" outlineLevel="0" r="4809">
      <c r="A4809" s="3" t="s">
        <f>=HYPERLINK("https://mp39851918.megaplan.ua/deals/114044/card/","19407")</f>
      </c>
      <c r="B4809" s="3" t="inlineStr">
        <is>
          <t>111-3241042-1642627</t>
        </is>
      </c>
      <c r="C4809" s="3" t="inlineStr">
        <is>
          <t>TuckerRocky</t>
        </is>
      </c>
    </row>
    <row collapsed="false" customFormat="false" customHeight="false" hidden="false" ht="12.1" outlineLevel="0" r="4810">
      <c r="A4810" s="3" t="s">
        <f>=HYPERLINK("https://mp39851918.megaplan.ua/deals/114048/card/","19408")</f>
      </c>
      <c r="B4810" s="3" t="inlineStr">
        <is>
          <t>111-3637758-3169808</t>
        </is>
      </c>
      <c r="C4810" s="3" t="inlineStr">
        <is>
          <t>RockyMountain</t>
        </is>
      </c>
    </row>
    <row collapsed="false" customFormat="false" customHeight="false" hidden="false" ht="12.1" outlineLevel="0" r="4811">
      <c r="A4811" s="3" t="s">
        <f>=HYPERLINK("https://mp39851918.megaplan.ua/deals/114058/card/","19409")</f>
      </c>
      <c r="B4811" s="3" t="inlineStr">
        <is>
          <t>114-5931725-3050617</t>
        </is>
      </c>
      <c r="C4811" s="3" t="inlineStr">
        <is>
          <t>RockyMountain</t>
        </is>
      </c>
    </row>
    <row collapsed="false" customFormat="false" customHeight="false" hidden="false" ht="12.1" outlineLevel="0" r="4812">
      <c r="A4812" s="3" t="s">
        <f>=HYPERLINK("https://mp39851918.megaplan.ua/deals/114060/card/","19410")</f>
      </c>
      <c r="B4812" s="3" t="inlineStr">
        <is>
          <t>113-9495206-0657040</t>
        </is>
      </c>
      <c r="C4812" s="3" t="inlineStr">
        <is>
          <t>Autodist</t>
        </is>
      </c>
    </row>
    <row collapsed="false" customFormat="false" customHeight="false" hidden="false" ht="12.1" outlineLevel="0" r="4813">
      <c r="A4813" s="3" t="s">
        <f>=HYPERLINK("https://mp39851918.megaplan.ua/deals/114061/card/","19411")</f>
      </c>
      <c r="B4813" s="3" t="inlineStr">
        <is>
          <t>112-7074901-5618600</t>
        </is>
      </c>
      <c r="C4813" s="3" t="inlineStr">
        <is>
          <t>Autodist</t>
        </is>
      </c>
    </row>
    <row collapsed="false" customFormat="false" customHeight="false" hidden="false" ht="12.1" outlineLevel="0" r="4814">
      <c r="A4814" s="3" t="s">
        <f>=HYPERLINK("https://mp39851918.megaplan.ua/deals/114096/card/","19412")</f>
      </c>
      <c r="B4814" s="3" t="inlineStr">
        <is>
          <t>111-3781423-7102635</t>
        </is>
      </c>
      <c r="C4814" s="3" t="inlineStr">
        <is>
          <t>RockyMountain</t>
        </is>
      </c>
    </row>
    <row collapsed="false" customFormat="false" customHeight="false" hidden="false" ht="12.1" outlineLevel="0" r="4815">
      <c r="A4815" s="3" t="s">
        <f>=HYPERLINK("https://mp39851918.megaplan.ua/deals/114112/card/","19413")</f>
      </c>
      <c r="B4815" s="3" t="inlineStr">
        <is>
          <t>114-9883489-7333832</t>
        </is>
      </c>
      <c r="C4815" s="3" t="inlineStr">
        <is>
          <t>RockyMountain</t>
        </is>
      </c>
    </row>
    <row collapsed="false" customFormat="false" customHeight="false" hidden="false" ht="12.1" outlineLevel="0" r="4816">
      <c r="A4816" s="3" t="s">
        <f>=HYPERLINK("https://mp39851918.megaplan.ua/deals/114115/card/","19414")</f>
      </c>
      <c r="B4816" s="3" t="inlineStr">
        <is>
          <t>111-4531150-4552203</t>
        </is>
      </c>
      <c r="C4816" s="3" t="inlineStr">
        <is>
          <t>RockyMountain</t>
        </is>
      </c>
    </row>
    <row collapsed="false" customFormat="false" customHeight="false" hidden="false" ht="12.1" outlineLevel="0" r="4817">
      <c r="A4817" s="3" t="s">
        <f>=HYPERLINK("https://mp39851918.megaplan.ua/deals/114121/card/","19415")</f>
      </c>
      <c r="B4817" s="3" t="inlineStr">
        <is>
          <t>114-0169653-6934610</t>
        </is>
      </c>
      <c r="C4817" s="3" t="inlineStr">
        <is>
          <t>TuckerRocky</t>
        </is>
      </c>
    </row>
    <row collapsed="false" customFormat="false" customHeight="false" hidden="false" ht="12.1" outlineLevel="0" r="4818">
      <c r="A4818" s="3" t="s">
        <f>=HYPERLINK("https://mp39851918.megaplan.ua/deals/114122/card/","19416")</f>
      </c>
      <c r="B4818" s="3" t="inlineStr">
        <is>
          <t>114-9625369-8171466</t>
        </is>
      </c>
      <c r="C4818" s="3" t="inlineStr">
        <is>
          <t>RockyMountain</t>
        </is>
      </c>
    </row>
    <row collapsed="false" customFormat="false" customHeight="false" hidden="false" ht="12.1" outlineLevel="0" r="4819">
      <c r="A4819" s="3" t="s">
        <f>=HYPERLINK("https://mp39851918.megaplan.ua/deals/114129/card/","19417")</f>
      </c>
      <c r="B4819" s="3" t="inlineStr">
        <is>
          <t>111-6174019-9227427</t>
        </is>
      </c>
      <c r="C4819" s="3" t="inlineStr">
        <is>
          <t>RockyMountain</t>
        </is>
      </c>
    </row>
    <row collapsed="false" customFormat="false" customHeight="false" hidden="false" ht="12.1" outlineLevel="0" r="4820">
      <c r="A4820" s="3" t="s">
        <f>=HYPERLINK("https://mp39851918.megaplan.ua/deals/114132/card/","19418")</f>
      </c>
      <c r="B4820" s="3" t="inlineStr">
        <is>
          <t>111-8454260-4678621</t>
        </is>
      </c>
      <c r="C4820" s="3" t="inlineStr">
        <is>
          <t>RockyMountain</t>
        </is>
      </c>
    </row>
    <row collapsed="false" customFormat="false" customHeight="false" hidden="false" ht="12.1" outlineLevel="0" r="4821">
      <c r="A4821" s="3" t="s">
        <f>=HYPERLINK("https://mp39851918.megaplan.ua/deals/114137/card/","19419")</f>
      </c>
      <c r="B4821" s="3" t="inlineStr">
        <is>
          <t>114-6705894-1098619</t>
        </is>
      </c>
      <c r="C4821" s="3" t="inlineStr">
        <is>
          <t>Autodist</t>
        </is>
      </c>
    </row>
    <row collapsed="false" customFormat="false" customHeight="false" hidden="false" ht="12.1" outlineLevel="0" r="4822">
      <c r="A4822" s="3" t="s">
        <f>=HYPERLINK("https://mp39851918.megaplan.ua/deals/114155/card/","19420")</f>
      </c>
      <c r="B4822" s="3" t="inlineStr">
        <is>
          <t>112-7961323-3752201</t>
        </is>
      </c>
      <c r="C4822" s="3" t="inlineStr">
        <is>
          <t>Autodist</t>
        </is>
      </c>
    </row>
    <row collapsed="false" customFormat="false" customHeight="false" hidden="false" ht="12.1" outlineLevel="0" r="4823">
      <c r="A4823" s="3" t="s">
        <f>=HYPERLINK("https://mp39851918.megaplan.ua/deals/114156/card/","19421")</f>
      </c>
      <c r="B4823" s="3" t="inlineStr">
        <is>
          <t>112-8330243-6062662</t>
        </is>
      </c>
      <c r="C4823" s="3" t="inlineStr">
        <is>
          <t>RockyMountain</t>
        </is>
      </c>
    </row>
    <row collapsed="false" customFormat="false" customHeight="false" hidden="false" ht="12.1" outlineLevel="0" r="4824">
      <c r="A4824" s="3" t="s">
        <f>=HYPERLINK("https://mp39851918.megaplan.ua/deals/114164/card/","19422")</f>
      </c>
      <c r="B4824" s="3" t="inlineStr">
        <is>
          <t>114-6807763-0779430</t>
        </is>
      </c>
      <c r="C4824" s="3" t="inlineStr">
        <is>
          <t>PartsUnlimited</t>
        </is>
      </c>
    </row>
    <row collapsed="false" customFormat="false" customHeight="false" hidden="false" ht="12.1" outlineLevel="0" r="4825">
      <c r="A4825" s="3" t="s">
        <f>=HYPERLINK("https://mp39851918.megaplan.ua/deals/114168/card/","19423")</f>
      </c>
      <c r="B4825" s="3" t="inlineStr">
        <is>
          <t>114-9975432-9362612</t>
        </is>
      </c>
      <c r="C4825" s="3" t="inlineStr">
        <is>
          <t>RockyMountain</t>
        </is>
      </c>
    </row>
    <row collapsed="false" customFormat="false" customHeight="false" hidden="false" ht="12.1" outlineLevel="0" r="4826">
      <c r="A4826" s="3" t="s">
        <f>=HYPERLINK("https://mp39851918.megaplan.ua/deals/114171/card/","19424")</f>
      </c>
      <c r="B4826" s="3" t="inlineStr">
        <is>
          <t>111-0761414-6265052</t>
        </is>
      </c>
      <c r="C4826" s="3" t="inlineStr">
        <is>
          <t>RockyMountain</t>
        </is>
      </c>
    </row>
    <row collapsed="false" customFormat="false" customHeight="false" hidden="false" ht="12.1" outlineLevel="0" r="4827">
      <c r="A4827" s="3" t="s">
        <f>=HYPERLINK("https://mp39851918.megaplan.ua/deals/114173/card/","19425")</f>
      </c>
      <c r="B4827" s="3" t="inlineStr">
        <is>
          <t>112-2706674-9402605</t>
        </is>
      </c>
      <c r="C4827" s="3" t="inlineStr">
        <is>
          <t>TuckerRocky</t>
        </is>
      </c>
    </row>
    <row collapsed="false" customFormat="false" customHeight="false" hidden="false" ht="12.1" outlineLevel="0" r="4828">
      <c r="A4828" s="3" t="s">
        <f>=HYPERLINK("https://mp39851918.megaplan.ua/deals/114175/card/","19426")</f>
      </c>
      <c r="B4828" s="3" t="inlineStr">
        <is>
          <t>111-2536280-3426600</t>
        </is>
      </c>
      <c r="C4828" s="3" t="inlineStr">
        <is>
          <t>TuckerRocky</t>
        </is>
      </c>
    </row>
    <row collapsed="false" customFormat="false" customHeight="false" hidden="false" ht="12.1" outlineLevel="0" r="4829">
      <c r="A4829" s="3" t="s">
        <f>=HYPERLINK("https://mp39851918.megaplan.ua/deals/114178/card/","19427")</f>
      </c>
      <c r="B4829" s="3" t="inlineStr">
        <is>
          <t>112-9822971-8665022</t>
        </is>
      </c>
      <c r="C4829" s="3" t="inlineStr">
        <is>
          <t>TuckerRocky</t>
        </is>
      </c>
    </row>
    <row collapsed="false" customFormat="false" customHeight="false" hidden="false" ht="12.1" outlineLevel="0" r="4830">
      <c r="A4830" s="3" t="s">
        <f>=HYPERLINK("https://mp39851918.megaplan.ua/deals/114184/card/","19429")</f>
      </c>
      <c r="B4830" s="3" t="inlineStr">
        <is>
          <t>111-4524457-9745056</t>
        </is>
      </c>
      <c r="C4830" s="3" t="inlineStr">
        <is>
          <t>Autodist</t>
        </is>
      </c>
    </row>
    <row collapsed="false" customFormat="false" customHeight="false" hidden="false" ht="12.1" outlineLevel="0" r="4831">
      <c r="A4831" s="3" t="s">
        <f>=HYPERLINK("https://mp39851918.megaplan.ua/deals/114185/card/","19430")</f>
      </c>
      <c r="B4831" s="3" t="inlineStr">
        <is>
          <t>114-0852362-7853864</t>
        </is>
      </c>
      <c r="C4831" s="3" t="inlineStr">
        <is>
          <t>RockyMountain</t>
        </is>
      </c>
    </row>
    <row collapsed="false" customFormat="false" customHeight="false" hidden="false" ht="12.1" outlineLevel="0" r="4832">
      <c r="A4832" s="3" t="s">
        <f>=HYPERLINK("https://mp39851918.megaplan.ua/deals/114186/card/","19431")</f>
      </c>
      <c r="B4832" s="3" t="inlineStr">
        <is>
          <t>114-7664909-2553002</t>
        </is>
      </c>
      <c r="C4832" s="3" t="inlineStr">
        <is>
          <t>Autodist</t>
        </is>
      </c>
    </row>
    <row collapsed="false" customFormat="false" customHeight="false" hidden="false" ht="12.1" outlineLevel="0" r="4833">
      <c r="A4833" s="3" t="s">
        <f>=HYPERLINK("https://mp39851918.megaplan.ua/deals/114193/card/","19432")</f>
      </c>
      <c r="B4833" s="3" t="inlineStr">
        <is>
          <t>114-4729859-1572218</t>
        </is>
      </c>
      <c r="C4833" s="3" t="inlineStr">
        <is>
          <t>RockyMountain</t>
        </is>
      </c>
    </row>
    <row collapsed="false" customFormat="false" customHeight="false" hidden="false" ht="12.1" outlineLevel="0" r="4834">
      <c r="A4834" s="3" t="s">
        <f>=HYPERLINK("https://mp39851918.megaplan.ua/deals/114208/card/","19434")</f>
      </c>
      <c r="B4834" s="3" t="inlineStr">
        <is>
          <t>111-1772821-4337840</t>
        </is>
      </c>
      <c r="C4834" s="3" t="inlineStr">
        <is>
          <t>PartsUnlimited</t>
        </is>
      </c>
    </row>
    <row collapsed="false" customFormat="false" customHeight="false" hidden="false" ht="12.1" outlineLevel="0" r="4835">
      <c r="A4835" s="3" t="s">
        <f>=HYPERLINK("https://mp39851918.megaplan.ua/deals/114220/card/","19435")</f>
      </c>
      <c r="B4835" s="3" t="inlineStr">
        <is>
          <t>112-8393336-1065837</t>
        </is>
      </c>
      <c r="C4835" s="3" t="inlineStr">
        <is>
          <t>Autodist</t>
        </is>
      </c>
    </row>
    <row collapsed="false" customFormat="false" customHeight="false" hidden="false" ht="12.1" outlineLevel="0" r="4836">
      <c r="A4836" s="3" t="s">
        <f>=HYPERLINK("https://mp39851918.megaplan.ua/deals/114242/card/","19436")</f>
      </c>
      <c r="B4836" s="3" t="inlineStr">
        <is>
          <t>111-5898700-6403406</t>
        </is>
      </c>
      <c r="C4836" s="3" t="inlineStr">
        <is>
          <t>TuckerRocky</t>
        </is>
      </c>
    </row>
    <row collapsed="false" customFormat="false" customHeight="false" hidden="false" ht="12.1" outlineLevel="0" r="4837">
      <c r="A4837" s="3" t="s">
        <f>=HYPERLINK("https://mp39851918.megaplan.ua/deals/114257/card/","19437")</f>
      </c>
      <c r="B4837" s="3" t="inlineStr">
        <is>
          <t>113-8160506-5469031</t>
        </is>
      </c>
      <c r="C4837" s="3" t="inlineStr">
        <is>
          <t>Autodist</t>
        </is>
      </c>
    </row>
    <row collapsed="false" customFormat="false" customHeight="false" hidden="false" ht="12.1" outlineLevel="0" r="4838">
      <c r="A4838" s="3" t="s">
        <f>=HYPERLINK("https://mp39851918.megaplan.ua/deals/114261/card/","19439")</f>
      </c>
      <c r="B4838" s="3" t="inlineStr">
        <is>
          <t>114-3567220-9703456</t>
        </is>
      </c>
      <c r="C4838" s="3" t="inlineStr">
        <is>
          <t>Autodist</t>
        </is>
      </c>
    </row>
    <row collapsed="false" customFormat="false" customHeight="false" hidden="false" ht="12.1" outlineLevel="0" r="4839">
      <c r="A4839" s="3" t="s">
        <f>=HYPERLINK("https://mp39851918.megaplan.ua/deals/114269/card/","19440")</f>
      </c>
      <c r="B4839" s="3" t="inlineStr">
        <is>
          <t>113-7377651-3958641</t>
        </is>
      </c>
      <c r="C4839" s="3" t="inlineStr">
        <is>
          <t>RockyMountain</t>
        </is>
      </c>
    </row>
    <row collapsed="false" customFormat="false" customHeight="false" hidden="false" ht="12.1" outlineLevel="0" r="4840">
      <c r="A4840" s="3" t="s">
        <f>=HYPERLINK("https://mp39851918.megaplan.ua/deals/114279/card/","19441")</f>
      </c>
      <c r="B4840" s="3" t="inlineStr">
        <is>
          <t>111-7686919-1771427</t>
        </is>
      </c>
      <c r="C4840" s="3" t="inlineStr">
        <is>
          <t>TuckerRocky</t>
        </is>
      </c>
    </row>
    <row collapsed="false" customFormat="false" customHeight="false" hidden="false" ht="12.1" outlineLevel="0" r="4841">
      <c r="A4841" s="3" t="s">
        <f>=HYPERLINK("https://mp39851918.megaplan.ua/deals/114298/card/","19442")</f>
      </c>
      <c r="B4841" s="3" t="inlineStr">
        <is>
          <t>112-9628414-2281026</t>
        </is>
      </c>
      <c r="C4841" s="3" t="inlineStr">
        <is>
          <t>TuckerRocky</t>
        </is>
      </c>
    </row>
    <row collapsed="false" customFormat="false" customHeight="false" hidden="false" ht="12.1" outlineLevel="0" r="4842">
      <c r="A4842" s="3" t="s">
        <f>=HYPERLINK("https://mp39851918.megaplan.ua/deals/114304/card/","19443")</f>
      </c>
      <c r="B4842" s="3" t="inlineStr">
        <is>
          <t>112-8712816-3647426</t>
        </is>
      </c>
      <c r="C4842" s="3" t="inlineStr">
        <is>
          <t>Autodist</t>
        </is>
      </c>
    </row>
    <row collapsed="false" customFormat="false" customHeight="false" hidden="false" ht="12.1" outlineLevel="0" r="4843">
      <c r="A4843" s="3" t="s">
        <f>=HYPERLINK("https://mp39851918.megaplan.ua/deals/114315/card/","19444")</f>
      </c>
      <c r="B4843" s="3" t="inlineStr">
        <is>
          <t>112-4726842-6085017</t>
        </is>
      </c>
      <c r="C4843" s="3" t="inlineStr">
        <is>
          <t>RockyMountain</t>
        </is>
      </c>
    </row>
    <row collapsed="false" customFormat="false" customHeight="false" hidden="false" ht="12.1" outlineLevel="0" r="4844">
      <c r="A4844" s="3" t="s">
        <f>=HYPERLINK("https://mp39851918.megaplan.ua/deals/114329/card/","19445")</f>
      </c>
      <c r="B4844" s="3" t="inlineStr">
        <is>
          <t>112-8599357-1122661</t>
        </is>
      </c>
      <c r="C4844" s="3" t="inlineStr">
        <is>
          <t>Autodist</t>
        </is>
      </c>
    </row>
    <row collapsed="false" customFormat="false" customHeight="false" hidden="false" ht="12.1" outlineLevel="0" r="4845">
      <c r="A4845" s="3" t="s">
        <f>=HYPERLINK("https://mp39851918.megaplan.ua/deals/114331/card/","19446")</f>
      </c>
      <c r="B4845" s="3" t="inlineStr">
        <is>
          <t>114-1229121-7407446</t>
        </is>
      </c>
      <c r="C4845" s="3" t="inlineStr">
        <is>
          <t>TuckerRocky</t>
        </is>
      </c>
    </row>
    <row collapsed="false" customFormat="false" customHeight="false" hidden="false" ht="12.1" outlineLevel="0" r="4846">
      <c r="A4846" s="3" t="s">
        <f>=HYPERLINK("https://mp39851918.megaplan.ua/deals/114332/card/","19447")</f>
      </c>
      <c r="B4846" s="3" t="inlineStr">
        <is>
          <t>111-7105661-9816231</t>
        </is>
      </c>
      <c r="C4846" s="3" t="inlineStr">
        <is>
          <t>Autodist</t>
        </is>
      </c>
    </row>
    <row collapsed="false" customFormat="false" customHeight="false" hidden="false" ht="12.1" outlineLevel="0" r="4847">
      <c r="A4847" s="3" t="s">
        <f>=HYPERLINK("https://mp39851918.megaplan.ua/deals/114333/card/","19448")</f>
      </c>
      <c r="B4847" s="3" t="inlineStr">
        <is>
          <t>114-7789557-1939427</t>
        </is>
      </c>
      <c r="C4847" s="3" t="inlineStr">
        <is>
          <t>Autodist</t>
        </is>
      </c>
    </row>
    <row collapsed="false" customFormat="false" customHeight="false" hidden="false" ht="12.1" outlineLevel="0" r="4848">
      <c r="A4848" s="3" t="s">
        <f>=HYPERLINK("https://mp39851918.megaplan.ua/deals/114361/card/","19449")</f>
      </c>
      <c r="B4848" s="3" t="inlineStr">
        <is>
          <t>113-9184304-8794630</t>
        </is>
      </c>
      <c r="C4848" s="3" t="inlineStr">
        <is>
          <t>TuckerRocky</t>
        </is>
      </c>
    </row>
    <row collapsed="false" customFormat="false" customHeight="false" hidden="false" ht="12.1" outlineLevel="0" r="4849">
      <c r="A4849" s="3" t="s">
        <f>=HYPERLINK("https://mp39851918.megaplan.ua/deals/114379/card/","19451")</f>
      </c>
      <c r="B4849" s="3" t="inlineStr">
        <is>
          <t>111-6175020-7974618</t>
        </is>
      </c>
      <c r="C4849" s="3" t="inlineStr">
        <is>
          <t>RockyMountain</t>
        </is>
      </c>
    </row>
    <row collapsed="false" customFormat="false" customHeight="false" hidden="false" ht="12.1" outlineLevel="0" r="4850">
      <c r="A4850" s="3" t="s">
        <f>=HYPERLINK("https://mp39851918.megaplan.ua/deals/114397/card/","19453")</f>
      </c>
      <c r="B4850" s="3" t="inlineStr">
        <is>
          <t>114-2667634-0361032</t>
        </is>
      </c>
      <c r="C4850" s="3" t="inlineStr">
        <is>
          <t>TuckerRocky</t>
        </is>
      </c>
    </row>
    <row collapsed="false" customFormat="false" customHeight="false" hidden="false" ht="12.1" outlineLevel="0" r="4851">
      <c r="A4851" s="3" t="s">
        <f>=HYPERLINK("https://mp39851918.megaplan.ua/deals/114398/card/","19454")</f>
      </c>
      <c r="B4851" s="3" t="inlineStr">
        <is>
          <t>114-4327108-9805838</t>
        </is>
      </c>
      <c r="C4851" s="3" t="inlineStr">
        <is>
          <t>TuckerRocky</t>
        </is>
      </c>
    </row>
    <row collapsed="false" customFormat="false" customHeight="false" hidden="false" ht="12.1" outlineLevel="0" r="4852">
      <c r="A4852" s="3" t="s">
        <f>=HYPERLINK("https://mp39851918.megaplan.ua/deals/114402/card/","19455")</f>
      </c>
      <c r="B4852" s="3" t="inlineStr">
        <is>
          <t>111-4037394-8943413</t>
        </is>
      </c>
      <c r="C4852" s="3" t="inlineStr">
        <is>
          <t>TuckerRocky</t>
        </is>
      </c>
    </row>
    <row collapsed="false" customFormat="false" customHeight="false" hidden="false" ht="12.1" outlineLevel="0" r="4853">
      <c r="A4853" s="3" t="s">
        <f>=HYPERLINK("https://mp39851918.megaplan.ua/deals/114414/card/","19456")</f>
      </c>
      <c r="B4853" s="3" t="inlineStr">
        <is>
          <t>111-8018246-3130663</t>
        </is>
      </c>
      <c r="C4853" s="3" t="inlineStr">
        <is>
          <t>RockyMountain</t>
        </is>
      </c>
    </row>
    <row collapsed="false" customFormat="false" customHeight="false" hidden="false" ht="12.1" outlineLevel="0" r="4854">
      <c r="A4854" s="3" t="s">
        <f>=HYPERLINK("https://mp39851918.megaplan.ua/deals/114436/card/","19458")</f>
      </c>
      <c r="B4854" s="3" t="inlineStr">
        <is>
          <t>113-7173237-2717824</t>
        </is>
      </c>
      <c r="C4854" s="3" t="inlineStr">
        <is>
          <t>Autodist</t>
        </is>
      </c>
    </row>
    <row collapsed="false" customFormat="false" customHeight="false" hidden="false" ht="12.1" outlineLevel="0" r="4855">
      <c r="A4855" s="3" t="s">
        <f>=HYPERLINK("https://mp39851918.megaplan.ua/deals/114438/card/","19459")</f>
      </c>
      <c r="B4855" s="3" t="inlineStr">
        <is>
          <t>114-4583576-7265003</t>
        </is>
      </c>
      <c r="C4855" s="3" t="inlineStr">
        <is>
          <t>RockyMountain</t>
        </is>
      </c>
    </row>
    <row collapsed="false" customFormat="false" customHeight="false" hidden="false" ht="12.1" outlineLevel="0" r="4856">
      <c r="A4856" s="3" t="s">
        <f>=HYPERLINK("https://mp39851918.megaplan.ua/deals/114440/card/","19460")</f>
      </c>
      <c r="B4856" s="3" t="inlineStr">
        <is>
          <t>114-8784719-7238611</t>
        </is>
      </c>
      <c r="C4856" s="3" t="inlineStr">
        <is>
          <t>PartsUnlimited</t>
        </is>
      </c>
    </row>
    <row collapsed="false" customFormat="false" customHeight="false" hidden="false" ht="12.1" outlineLevel="0" r="4857">
      <c r="A4857" s="3" t="s">
        <f>=HYPERLINK("https://mp39851918.megaplan.ua/deals/114451/card/","19461")</f>
      </c>
      <c r="B4857" s="3" t="inlineStr">
        <is>
          <t>113-1695620-4273063</t>
        </is>
      </c>
      <c r="C4857" s="3" t="inlineStr">
        <is>
          <t>TuckerRocky</t>
        </is>
      </c>
    </row>
    <row collapsed="false" customFormat="false" customHeight="false" hidden="false" ht="12.1" outlineLevel="0" r="4858">
      <c r="A4858" s="3" t="s">
        <f>=HYPERLINK("https://mp39851918.megaplan.ua/deals/114456/card/","19462")</f>
      </c>
      <c r="B4858" s="3" t="inlineStr">
        <is>
          <t>111-7685826-4498656</t>
        </is>
      </c>
      <c r="C4858" s="3" t="inlineStr">
        <is>
          <t>Autodist</t>
        </is>
      </c>
    </row>
    <row collapsed="false" customFormat="false" customHeight="false" hidden="false" ht="12.1" outlineLevel="0" r="4859">
      <c r="A4859" s="3" t="s">
        <f>=HYPERLINK("https://mp39851918.megaplan.ua/deals/114463/card/","19463")</f>
      </c>
      <c r="B4859" s="3" t="inlineStr">
        <is>
          <t>112-0368190-1653867</t>
        </is>
      </c>
      <c r="C4859" s="3" t="inlineStr">
        <is>
          <t>RockyMountain</t>
        </is>
      </c>
    </row>
    <row collapsed="false" customFormat="false" customHeight="false" hidden="false" ht="12.1" outlineLevel="0" r="4860">
      <c r="A4860" s="3" t="s">
        <f>=HYPERLINK("https://mp39851918.megaplan.ua/deals/114467/card/","19464")</f>
      </c>
      <c r="B4860" s="3" t="inlineStr">
        <is>
          <t>112-8955584-4207425</t>
        </is>
      </c>
      <c r="C4860" s="3" t="inlineStr">
        <is>
          <t>Autodist</t>
        </is>
      </c>
    </row>
    <row collapsed="false" customFormat="false" customHeight="false" hidden="false" ht="12.1" outlineLevel="0" r="4861">
      <c r="A4861" s="3" t="s">
        <f>=HYPERLINK("https://mp39851918.megaplan.ua/deals/114472/card/","19465")</f>
      </c>
      <c r="B4861" s="3" t="inlineStr">
        <is>
          <t>113-3100204-9718622</t>
        </is>
      </c>
      <c r="C4861" s="3" t="inlineStr">
        <is>
          <t>RockyMountain</t>
        </is>
      </c>
    </row>
    <row collapsed="false" customFormat="false" customHeight="false" hidden="false" ht="12.1" outlineLevel="0" r="4862">
      <c r="A4862" s="3" t="s">
        <f>=HYPERLINK("https://mp39851918.megaplan.ua/deals/114475/card/","19466")</f>
      </c>
      <c r="B4862" s="3" t="inlineStr">
        <is>
          <t>112-3602003-2975449</t>
        </is>
      </c>
      <c r="C4862" s="3" t="inlineStr">
        <is>
          <t>RockyMountain</t>
        </is>
      </c>
    </row>
    <row collapsed="false" customFormat="false" customHeight="false" hidden="false" ht="12.1" outlineLevel="0" r="4863">
      <c r="A4863" s="3" t="s">
        <f>=HYPERLINK("https://mp39851918.megaplan.ua/deals/114476/card/","19467")</f>
      </c>
      <c r="B4863" s="3" t="inlineStr">
        <is>
          <t>114-2016613-9344262</t>
        </is>
      </c>
      <c r="C4863" s="3" t="inlineStr">
        <is>
          <t>RockyMountain</t>
        </is>
      </c>
    </row>
    <row collapsed="false" customFormat="false" customHeight="false" hidden="false" ht="12.1" outlineLevel="0" r="4864">
      <c r="A4864" s="3" t="s">
        <f>=HYPERLINK("https://mp39851918.megaplan.ua/deals/114478/card/","19468")</f>
      </c>
      <c r="B4864" s="3" t="inlineStr">
        <is>
          <t>113-5443279-3928222</t>
        </is>
      </c>
      <c r="C4864" s="3" t="inlineStr">
        <is>
          <t>TuckerRocky</t>
        </is>
      </c>
    </row>
    <row collapsed="false" customFormat="false" customHeight="false" hidden="false" ht="12.1" outlineLevel="0" r="4865">
      <c r="A4865" s="3" t="s">
        <f>=HYPERLINK("https://mp39851918.megaplan.ua/deals/114483/card/","19469")</f>
      </c>
      <c r="B4865" s="3" t="inlineStr">
        <is>
          <t>113-1803625-0559457</t>
        </is>
      </c>
      <c r="C4865" s="3" t="inlineStr">
        <is>
          <t>RockyMountain</t>
        </is>
      </c>
    </row>
    <row collapsed="false" customFormat="false" customHeight="false" hidden="false" ht="12.1" outlineLevel="0" r="4866">
      <c r="A4866" s="3" t="s">
        <f>=HYPERLINK("https://mp39851918.megaplan.ua/deals/114484/card/","19470")</f>
      </c>
      <c r="B4866" s="3" t="inlineStr">
        <is>
          <t>112-7353168-0236250</t>
        </is>
      </c>
      <c r="C4866" s="3" t="inlineStr">
        <is>
          <t>Autodist</t>
        </is>
      </c>
    </row>
    <row collapsed="false" customFormat="false" customHeight="false" hidden="false" ht="12.1" outlineLevel="0" r="4867">
      <c r="A4867" s="3" t="s">
        <f>=HYPERLINK("https://mp39851918.megaplan.ua/deals/114490/card/","19471")</f>
      </c>
      <c r="B4867" s="3" t="inlineStr">
        <is>
          <t>113-6601084-5990612</t>
        </is>
      </c>
      <c r="C4867" s="3" t="inlineStr">
        <is>
          <t>RockyMountain</t>
        </is>
      </c>
    </row>
    <row collapsed="false" customFormat="false" customHeight="false" hidden="false" ht="12.1" outlineLevel="0" r="4868">
      <c r="A4868" s="3" t="s">
        <f>=HYPERLINK("https://mp39851918.megaplan.ua/deals/114502/card/","19474")</f>
      </c>
      <c r="B4868" s="3" t="inlineStr">
        <is>
          <t>111-7223762-8375455</t>
        </is>
      </c>
      <c r="C4868" s="3" t="inlineStr">
        <is>
          <t>Autodist</t>
        </is>
      </c>
    </row>
    <row collapsed="false" customFormat="false" customHeight="false" hidden="false" ht="12.1" outlineLevel="0" r="4869">
      <c r="A4869" s="3" t="s">
        <f>=HYPERLINK("https://mp39851918.megaplan.ua/deals/114513/card/","19476")</f>
      </c>
      <c r="B4869" s="3" t="inlineStr">
        <is>
          <t>112-3615646-4609066</t>
        </is>
      </c>
      <c r="C4869" s="3" t="inlineStr">
        <is>
          <t>TuckerRocky</t>
        </is>
      </c>
    </row>
    <row collapsed="false" customFormat="false" customHeight="false" hidden="false" ht="12.1" outlineLevel="0" r="4870">
      <c r="A4870" s="3" t="s">
        <f>=HYPERLINK("https://mp39851918.megaplan.ua/deals/114514/card/","19477")</f>
      </c>
      <c r="B4870" s="3" t="inlineStr">
        <is>
          <t>111-4203193-4886600</t>
        </is>
      </c>
      <c r="C4870" s="3" t="inlineStr">
        <is>
          <t>TuckerRocky</t>
        </is>
      </c>
    </row>
    <row collapsed="false" customFormat="false" customHeight="false" hidden="false" ht="12.1" outlineLevel="0" r="4871">
      <c r="A4871" s="3" t="s">
        <f>=HYPERLINK("https://mp39851918.megaplan.ua/deals/114515/card/","19478")</f>
      </c>
      <c r="B4871" s="3" t="inlineStr">
        <is>
          <t>112-9365460-1809044</t>
        </is>
      </c>
      <c r="C4871" s="3" t="inlineStr">
        <is>
          <t>RockyMountain</t>
        </is>
      </c>
    </row>
    <row collapsed="false" customFormat="false" customHeight="false" hidden="false" ht="12.1" outlineLevel="0" r="4872">
      <c r="A4872" s="3" t="s">
        <f>=HYPERLINK("https://mp39851918.megaplan.ua/deals/114517/card/","19479")</f>
      </c>
      <c r="B4872" s="3" t="inlineStr">
        <is>
          <t>112-9844643-1139428</t>
        </is>
      </c>
      <c r="C4872" s="3" t="inlineStr">
        <is>
          <t>TuckerRocky</t>
        </is>
      </c>
    </row>
    <row collapsed="false" customFormat="false" customHeight="false" hidden="false" ht="12.1" outlineLevel="0" r="4873">
      <c r="A4873" s="3" t="s">
        <f>=HYPERLINK("https://mp39851918.megaplan.ua/deals/114521/card/","19480")</f>
      </c>
      <c r="B4873" s="3" t="inlineStr">
        <is>
          <t>113-7317485-7522603</t>
        </is>
      </c>
      <c r="C4873" s="3" t="inlineStr">
        <is>
          <t>RockyMountain</t>
        </is>
      </c>
    </row>
    <row collapsed="false" customFormat="false" customHeight="false" hidden="false" ht="12.1" outlineLevel="0" r="4874">
      <c r="A4874" s="3" t="s">
        <f>=HYPERLINK("https://mp39851918.megaplan.ua/deals/114526/card/","19481")</f>
      </c>
      <c r="B4874" s="3" t="inlineStr">
        <is>
          <t>111-9038474-1090623</t>
        </is>
      </c>
      <c r="C4874" s="3" t="inlineStr">
        <is>
          <t>TuckerRocky</t>
        </is>
      </c>
    </row>
    <row collapsed="false" customFormat="false" customHeight="false" hidden="false" ht="12.1" outlineLevel="0" r="4875">
      <c r="A4875" s="3" t="s">
        <f>=HYPERLINK("https://mp39851918.megaplan.ua/deals/114537/card/","19484")</f>
      </c>
      <c r="B4875" s="3" t="inlineStr">
        <is>
          <t>112-3045457-1137067</t>
        </is>
      </c>
      <c r="C4875" s="3" t="inlineStr">
        <is>
          <t>TuckerRocky</t>
        </is>
      </c>
    </row>
    <row collapsed="false" customFormat="false" customHeight="false" hidden="false" ht="12.1" outlineLevel="0" r="4876">
      <c r="A4876" s="3" t="s">
        <f>=HYPERLINK("https://mp39851918.megaplan.ua/deals/114540/card/","19485")</f>
      </c>
      <c r="B4876" s="3" t="inlineStr">
        <is>
          <t>114-1057424-8449033</t>
        </is>
      </c>
      <c r="C4876" s="3" t="inlineStr">
        <is>
          <t>TuckerRocky</t>
        </is>
      </c>
    </row>
    <row collapsed="false" customFormat="false" customHeight="false" hidden="false" ht="12.1" outlineLevel="0" r="4877">
      <c r="A4877" s="3" t="s">
        <f>=HYPERLINK("https://mp39851918.megaplan.ua/deals/114542/card/","19486")</f>
      </c>
      <c r="B4877" s="3" t="inlineStr">
        <is>
          <t>114-8829333-0631414</t>
        </is>
      </c>
      <c r="C4877" s="3" t="inlineStr">
        <is>
          <t>PartsUnlimited</t>
        </is>
      </c>
    </row>
    <row collapsed="false" customFormat="false" customHeight="false" hidden="false" ht="12.1" outlineLevel="0" r="4878">
      <c r="A4878" s="3" t="s">
        <f>=HYPERLINK("https://mp39851918.megaplan.ua/deals/114547/card/","19487")</f>
      </c>
      <c r="B4878" s="3" t="inlineStr">
        <is>
          <t>112-4901888-3253029</t>
        </is>
      </c>
      <c r="C4878" s="3" t="inlineStr">
        <is>
          <t>TuckerRocky</t>
        </is>
      </c>
    </row>
    <row collapsed="false" customFormat="false" customHeight="false" hidden="false" ht="12.1" outlineLevel="0" r="4879">
      <c r="A4879" s="3" t="s">
        <f>=HYPERLINK("https://mp39851918.megaplan.ua/deals/114549/card/","19488")</f>
      </c>
      <c r="B4879" s="3" t="inlineStr">
        <is>
          <t>113-5669404-5733029</t>
        </is>
      </c>
      <c r="C4879" s="3" t="inlineStr">
        <is>
          <t>TuckerRocky</t>
        </is>
      </c>
    </row>
    <row collapsed="false" customFormat="false" customHeight="false" hidden="false" ht="12.1" outlineLevel="0" r="4880">
      <c r="A4880" s="3" t="s">
        <f>=HYPERLINK("https://mp39851918.megaplan.ua/deals/114551/card/","19489")</f>
      </c>
      <c r="B4880" s="3" t="inlineStr">
        <is>
          <t>113-3814367-0909862</t>
        </is>
      </c>
      <c r="C4880" s="3" t="inlineStr">
        <is>
          <t>RockyMountain</t>
        </is>
      </c>
    </row>
    <row collapsed="false" customFormat="false" customHeight="false" hidden="false" ht="12.1" outlineLevel="0" r="4881">
      <c r="A4881" s="3" t="s">
        <f>=HYPERLINK("https://mp39851918.megaplan.ua/deals/114553/card/","19490")</f>
      </c>
      <c r="B4881" s="3" t="inlineStr">
        <is>
          <t>114-6765638-8268203</t>
        </is>
      </c>
      <c r="C4881" s="3" t="inlineStr">
        <is>
          <t>Autodist</t>
        </is>
      </c>
    </row>
    <row collapsed="false" customFormat="false" customHeight="false" hidden="false" ht="12.1" outlineLevel="0" r="4882">
      <c r="A4882" s="3" t="s">
        <f>=HYPERLINK("https://mp39851918.megaplan.ua/deals/114555/card/","19491")</f>
      </c>
      <c r="B4882" s="3" t="inlineStr">
        <is>
          <t>113-9722439-6693068</t>
        </is>
      </c>
      <c r="C4882" s="3" t="inlineStr">
        <is>
          <t>TuckerRocky</t>
        </is>
      </c>
    </row>
    <row collapsed="false" customFormat="false" customHeight="false" hidden="false" ht="12.1" outlineLevel="0" r="4883">
      <c r="A4883" s="3" t="s">
        <f>=HYPERLINK("https://mp39851918.megaplan.ua/deals/114561/card/","19492")</f>
      </c>
      <c r="B4883" s="3" t="inlineStr">
        <is>
          <t>111-1746740-5242668</t>
        </is>
      </c>
      <c r="C4883" s="3" t="inlineStr">
        <is>
          <t>PartsUnlimited</t>
        </is>
      </c>
    </row>
    <row collapsed="false" customFormat="false" customHeight="false" hidden="false" ht="12.1" outlineLevel="0" r="4884">
      <c r="A4884" s="3" t="s">
        <f>=HYPERLINK("https://mp39851918.megaplan.ua/deals/114563/card/","19493")</f>
      </c>
      <c r="B4884" s="3" t="inlineStr">
        <is>
          <t>111-4752219-0152240</t>
        </is>
      </c>
      <c r="C4884" s="3" t="inlineStr">
        <is>
          <t>TuckerRocky</t>
        </is>
      </c>
    </row>
    <row collapsed="false" customFormat="false" customHeight="false" hidden="false" ht="12.1" outlineLevel="0" r="4885">
      <c r="A4885" s="3" t="s">
        <f>=HYPERLINK("https://mp39851918.megaplan.ua/deals/114566/card/","19496")</f>
      </c>
      <c r="B4885" s="3" t="inlineStr">
        <is>
          <t>113-6545947-8198631</t>
        </is>
      </c>
      <c r="C4885" s="3" t="inlineStr">
        <is>
          <t>Autodist</t>
        </is>
      </c>
    </row>
    <row collapsed="false" customFormat="false" customHeight="false" hidden="false" ht="12.1" outlineLevel="0" r="4886">
      <c r="A4886" s="3" t="s">
        <f>=HYPERLINK("https://mp39851918.megaplan.ua/deals/114567/card/","19497")</f>
      </c>
      <c r="B4886" s="3" t="inlineStr">
        <is>
          <t>113-6545947-8198631</t>
        </is>
      </c>
      <c r="C4886" s="3" t="inlineStr">
        <is>
          <t>RockyMountain</t>
        </is>
      </c>
    </row>
    <row collapsed="false" customFormat="false" customHeight="false" hidden="false" ht="12.1" outlineLevel="0" r="4887">
      <c r="A4887" s="3" t="s">
        <f>=HYPERLINK("https://mp39851918.megaplan.ua/deals/114572/card/","19498")</f>
      </c>
      <c r="B4887" s="3" t="inlineStr">
        <is>
          <t>114-7877347-1021037</t>
        </is>
      </c>
      <c r="C4887" s="3" t="inlineStr">
        <is>
          <t>Autodist</t>
        </is>
      </c>
    </row>
    <row collapsed="false" customFormat="false" customHeight="false" hidden="false" ht="12.1" outlineLevel="0" r="4888">
      <c r="A4888" s="3" t="s">
        <f>=HYPERLINK("https://mp39851918.megaplan.ua/deals/114581/card/","19499")</f>
      </c>
      <c r="B4888" s="3" t="inlineStr">
        <is>
          <t>111-9352618-5389824</t>
        </is>
      </c>
      <c r="C4888" s="3" t="inlineStr">
        <is>
          <t>TuckerRocky</t>
        </is>
      </c>
    </row>
    <row collapsed="false" customFormat="false" customHeight="false" hidden="false" ht="12.1" outlineLevel="0" r="4889">
      <c r="A4889" s="3" t="s">
        <f>=HYPERLINK("https://mp39851918.megaplan.ua/deals/114584/card/","19500")</f>
      </c>
      <c r="B4889" s="3" t="inlineStr">
        <is>
          <t>112-0364537-8361048</t>
        </is>
      </c>
      <c r="C4889" s="3" t="inlineStr">
        <is>
          <t>RockyMountain</t>
        </is>
      </c>
    </row>
    <row collapsed="false" customFormat="false" customHeight="false" hidden="false" ht="12.1" outlineLevel="0" r="4890">
      <c r="A4890" s="3" t="s">
        <f>=HYPERLINK("https://mp39851918.megaplan.ua/deals/114598/card/","19501")</f>
      </c>
      <c r="B4890" s="3" t="inlineStr">
        <is>
          <t>111-8060251-6904202</t>
        </is>
      </c>
      <c r="C4890" s="3" t="inlineStr">
        <is>
          <t>TuckerRocky</t>
        </is>
      </c>
    </row>
    <row collapsed="false" customFormat="false" customHeight="false" hidden="false" ht="12.1" outlineLevel="0" r="4891">
      <c r="A4891" s="3" t="s">
        <f>=HYPERLINK("https://mp39851918.megaplan.ua/deals/114599/card/","19502")</f>
      </c>
      <c r="B4891" s="3" t="inlineStr">
        <is>
          <t>114-7991356-4097056</t>
        </is>
      </c>
      <c r="C4891" s="3" t="inlineStr">
        <is>
          <t>PartsUnlimited</t>
        </is>
      </c>
    </row>
    <row collapsed="false" customFormat="false" customHeight="false" hidden="false" ht="12.1" outlineLevel="0" r="4892">
      <c r="A4892" s="3" t="s">
        <f>=HYPERLINK("https://mp39851918.megaplan.ua/deals/114607/card/","19503")</f>
      </c>
      <c r="B4892" s="3" t="inlineStr">
        <is>
          <t>112-7995042-8734662</t>
        </is>
      </c>
      <c r="C4892" s="3" t="inlineStr">
        <is>
          <t>TuckerRocky</t>
        </is>
      </c>
    </row>
    <row collapsed="false" customFormat="false" customHeight="false" hidden="false" ht="12.1" outlineLevel="0" r="4893">
      <c r="A4893" s="3" t="s">
        <f>=HYPERLINK("https://mp39851918.megaplan.ua/deals/114619/card/","19504")</f>
      </c>
      <c r="B4893" s="3" t="inlineStr">
        <is>
          <t>112-2422634-4305815</t>
        </is>
      </c>
      <c r="C4893" s="3" t="inlineStr">
        <is>
          <t>TuckerRocky</t>
        </is>
      </c>
    </row>
    <row collapsed="false" customFormat="false" customHeight="false" hidden="false" ht="12.1" outlineLevel="0" r="4894">
      <c r="A4894" s="3" t="s">
        <f>=HYPERLINK("https://mp39851918.megaplan.ua/deals/114622/card/","19505")</f>
      </c>
      <c r="B4894" s="3" t="inlineStr">
        <is>
          <t>113-6839184-2648239</t>
        </is>
      </c>
      <c r="C4894" s="3" t="inlineStr">
        <is>
          <t>TuckerRocky</t>
        </is>
      </c>
    </row>
    <row collapsed="false" customFormat="false" customHeight="false" hidden="false" ht="12.1" outlineLevel="0" r="4895">
      <c r="A4895" s="3" t="s">
        <f>=HYPERLINK("https://mp39851918.megaplan.ua/deals/114628/card/","19506")</f>
      </c>
      <c r="B4895" s="3" t="inlineStr">
        <is>
          <t>113-9284249-0329032</t>
        </is>
      </c>
      <c r="C4895" s="3" t="inlineStr">
        <is>
          <t>RockyMountain</t>
        </is>
      </c>
    </row>
    <row collapsed="false" customFormat="false" customHeight="false" hidden="false" ht="12.1" outlineLevel="0" r="4896">
      <c r="A4896" s="3" t="s">
        <f>=HYPERLINK("https://mp39851918.megaplan.ua/deals/114633/card/","19507")</f>
      </c>
      <c r="B4896" s="3" t="inlineStr">
        <is>
          <t>112-9766861-1929805</t>
        </is>
      </c>
      <c r="C4896" s="3" t="inlineStr">
        <is>
          <t>PartsUnlimited</t>
        </is>
      </c>
    </row>
    <row collapsed="false" customFormat="false" customHeight="false" hidden="false" ht="12.1" outlineLevel="0" r="4897">
      <c r="A4897" s="3" t="s">
        <f>=HYPERLINK("https://mp39851918.megaplan.ua/deals/114635/card/","19508")</f>
      </c>
      <c r="B4897" s="3" t="inlineStr">
        <is>
          <t>112-8953108-6561004</t>
        </is>
      </c>
      <c r="C4897" s="3" t="inlineStr">
        <is>
          <t>TuckerRocky</t>
        </is>
      </c>
    </row>
    <row collapsed="false" customFormat="false" customHeight="false" hidden="false" ht="12.1" outlineLevel="0" r="4898">
      <c r="A4898" s="3" t="s">
        <f>=HYPERLINK("https://mp39851918.megaplan.ua/deals/114641/card/","19509")</f>
      </c>
      <c r="B4898" s="3" t="inlineStr">
        <is>
          <t>112-7299995-0861018</t>
        </is>
      </c>
      <c r="C4898" s="3" t="inlineStr">
        <is>
          <t>RockyMountain</t>
        </is>
      </c>
    </row>
    <row collapsed="false" customFormat="false" customHeight="false" hidden="false" ht="12.1" outlineLevel="0" r="4899">
      <c r="A4899" s="3" t="s">
        <f>=HYPERLINK("https://mp39851918.megaplan.ua/deals/114661/card/","19510")</f>
      </c>
      <c r="B4899" s="3" t="inlineStr">
        <is>
          <t>111-0764234-4877059</t>
        </is>
      </c>
      <c r="C4899" s="3" t="inlineStr">
        <is>
          <t>other</t>
        </is>
      </c>
    </row>
    <row collapsed="false" customFormat="false" customHeight="false" hidden="false" ht="12.1" outlineLevel="0" r="4900">
      <c r="A4900" s="3" t="s">
        <f>=HYPERLINK("https://mp39851918.megaplan.ua/deals/114666/card/","19511")</f>
      </c>
      <c r="B4900" s="3" t="inlineStr">
        <is>
          <t>111-8678191-2113854</t>
        </is>
      </c>
      <c r="C4900" s="3" t="inlineStr">
        <is>
          <t>other</t>
        </is>
      </c>
    </row>
    <row collapsed="false" customFormat="false" customHeight="false" hidden="false" ht="12.1" outlineLevel="0" r="4901">
      <c r="A4901" s="3" t="s">
        <f>=HYPERLINK("https://mp39851918.megaplan.ua/deals/114670/card/","19512")</f>
      </c>
      <c r="B4901" s="3" t="inlineStr">
        <is>
          <t>111-6628696-6481027</t>
        </is>
      </c>
      <c r="C4901" s="3" t="inlineStr">
        <is>
          <t>TuckerRocky</t>
        </is>
      </c>
    </row>
    <row collapsed="false" customFormat="false" customHeight="false" hidden="false" ht="12.1" outlineLevel="0" r="4902">
      <c r="A4902" s="3" t="s">
        <f>=HYPERLINK("https://mp39851918.megaplan.ua/deals/114697/card/","19514")</f>
      </c>
      <c r="B4902" s="3" t="inlineStr">
        <is>
          <t>114-7253363-0027442</t>
        </is>
      </c>
      <c r="C4902" s="3" t="inlineStr">
        <is>
          <t>PartsUnlimited</t>
        </is>
      </c>
    </row>
    <row collapsed="false" customFormat="false" customHeight="false" hidden="false" ht="12.1" outlineLevel="0" r="4903">
      <c r="A4903" s="3" t="s">
        <f>=HYPERLINK("https://mp39851918.megaplan.ua/deals/114702/card/","19515")</f>
      </c>
      <c r="B4903" s="3" t="inlineStr">
        <is>
          <t>113-9156280-1793836</t>
        </is>
      </c>
      <c r="C4903" s="3" t="inlineStr">
        <is>
          <t>PartsUnlimited</t>
        </is>
      </c>
    </row>
    <row collapsed="false" customFormat="false" customHeight="false" hidden="false" ht="12.1" outlineLevel="0" r="4904">
      <c r="A4904" s="3" t="s">
        <f>=HYPERLINK("https://mp39851918.megaplan.ua/deals/114708/card/","19516")</f>
      </c>
      <c r="B4904" s="3" t="inlineStr">
        <is>
          <t>114-0397591-7729002</t>
        </is>
      </c>
      <c r="C4904" s="3" t="inlineStr">
        <is>
          <t>RockyMountain</t>
        </is>
      </c>
    </row>
    <row collapsed="false" customFormat="false" customHeight="false" hidden="false" ht="12.1" outlineLevel="0" r="4905">
      <c r="A4905" s="3" t="s">
        <f>=HYPERLINK("https://mp39851918.megaplan.ua/deals/114714/card/","19517")</f>
      </c>
      <c r="B4905" s="3" t="inlineStr">
        <is>
          <t>112-7334559-9038609</t>
        </is>
      </c>
      <c r="C4905" s="3" t="inlineStr">
        <is>
          <t>TuckerRocky</t>
        </is>
      </c>
    </row>
    <row collapsed="false" customFormat="false" customHeight="false" hidden="false" ht="12.1" outlineLevel="0" r="4906">
      <c r="A4906" s="3" t="s">
        <f>=HYPERLINK("https://mp39851918.megaplan.ua/deals/114715/card/","19518")</f>
      </c>
      <c r="B4906" s="3" t="inlineStr">
        <is>
          <t>113-3494680-6108267</t>
        </is>
      </c>
      <c r="C4906" s="3" t="inlineStr">
        <is>
          <t>Autodist</t>
        </is>
      </c>
    </row>
    <row collapsed="false" customFormat="false" customHeight="false" hidden="false" ht="12.1" outlineLevel="0" r="4907">
      <c r="A4907" s="3" t="s">
        <f>=HYPERLINK("https://mp39851918.megaplan.ua/deals/114716/card/","19519")</f>
      </c>
      <c r="B4907" s="3" t="inlineStr">
        <is>
          <t>113-9092840-7261830</t>
        </is>
      </c>
      <c r="C4907" s="3" t="inlineStr">
        <is>
          <t>TuckerRocky</t>
        </is>
      </c>
    </row>
    <row collapsed="false" customFormat="false" customHeight="false" hidden="false" ht="12.1" outlineLevel="0" r="4908">
      <c r="A4908" s="3" t="s">
        <f>=HYPERLINK("https://mp39851918.megaplan.ua/deals/114734/card/","19520")</f>
      </c>
      <c r="B4908" s="3" t="inlineStr">
        <is>
          <t>112-4340036-1045012</t>
        </is>
      </c>
      <c r="C4908" s="3" t="inlineStr">
        <is>
          <t>Autodist</t>
        </is>
      </c>
    </row>
    <row collapsed="false" customFormat="false" customHeight="false" hidden="false" ht="12.1" outlineLevel="0" r="4909">
      <c r="A4909" s="3" t="s">
        <f>=HYPERLINK("https://mp39851918.megaplan.ua/deals/114746/card/","19521")</f>
      </c>
      <c r="B4909" s="3" t="inlineStr">
        <is>
          <t>113-5196805-4373846</t>
        </is>
      </c>
      <c r="C4909" s="3" t="inlineStr">
        <is>
          <t>RockyMountain</t>
        </is>
      </c>
    </row>
    <row collapsed="false" customFormat="false" customHeight="false" hidden="false" ht="12.1" outlineLevel="0" r="4910">
      <c r="A4910" s="3" t="s">
        <f>=HYPERLINK("https://mp39851918.megaplan.ua/deals/114755/card/","19522")</f>
      </c>
      <c r="B4910" s="3" t="inlineStr">
        <is>
          <t>113-1951455-3600244</t>
        </is>
      </c>
      <c r="C4910" s="3" t="inlineStr">
        <is>
          <t>TuckerRocky</t>
        </is>
      </c>
    </row>
    <row collapsed="false" customFormat="false" customHeight="false" hidden="false" ht="12.1" outlineLevel="0" r="4911">
      <c r="A4911" s="3" t="s">
        <f>=HYPERLINK("https://mp39851918.megaplan.ua/deals/114759/card/","19523")</f>
      </c>
      <c r="B4911" s="3" t="inlineStr">
        <is>
          <t>113-3418601-3367420</t>
        </is>
      </c>
      <c r="C4911" s="3" t="inlineStr">
        <is>
          <t>RockyMountain</t>
        </is>
      </c>
    </row>
    <row collapsed="false" customFormat="false" customHeight="false" hidden="false" ht="12.1" outlineLevel="0" r="4912">
      <c r="A4912" s="3" t="s">
        <f>=HYPERLINK("https://mp39851918.megaplan.ua/deals/114760/card/","19524")</f>
      </c>
      <c r="B4912" s="3" t="inlineStr">
        <is>
          <t>113-4847670-7512253</t>
        </is>
      </c>
      <c r="C4912" s="3" t="inlineStr">
        <is>
          <t>Autodist</t>
        </is>
      </c>
    </row>
    <row collapsed="false" customFormat="false" customHeight="false" hidden="false" ht="12.1" outlineLevel="0" r="4913">
      <c r="A4913" s="3" t="s">
        <f>=HYPERLINK("https://mp39851918.megaplan.ua/deals/114771/card/","19527")</f>
      </c>
      <c r="B4913" s="3" t="inlineStr">
        <is>
          <t>113-8297859-7228249</t>
        </is>
      </c>
      <c r="C4913" s="3" t="inlineStr">
        <is>
          <t>Autodist</t>
        </is>
      </c>
    </row>
    <row collapsed="false" customFormat="false" customHeight="false" hidden="false" ht="12.1" outlineLevel="0" r="4914">
      <c r="A4914" s="3" t="s">
        <f>=HYPERLINK("https://mp39851918.megaplan.ua/deals/114774/card/","19528")</f>
      </c>
      <c r="B4914" s="3" t="inlineStr">
        <is>
          <t>112-8739194-7142609</t>
        </is>
      </c>
      <c r="C4914" s="3" t="inlineStr">
        <is>
          <t>RockyMountain</t>
        </is>
      </c>
    </row>
    <row collapsed="false" customFormat="false" customHeight="false" hidden="false" ht="12.1" outlineLevel="0" r="4915">
      <c r="A4915" s="3" t="s">
        <f>=HYPERLINK("https://mp39851918.megaplan.ua/deals/114786/card/","19530")</f>
      </c>
      <c r="B4915" s="3" t="inlineStr">
        <is>
          <t>112-3060870-1793861</t>
        </is>
      </c>
      <c r="C4915" s="3" t="inlineStr">
        <is>
          <t>TuckerRocky</t>
        </is>
      </c>
    </row>
    <row collapsed="false" customFormat="false" customHeight="false" hidden="false" ht="12.1" outlineLevel="0" r="4916">
      <c r="A4916" s="3" t="s">
        <f>=HYPERLINK("https://mp39851918.megaplan.ua/deals/114789/card/","19531")</f>
      </c>
      <c r="B4916" s="3" t="inlineStr">
        <is>
          <t>114-3694157-5646627</t>
        </is>
      </c>
      <c r="C4916" s="3" t="inlineStr">
        <is>
          <t>RockyMountain</t>
        </is>
      </c>
    </row>
    <row collapsed="false" customFormat="false" customHeight="false" hidden="false" ht="12.1" outlineLevel="0" r="4917">
      <c r="A4917" s="3" t="s">
        <f>=HYPERLINK("https://mp39851918.megaplan.ua/deals/114791/card/","19532")</f>
      </c>
      <c r="B4917" s="3" t="inlineStr">
        <is>
          <t>113-9757323-3805037</t>
        </is>
      </c>
      <c r="C4917" s="3" t="inlineStr">
        <is>
          <t>Autodist</t>
        </is>
      </c>
    </row>
    <row collapsed="false" customFormat="false" customHeight="false" hidden="false" ht="12.1" outlineLevel="0" r="4918">
      <c r="A4918" s="3" t="s">
        <f>=HYPERLINK("https://mp39851918.megaplan.ua/deals/114792/card/","19533")</f>
      </c>
      <c r="B4918" s="3" t="inlineStr">
        <is>
          <t>113-5263265-6587464</t>
        </is>
      </c>
      <c r="C4918" s="3" t="inlineStr">
        <is>
          <t>RockyMountain</t>
        </is>
      </c>
    </row>
    <row collapsed="false" customFormat="false" customHeight="false" hidden="false" ht="12.1" outlineLevel="0" r="4919">
      <c r="A4919" s="3" t="s">
        <f>=HYPERLINK("https://mp39851918.megaplan.ua/deals/114798/card/","19536")</f>
      </c>
      <c r="B4919" s="3" t="inlineStr">
        <is>
          <t>114-0258164-5784211</t>
        </is>
      </c>
      <c r="C4919" s="3" t="inlineStr">
        <is>
          <t>RockyMountain</t>
        </is>
      </c>
    </row>
    <row collapsed="false" customFormat="false" customHeight="false" hidden="false" ht="12.1" outlineLevel="0" r="4920">
      <c r="A4920" s="3" t="s">
        <f>=HYPERLINK("https://mp39851918.megaplan.ua/deals/114799/card/","19537")</f>
      </c>
      <c r="B4920" s="3" t="inlineStr">
        <is>
          <t>113-0967942-9673043</t>
        </is>
      </c>
      <c r="C4920" s="3" t="inlineStr">
        <is>
          <t>Autodist</t>
        </is>
      </c>
    </row>
    <row collapsed="false" customFormat="false" customHeight="false" hidden="false" ht="12.1" outlineLevel="0" r="4921">
      <c r="A4921" s="3" t="s">
        <f>=HYPERLINK("https://mp39851918.megaplan.ua/deals/114800/card/","19538")</f>
      </c>
      <c r="B4921" s="3" t="inlineStr">
        <is>
          <t>114-8641014-3063425</t>
        </is>
      </c>
      <c r="C4921" s="3" t="inlineStr">
        <is>
          <t>RockyMountain</t>
        </is>
      </c>
    </row>
    <row collapsed="false" customFormat="false" customHeight="false" hidden="false" ht="12.1" outlineLevel="0" r="4922">
      <c r="A4922" s="3" t="s">
        <f>=HYPERLINK("https://mp39851918.megaplan.ua/deals/114819/card/","19539")</f>
      </c>
      <c r="B4922" s="3" t="inlineStr">
        <is>
          <t>111-1650347-3533049</t>
        </is>
      </c>
      <c r="C4922" s="3" t="inlineStr">
        <is>
          <t>RockyMountain</t>
        </is>
      </c>
    </row>
    <row collapsed="false" customFormat="false" customHeight="false" hidden="false" ht="12.1" outlineLevel="0" r="4923">
      <c r="A4923" s="3" t="s">
        <f>=HYPERLINK("https://mp39851918.megaplan.ua/deals/114821/card/","19541")</f>
      </c>
      <c r="B4923" s="3" t="inlineStr">
        <is>
          <t>112-2067098-9233860</t>
        </is>
      </c>
      <c r="C4923" s="3" t="inlineStr">
        <is>
          <t>TuckerRocky</t>
        </is>
      </c>
    </row>
    <row collapsed="false" customFormat="false" customHeight="false" hidden="false" ht="12.1" outlineLevel="0" r="4924">
      <c r="A4924" s="3" t="s">
        <f>=HYPERLINK("https://mp39851918.megaplan.ua/deals/114837/card/","19543")</f>
      </c>
      <c r="B4924" s="3" t="inlineStr">
        <is>
          <t>112-9035375-4180217</t>
        </is>
      </c>
      <c r="C4924" s="3" t="inlineStr">
        <is>
          <t>RockyMountain</t>
        </is>
      </c>
    </row>
    <row collapsed="false" customFormat="false" customHeight="false" hidden="false" ht="12.1" outlineLevel="0" r="4925">
      <c r="A4925" s="3" t="s">
        <f>=HYPERLINK("https://mp39851918.megaplan.ua/deals/114848/card/","19544")</f>
      </c>
      <c r="B4925" s="3" t="inlineStr">
        <is>
          <t>113-5750857-9751456</t>
        </is>
      </c>
      <c r="C4925" s="3" t="inlineStr">
        <is>
          <t>RockyMountain</t>
        </is>
      </c>
    </row>
    <row collapsed="false" customFormat="false" customHeight="false" hidden="false" ht="12.1" outlineLevel="0" r="4926">
      <c r="A4926" s="3" t="s">
        <f>=HYPERLINK("https://mp39851918.megaplan.ua/deals/114861/card/","19545")</f>
      </c>
      <c r="B4926" s="3" t="inlineStr">
        <is>
          <t>112-0735237-4051457</t>
        </is>
      </c>
      <c r="C4926" s="3" t="inlineStr">
        <is>
          <t>Autodist</t>
        </is>
      </c>
    </row>
    <row collapsed="false" customFormat="false" customHeight="false" hidden="false" ht="12.1" outlineLevel="0" r="4927">
      <c r="A4927" s="3" t="s">
        <f>=HYPERLINK("https://mp39851918.megaplan.ua/deals/114866/card/","19546")</f>
      </c>
      <c r="B4927" s="3" t="inlineStr">
        <is>
          <t>114-5475819-2485852</t>
        </is>
      </c>
      <c r="C4927" s="3" t="inlineStr">
        <is>
          <t>TuckerRocky</t>
        </is>
      </c>
    </row>
    <row collapsed="false" customFormat="false" customHeight="false" hidden="false" ht="12.1" outlineLevel="0" r="4928">
      <c r="A4928" s="3" t="s">
        <f>=HYPERLINK("https://mp39851918.megaplan.ua/deals/114872/card/","19547")</f>
      </c>
      <c r="B4928" s="3" t="inlineStr">
        <is>
          <t>112-1704236-4652212</t>
        </is>
      </c>
      <c r="C4928" s="3" t="inlineStr">
        <is>
          <t>Autodist</t>
        </is>
      </c>
    </row>
    <row collapsed="false" customFormat="false" customHeight="false" hidden="false" ht="12.1" outlineLevel="0" r="4929">
      <c r="A4929" s="3" t="s">
        <f>=HYPERLINK("https://mp39851918.megaplan.ua/deals/114890/card/","19548")</f>
      </c>
      <c r="B4929" s="3" t="inlineStr">
        <is>
          <t>113-7111843-6611464</t>
        </is>
      </c>
      <c r="C4929" s="3" t="inlineStr">
        <is>
          <t>Autodist</t>
        </is>
      </c>
    </row>
    <row collapsed="false" customFormat="false" customHeight="false" hidden="false" ht="12.1" outlineLevel="0" r="4930">
      <c r="A4930" s="3" t="s">
        <f>=HYPERLINK("https://mp39851918.megaplan.ua/deals/114891/card/","19549")</f>
      </c>
      <c r="B4930" s="3" t="inlineStr">
        <is>
          <t>113-1655237-1469044</t>
        </is>
      </c>
      <c r="C4930" s="3" t="inlineStr">
        <is>
          <t>TuckerRocky</t>
        </is>
      </c>
    </row>
    <row collapsed="false" customFormat="false" customHeight="false" hidden="false" ht="12.1" outlineLevel="0" r="4931">
      <c r="A4931" s="3" t="s">
        <f>=HYPERLINK("https://mp39851918.megaplan.ua/deals/114893/card/","19550")</f>
      </c>
      <c r="B4931" s="3" t="inlineStr">
        <is>
          <t>114-1939457-7937843</t>
        </is>
      </c>
      <c r="C4931" s="3" t="inlineStr">
        <is>
          <t>Autodist</t>
        </is>
      </c>
    </row>
    <row collapsed="false" customFormat="false" customHeight="false" hidden="false" ht="12.1" outlineLevel="0" r="4932">
      <c r="A4932" s="3" t="s">
        <f>=HYPERLINK("https://mp39851918.megaplan.ua/deals/114897/card/","19552")</f>
      </c>
      <c r="B4932" s="3" t="inlineStr">
        <is>
          <t>112-1984060-9284206</t>
        </is>
      </c>
      <c r="C4932" s="3" t="inlineStr">
        <is>
          <t>PartsUnlimited</t>
        </is>
      </c>
    </row>
    <row collapsed="false" customFormat="false" customHeight="false" hidden="false" ht="12.1" outlineLevel="0" r="4933">
      <c r="A4933" s="3" t="s">
        <f>=HYPERLINK("https://mp39851918.megaplan.ua/deals/114944/card/","19554")</f>
      </c>
      <c r="B4933" s="3" t="inlineStr">
        <is>
          <t>113-0638491-1263442</t>
        </is>
      </c>
      <c r="C4933" s="3" t="inlineStr">
        <is>
          <t>TuckerRocky</t>
        </is>
      </c>
    </row>
    <row collapsed="false" customFormat="false" customHeight="false" hidden="false" ht="12.1" outlineLevel="0" r="4934">
      <c r="A4934" s="3" t="s">
        <f>=HYPERLINK("https://mp39851918.megaplan.ua/deals/114957/card/","19555")</f>
      </c>
      <c r="B4934" s="3" t="inlineStr">
        <is>
          <t>112-1158680-1683425</t>
        </is>
      </c>
      <c r="C4934" s="3" t="inlineStr">
        <is>
          <t>TuckerRocky</t>
        </is>
      </c>
    </row>
    <row collapsed="false" customFormat="false" customHeight="false" hidden="false" ht="12.1" outlineLevel="0" r="4935">
      <c r="A4935" s="3" t="s">
        <f>=HYPERLINK("https://mp39851918.megaplan.ua/deals/114965/card/","19556")</f>
      </c>
      <c r="B4935" s="3" t="inlineStr">
        <is>
          <t>112-8988646-6569017</t>
        </is>
      </c>
      <c r="C4935" s="3" t="inlineStr">
        <is>
          <t>RockyMountain</t>
        </is>
      </c>
    </row>
    <row collapsed="false" customFormat="false" customHeight="false" hidden="false" ht="12.1" outlineLevel="0" r="4936">
      <c r="A4936" s="3" t="s">
        <f>=HYPERLINK("https://mp39851918.megaplan.ua/deals/114977/card/","19557")</f>
      </c>
      <c r="B4936" s="3" t="inlineStr">
        <is>
          <t>113-1986126-6475413</t>
        </is>
      </c>
      <c r="C4936" s="3" t="inlineStr">
        <is>
          <t>RockyMountain</t>
        </is>
      </c>
    </row>
    <row collapsed="false" customFormat="false" customHeight="false" hidden="false" ht="12.1" outlineLevel="0" r="4937">
      <c r="A4937" s="3" t="s">
        <f>=HYPERLINK("https://mp39851918.megaplan.ua/deals/114978/card/","19558")</f>
      </c>
      <c r="B4937" s="3" t="inlineStr">
        <is>
          <t>111-7268620-5765039</t>
        </is>
      </c>
      <c r="C4937" s="3" t="inlineStr">
        <is>
          <t>TuckerRocky</t>
        </is>
      </c>
    </row>
    <row collapsed="false" customFormat="false" customHeight="false" hidden="false" ht="12.1" outlineLevel="0" r="4938">
      <c r="A4938" s="3" t="s">
        <f>=HYPERLINK("https://mp39851918.megaplan.ua/deals/114982/card/","19559")</f>
      </c>
      <c r="B4938" s="3" t="inlineStr">
        <is>
          <t>111-7902682-9483443</t>
        </is>
      </c>
      <c r="C4938" s="3" t="inlineStr">
        <is>
          <t>PartsUnlimited</t>
        </is>
      </c>
    </row>
    <row collapsed="false" customFormat="false" customHeight="false" hidden="false" ht="12.1" outlineLevel="0" r="4939">
      <c r="A4939" s="3" t="s">
        <f>=HYPERLINK("https://mp39851918.megaplan.ua/deals/115006/card/","19560")</f>
      </c>
      <c r="B4939" s="3" t="inlineStr">
        <is>
          <t>114-9587401-7002632</t>
        </is>
      </c>
      <c r="C4939" s="3" t="inlineStr">
        <is>
          <t>TuckerRocky</t>
        </is>
      </c>
    </row>
    <row collapsed="false" customFormat="false" customHeight="false" hidden="false" ht="12.1" outlineLevel="0" r="4940">
      <c r="A4940" s="3" t="s">
        <f>=HYPERLINK("https://mp39851918.megaplan.ua/deals/115013/card/","19561")</f>
      </c>
      <c r="B4940" s="3" t="inlineStr">
        <is>
          <t>112-1669435-3257808</t>
        </is>
      </c>
      <c r="C4940" s="3" t="inlineStr">
        <is>
          <t>Autodist</t>
        </is>
      </c>
    </row>
    <row collapsed="false" customFormat="false" customHeight="false" hidden="false" ht="12.1" outlineLevel="0" r="4941">
      <c r="A4941" s="3" t="s">
        <f>=HYPERLINK("https://mp39851918.megaplan.ua/deals/115022/card/","19562")</f>
      </c>
      <c r="B4941" s="3" t="inlineStr">
        <is>
          <t>111-2404322-7849006</t>
        </is>
      </c>
      <c r="C4941" s="3" t="inlineStr">
        <is>
          <t>Autodist</t>
        </is>
      </c>
    </row>
    <row collapsed="false" customFormat="false" customHeight="false" hidden="false" ht="12.1" outlineLevel="0" r="4942">
      <c r="A4942" s="3" t="s">
        <f>=HYPERLINK("https://mp39851918.megaplan.ua/deals/115042/card/","19563")</f>
      </c>
      <c r="B4942" s="3" t="inlineStr">
        <is>
          <t>111-1584536-8523450</t>
        </is>
      </c>
      <c r="C4942" s="3" t="inlineStr">
        <is>
          <t>RockyMountain</t>
        </is>
      </c>
    </row>
    <row collapsed="false" customFormat="false" customHeight="false" hidden="false" ht="12.1" outlineLevel="0" r="4943">
      <c r="A4943" s="3" t="s">
        <f>=HYPERLINK("https://mp39851918.megaplan.ua/deals/115064/card/","19564")</f>
      </c>
      <c r="B4943" s="3" t="inlineStr">
        <is>
          <t>114-8325973-0394655</t>
        </is>
      </c>
      <c r="C4943" s="3" t="inlineStr">
        <is>
          <t>RockyMountain</t>
        </is>
      </c>
    </row>
    <row collapsed="false" customFormat="false" customHeight="false" hidden="false" ht="12.1" outlineLevel="0" r="4944">
      <c r="A4944" s="3" t="s">
        <f>=HYPERLINK("https://mp39851918.megaplan.ua/deals/115070/card/","19565")</f>
      </c>
      <c r="B4944" s="3" t="inlineStr">
        <is>
          <t>111-3321907-2326611</t>
        </is>
      </c>
      <c r="C4944" s="3" t="inlineStr">
        <is>
          <t>RockyMountain</t>
        </is>
      </c>
    </row>
    <row collapsed="false" customFormat="false" customHeight="false" hidden="false" ht="12.1" outlineLevel="0" r="4945">
      <c r="A4945" s="3" t="s">
        <f>=HYPERLINK("https://mp39851918.megaplan.ua/deals/115072/card/","19566")</f>
      </c>
      <c r="B4945" s="3" t="inlineStr">
        <is>
          <t>113-8373650-0437825</t>
        </is>
      </c>
      <c r="C4945" s="3" t="inlineStr">
        <is>
          <t>TuckerRocky</t>
        </is>
      </c>
    </row>
    <row collapsed="false" customFormat="false" customHeight="false" hidden="false" ht="12.1" outlineLevel="0" r="4946">
      <c r="A4946" s="3" t="s">
        <f>=HYPERLINK("https://mp39851918.megaplan.ua/deals/115073/card/","19567")</f>
      </c>
      <c r="B4946" s="3" t="inlineStr">
        <is>
          <t>111-2222172-0163460</t>
        </is>
      </c>
      <c r="C4946" s="3" t="inlineStr">
        <is>
          <t>RockyMountain</t>
        </is>
      </c>
    </row>
    <row collapsed="false" customFormat="false" customHeight="false" hidden="false" ht="12.1" outlineLevel="0" r="4947">
      <c r="A4947" s="3" t="s">
        <f>=HYPERLINK("https://mp39851918.megaplan.ua/deals/115074/card/","19568")</f>
      </c>
      <c r="B4947" s="3" t="inlineStr">
        <is>
          <t>111-7931232-3080215</t>
        </is>
      </c>
      <c r="C4947" s="3" t="inlineStr">
        <is>
          <t>Autodist</t>
        </is>
      </c>
    </row>
    <row collapsed="false" customFormat="false" customHeight="false" hidden="false" ht="12.1" outlineLevel="0" r="4948">
      <c r="A4948" s="3" t="s">
        <f>=HYPERLINK("https://mp39851918.megaplan.ua/deals/115084/card/","19569")</f>
      </c>
      <c r="B4948" s="3" t="inlineStr">
        <is>
          <t>111-5289722-7454651</t>
        </is>
      </c>
      <c r="C4948" s="3" t="inlineStr">
        <is>
          <t>PartsUnlimited</t>
        </is>
      </c>
    </row>
    <row collapsed="false" customFormat="false" customHeight="false" hidden="false" ht="12.1" outlineLevel="0" r="4949">
      <c r="A4949" s="3" t="s">
        <f>=HYPERLINK("https://mp39851918.megaplan.ua/deals/115085/card/","19570")</f>
      </c>
      <c r="B4949" s="3" t="inlineStr">
        <is>
          <t>111-3409708-7532269</t>
        </is>
      </c>
      <c r="C4949" s="3" t="inlineStr">
        <is>
          <t>TuckerRocky</t>
        </is>
      </c>
    </row>
    <row collapsed="false" customFormat="false" customHeight="false" hidden="false" ht="12.1" outlineLevel="0" r="4950">
      <c r="A4950" s="3" t="s">
        <f>=HYPERLINK("https://mp39851918.megaplan.ua/deals/115086/card/","19571")</f>
      </c>
      <c r="B4950" s="3" t="inlineStr">
        <is>
          <t>114-8285938-2092214</t>
        </is>
      </c>
      <c r="C4950" s="3" t="inlineStr">
        <is>
          <t>TuckerRocky</t>
        </is>
      </c>
    </row>
    <row collapsed="false" customFormat="false" customHeight="false" hidden="false" ht="12.1" outlineLevel="0" r="4951">
      <c r="A4951" s="3" t="s">
        <f>=HYPERLINK("https://mp39851918.megaplan.ua/deals/115087/card/","19572")</f>
      </c>
      <c r="B4951" s="3" t="inlineStr">
        <is>
          <t>113-6537397-1844252</t>
        </is>
      </c>
      <c r="C4951" s="3" t="inlineStr">
        <is>
          <t>TuckerRocky</t>
        </is>
      </c>
    </row>
    <row collapsed="false" customFormat="false" customHeight="false" hidden="false" ht="12.1" outlineLevel="0" r="4952">
      <c r="A4952" s="3" t="s">
        <f>=HYPERLINK("https://mp39851918.megaplan.ua/deals/115095/card/","19573")</f>
      </c>
      <c r="B4952" s="3" t="inlineStr">
        <is>
          <t>111-6480205-0580269</t>
        </is>
      </c>
      <c r="C4952" s="3" t="inlineStr">
        <is>
          <t>TuckerRocky</t>
        </is>
      </c>
    </row>
    <row collapsed="false" customFormat="false" customHeight="false" hidden="false" ht="12.1" outlineLevel="0" r="4953">
      <c r="A4953" s="3" t="s">
        <f>=HYPERLINK("https://mp39851918.megaplan.ua/deals/115096/card/","19574")</f>
      </c>
      <c r="B4953" s="3" t="inlineStr">
        <is>
          <t>113-4884797-2489837</t>
        </is>
      </c>
      <c r="C4953" s="3" t="inlineStr">
        <is>
          <t>PartsUnlimited</t>
        </is>
      </c>
    </row>
    <row collapsed="false" customFormat="false" customHeight="false" hidden="false" ht="12.1" outlineLevel="0" r="4954">
      <c r="A4954" s="3" t="s">
        <f>=HYPERLINK("https://mp39851918.megaplan.ua/deals/115115/card/","19577")</f>
      </c>
      <c r="B4954" s="3" t="inlineStr">
        <is>
          <t>114-3558319-8573813</t>
        </is>
      </c>
      <c r="C4954" s="3" t="inlineStr">
        <is>
          <t>Autodist</t>
        </is>
      </c>
    </row>
    <row collapsed="false" customFormat="false" customHeight="false" hidden="false" ht="12.1" outlineLevel="0" r="4955">
      <c r="A4955" s="3" t="s">
        <f>=HYPERLINK("https://mp39851918.megaplan.ua/deals/115117/card/","19578")</f>
      </c>
      <c r="B4955" s="3" t="inlineStr">
        <is>
          <t>113-9942981-6967423</t>
        </is>
      </c>
      <c r="C4955" s="3" t="inlineStr">
        <is>
          <t>RockyMountain</t>
        </is>
      </c>
    </row>
    <row collapsed="false" customFormat="false" customHeight="false" hidden="false" ht="12.1" outlineLevel="0" r="4956">
      <c r="A4956" s="3" t="s">
        <f>=HYPERLINK("https://mp39851918.megaplan.ua/deals/115119/card/","19580")</f>
      </c>
      <c r="B4956" s="3" t="inlineStr">
        <is>
          <t>112-7007588-4638622</t>
        </is>
      </c>
      <c r="C4956" s="3" t="inlineStr">
        <is>
          <t>RockyMountain</t>
        </is>
      </c>
    </row>
    <row collapsed="false" customFormat="false" customHeight="false" hidden="false" ht="12.1" outlineLevel="0" r="4957">
      <c r="A4957" s="3" t="s">
        <f>=HYPERLINK("https://mp39851918.megaplan.ua/deals/115155/card/","19585")</f>
      </c>
      <c r="B4957" s="3" t="inlineStr">
        <is>
          <t>114-3083930-6806648</t>
        </is>
      </c>
      <c r="C4957" s="3" t="inlineStr">
        <is>
          <t>RockyMountain</t>
        </is>
      </c>
    </row>
    <row collapsed="false" customFormat="false" customHeight="false" hidden="false" ht="12.1" outlineLevel="0" r="4958">
      <c r="A4958" s="3" t="s">
        <f>=HYPERLINK("https://mp39851918.megaplan.ua/deals/115176/card/","19587")</f>
      </c>
      <c r="B4958" s="3" t="inlineStr">
        <is>
          <t>114-5886602-0387466</t>
        </is>
      </c>
      <c r="C4958" s="3" t="inlineStr">
        <is>
          <t>TuckerRocky</t>
        </is>
      </c>
    </row>
    <row collapsed="false" customFormat="false" customHeight="false" hidden="false" ht="12.1" outlineLevel="0" r="4959">
      <c r="A4959" s="3" t="s">
        <f>=HYPERLINK("https://mp39851918.megaplan.ua/deals/115184/card/","19588")</f>
      </c>
      <c r="B4959" s="3" t="inlineStr">
        <is>
          <t>114-8457505-8706646</t>
        </is>
      </c>
      <c r="C4959" s="3" t="inlineStr">
        <is>
          <t>RockyMountain</t>
        </is>
      </c>
    </row>
    <row collapsed="false" customFormat="false" customHeight="false" hidden="false" ht="12.1" outlineLevel="0" r="4960">
      <c r="A4960" s="3" t="s">
        <f>=HYPERLINK("https://mp39851918.megaplan.ua/deals/115191/card/","19589")</f>
      </c>
      <c r="B4960" s="3" t="inlineStr">
        <is>
          <t>113-7931173-3538627</t>
        </is>
      </c>
      <c r="C4960" s="3" t="inlineStr">
        <is>
          <t>Autodist</t>
        </is>
      </c>
    </row>
    <row collapsed="false" customFormat="false" customHeight="false" hidden="false" ht="12.1" outlineLevel="0" r="4961">
      <c r="A4961" s="3" t="s">
        <f>=HYPERLINK("https://mp39851918.megaplan.ua/deals/115213/card/","19591")</f>
      </c>
      <c r="B4961" s="3" t="inlineStr">
        <is>
          <t>114-1202610-8605812</t>
        </is>
      </c>
      <c r="C4961" s="3" t="inlineStr">
        <is>
          <t>RockyMountain</t>
        </is>
      </c>
    </row>
    <row collapsed="false" customFormat="false" customHeight="false" hidden="false" ht="12.1" outlineLevel="0" r="4962">
      <c r="A4962" s="3" t="s">
        <f>=HYPERLINK("https://mp39851918.megaplan.ua/deals/115233/card/","19592")</f>
      </c>
      <c r="B4962" s="3" t="inlineStr">
        <is>
          <t>112-4356863-3786633</t>
        </is>
      </c>
      <c r="C4962" s="3" t="inlineStr">
        <is>
          <t>Autodist</t>
        </is>
      </c>
    </row>
    <row collapsed="false" customFormat="false" customHeight="false" hidden="false" ht="12.1" outlineLevel="0" r="4963">
      <c r="A4963" s="3" t="s">
        <f>=HYPERLINK("https://mp39851918.megaplan.ua/deals/115245/card/","19593")</f>
      </c>
      <c r="B4963" s="3" t="inlineStr">
        <is>
          <t>113-2954607-2137003</t>
        </is>
      </c>
      <c r="C4963" s="3" t="inlineStr">
        <is>
          <t>TuckerRocky</t>
        </is>
      </c>
    </row>
    <row collapsed="false" customFormat="false" customHeight="false" hidden="false" ht="12.1" outlineLevel="0" r="4964">
      <c r="A4964" s="3" t="s">
        <f>=HYPERLINK("https://mp39851918.megaplan.ua/deals/115267/card/","19594")</f>
      </c>
      <c r="B4964" s="3" t="inlineStr">
        <is>
          <t>111-3420560-4955447</t>
        </is>
      </c>
      <c r="C4964" s="3" t="inlineStr">
        <is>
          <t>Autodist</t>
        </is>
      </c>
    </row>
    <row collapsed="false" customFormat="false" customHeight="false" hidden="false" ht="12.1" outlineLevel="0" r="4965">
      <c r="A4965" s="3" t="s">
        <f>=HYPERLINK("https://mp39851918.megaplan.ua/deals/115290/card/","19595")</f>
      </c>
      <c r="B4965" s="3" t="inlineStr">
        <is>
          <t>112-8080646-8866633</t>
        </is>
      </c>
      <c r="C4965" s="3" t="inlineStr">
        <is>
          <t>TuckerRocky</t>
        </is>
      </c>
    </row>
    <row collapsed="false" customFormat="false" customHeight="false" hidden="false" ht="12.1" outlineLevel="0" r="4966">
      <c r="A4966" s="3" t="s">
        <f>=HYPERLINK("https://mp39851918.megaplan.ua/deals/115328/card/","19596")</f>
      </c>
      <c r="B4966" s="3" t="inlineStr">
        <is>
          <t>114-7211993-5853825</t>
        </is>
      </c>
      <c r="C4966" s="3" t="inlineStr">
        <is>
          <t>TuckerRocky</t>
        </is>
      </c>
    </row>
    <row collapsed="false" customFormat="false" customHeight="false" hidden="false" ht="12.1" outlineLevel="0" r="4967">
      <c r="A4967" s="3" t="s">
        <f>=HYPERLINK("https://mp39851918.megaplan.ua/deals/115346/card/","19597")</f>
      </c>
      <c r="B4967" s="3" t="inlineStr">
        <is>
          <t>112-6367269-8048253</t>
        </is>
      </c>
      <c r="C4967" s="3" t="inlineStr">
        <is>
          <t>TuckerRocky</t>
        </is>
      </c>
    </row>
    <row collapsed="false" customFormat="false" customHeight="false" hidden="false" ht="12.1" outlineLevel="0" r="4968">
      <c r="A4968" s="3" t="s">
        <f>=HYPERLINK("https://mp39851918.megaplan.ua/deals/115361/card/","19598")</f>
      </c>
      <c r="B4968" s="3" t="inlineStr">
        <is>
          <t>112-4746075-6349855</t>
        </is>
      </c>
      <c r="C4968" s="3" t="inlineStr">
        <is>
          <t>PartsUnlimited</t>
        </is>
      </c>
    </row>
    <row collapsed="false" customFormat="false" customHeight="false" hidden="false" ht="12.1" outlineLevel="0" r="4969">
      <c r="A4969" s="3" t="s">
        <f>=HYPERLINK("https://mp39851918.megaplan.ua/deals/115418/card/","19599")</f>
      </c>
      <c r="B4969" s="3" t="inlineStr">
        <is>
          <t>114-7531745-4648257</t>
        </is>
      </c>
      <c r="C4969" s="3" t="inlineStr">
        <is>
          <t>Autodist</t>
        </is>
      </c>
    </row>
    <row collapsed="false" customFormat="false" customHeight="false" hidden="false" ht="12.1" outlineLevel="0" r="4970">
      <c r="A4970" s="3" t="s">
        <f>=HYPERLINK("https://mp39851918.megaplan.ua/deals/115421/card/","19600")</f>
      </c>
      <c r="B4970" s="3" t="inlineStr">
        <is>
          <t>113-2685790-9300216</t>
        </is>
      </c>
      <c r="C4970" s="3" t="inlineStr">
        <is>
          <t>Autodist</t>
        </is>
      </c>
    </row>
    <row collapsed="false" customFormat="false" customHeight="false" hidden="false" ht="12.1" outlineLevel="0" r="4971">
      <c r="A4971" s="3" t="s">
        <f>=HYPERLINK("https://mp39851918.megaplan.ua/deals/115439/card/","19602")</f>
      </c>
      <c r="B4971" s="3" t="inlineStr">
        <is>
          <t>114-5264940-7211443</t>
        </is>
      </c>
      <c r="C4971" s="3" t="inlineStr">
        <is>
          <t>TuckerRocky</t>
        </is>
      </c>
    </row>
    <row collapsed="false" customFormat="false" customHeight="false" hidden="false" ht="12.1" outlineLevel="0" r="4972">
      <c r="A4972" s="3" t="s">
        <f>=HYPERLINK("https://mp39851918.megaplan.ua/deals/115440/card/","19603")</f>
      </c>
      <c r="B4972" s="3" t="inlineStr">
        <is>
          <t>111-5544112-9553021</t>
        </is>
      </c>
      <c r="C4972" s="3" t="inlineStr">
        <is>
          <t>Autodist</t>
        </is>
      </c>
    </row>
    <row collapsed="false" customFormat="false" customHeight="false" hidden="false" ht="12.1" outlineLevel="0" r="4973">
      <c r="A4973" s="3" t="s">
        <f>=HYPERLINK("https://mp39851918.megaplan.ua/deals/115450/card/","19604")</f>
      </c>
      <c r="B4973" s="3" t="inlineStr">
        <is>
          <t>113-5549611-2660235</t>
        </is>
      </c>
      <c r="C4973" s="3" t="inlineStr">
        <is>
          <t>Autodist</t>
        </is>
      </c>
    </row>
    <row collapsed="false" customFormat="false" customHeight="false" hidden="false" ht="12.1" outlineLevel="0" r="4974">
      <c r="A4974" s="3" t="s">
        <f>=HYPERLINK("https://mp39851918.megaplan.ua/deals/115451/card/","19605")</f>
      </c>
      <c r="B4974" s="3" t="inlineStr">
        <is>
          <t>111-3391612-8516255</t>
        </is>
      </c>
      <c r="C4974" s="3" t="inlineStr">
        <is>
          <t>Autodist</t>
        </is>
      </c>
    </row>
    <row collapsed="false" customFormat="false" customHeight="false" hidden="false" ht="12.1" outlineLevel="0" r="4975">
      <c r="A4975" s="3" t="s">
        <f>=HYPERLINK("https://mp39851918.megaplan.ua/deals/115459/card/","19606")</f>
      </c>
      <c r="B4975" s="3" t="inlineStr">
        <is>
          <t>111-0056158-9737879</t>
        </is>
      </c>
      <c r="C4975" s="3" t="inlineStr">
        <is>
          <t>Autodist</t>
        </is>
      </c>
    </row>
    <row collapsed="false" customFormat="false" customHeight="false" hidden="false" ht="12.1" outlineLevel="0" r="4976">
      <c r="A4976" s="3" t="s">
        <f>=HYPERLINK("https://mp39851918.megaplan.ua/deals/115463/card/","19607")</f>
      </c>
      <c r="B4976" s="3" t="inlineStr">
        <is>
          <t>112-6081781-9858645</t>
        </is>
      </c>
      <c r="C4976" s="3" t="inlineStr">
        <is>
          <t>Autodist</t>
        </is>
      </c>
    </row>
    <row collapsed="false" customFormat="false" customHeight="false" hidden="false" ht="12.1" outlineLevel="0" r="4977">
      <c r="A4977" s="3" t="s">
        <f>=HYPERLINK("https://mp39851918.megaplan.ua/deals/115470/card/","19608")</f>
      </c>
      <c r="B4977" s="3" t="inlineStr">
        <is>
          <t>111-8348380-0008241</t>
        </is>
      </c>
      <c r="C4977" s="3" t="inlineStr">
        <is>
          <t>Autodist</t>
        </is>
      </c>
    </row>
    <row collapsed="false" customFormat="false" customHeight="false" hidden="false" ht="12.1" outlineLevel="0" r="4978">
      <c r="A4978" s="3" t="s">
        <f>=HYPERLINK("https://mp39851918.megaplan.ua/deals/115471/card/","19609")</f>
      </c>
      <c r="B4978" s="3" t="inlineStr">
        <is>
          <t>111-6444645-5705047</t>
        </is>
      </c>
      <c r="C4978" s="3" t="inlineStr">
        <is>
          <t>PartsUnlimited</t>
        </is>
      </c>
    </row>
    <row collapsed="false" customFormat="false" customHeight="false" hidden="false" ht="12.1" outlineLevel="0" r="4979">
      <c r="A4979" s="3" t="s">
        <f>=HYPERLINK("https://mp39851918.megaplan.ua/deals/115478/card/","19610")</f>
      </c>
      <c r="B4979" s="3" t="inlineStr">
        <is>
          <t>114-4672702-0320230</t>
        </is>
      </c>
      <c r="C4979" s="3" t="inlineStr">
        <is>
          <t>TuckerRocky</t>
        </is>
      </c>
    </row>
    <row collapsed="false" customFormat="false" customHeight="false" hidden="false" ht="12.1" outlineLevel="0" r="4980">
      <c r="A4980" s="3" t="s">
        <f>=HYPERLINK("https://mp39851918.megaplan.ua/deals/115483/card/","19611")</f>
      </c>
      <c r="B4980" s="3" t="inlineStr">
        <is>
          <t>111-9245247-4857841</t>
        </is>
      </c>
      <c r="C4980" s="3" t="inlineStr">
        <is>
          <t>Autodist</t>
        </is>
      </c>
    </row>
    <row collapsed="false" customFormat="false" customHeight="false" hidden="false" ht="12.1" outlineLevel="0" r="4981">
      <c r="A4981" s="3" t="s">
        <f>=HYPERLINK("https://mp39851918.megaplan.ua/deals/115484/card/","19612")</f>
      </c>
      <c r="B4981" s="3" t="inlineStr">
        <is>
          <t>112-0850918-1821025</t>
        </is>
      </c>
      <c r="C4981" s="3" t="inlineStr">
        <is>
          <t>PartsUnlimited</t>
        </is>
      </c>
    </row>
    <row collapsed="false" customFormat="false" customHeight="false" hidden="false" ht="12.1" outlineLevel="0" r="4982">
      <c r="A4982" s="3" t="s">
        <f>=HYPERLINK("https://mp39851918.megaplan.ua/deals/115485/card/","19613")</f>
      </c>
      <c r="B4982" s="3" t="inlineStr">
        <is>
          <t>113-0351842-4605855</t>
        </is>
      </c>
      <c r="C4982" s="3" t="inlineStr">
        <is>
          <t>Autodist</t>
        </is>
      </c>
    </row>
    <row collapsed="false" customFormat="false" customHeight="false" hidden="false" ht="12.1" outlineLevel="0" r="4983">
      <c r="A4983" s="3" t="s">
        <f>=HYPERLINK("https://mp39851918.megaplan.ua/deals/115490/card/","19614")</f>
      </c>
      <c r="B4983" s="3" t="inlineStr">
        <is>
          <t>113-5406154-0137820</t>
        </is>
      </c>
      <c r="C4983" s="3" t="inlineStr">
        <is>
          <t>PartsUnlimited</t>
        </is>
      </c>
    </row>
    <row collapsed="false" customFormat="false" customHeight="false" hidden="false" ht="12.1" outlineLevel="0" r="4984">
      <c r="A4984" s="3" t="s">
        <f>=HYPERLINK("https://mp39851918.megaplan.ua/deals/115491/card/","19615")</f>
      </c>
      <c r="B4984" s="3" t="inlineStr">
        <is>
          <t>111-0806707-3103458</t>
        </is>
      </c>
      <c r="C4984" s="3" t="inlineStr">
        <is>
          <t>PartsUnlimited</t>
        </is>
      </c>
    </row>
    <row collapsed="false" customFormat="false" customHeight="false" hidden="false" ht="12.1" outlineLevel="0" r="4985">
      <c r="A4985" s="3" t="s">
        <f>=HYPERLINK("https://mp39851918.megaplan.ua/deals/115494/card/","19616")</f>
      </c>
      <c r="B4985" s="3" t="inlineStr">
        <is>
          <t>113-9722554-3985010</t>
        </is>
      </c>
      <c r="C4985" s="3" t="inlineStr">
        <is>
          <t>TuckerRocky</t>
        </is>
      </c>
    </row>
    <row collapsed="false" customFormat="false" customHeight="false" hidden="false" ht="12.1" outlineLevel="0" r="4986">
      <c r="A4986" s="3" t="s">
        <f>=HYPERLINK("https://mp39851918.megaplan.ua/deals/115495/card/","19617")</f>
      </c>
      <c r="B4986" s="3" t="inlineStr">
        <is>
          <t>111-2505335-2957057</t>
        </is>
      </c>
      <c r="C4986" s="3" t="inlineStr">
        <is>
          <t>TuckerRocky</t>
        </is>
      </c>
    </row>
    <row collapsed="false" customFormat="false" customHeight="false" hidden="false" ht="12.1" outlineLevel="0" r="4987">
      <c r="A4987" s="3" t="s">
        <f>=HYPERLINK("https://mp39851918.megaplan.ua/deals/115496/card/","19618")</f>
      </c>
      <c r="B4987" s="3" t="inlineStr">
        <is>
          <t>113-3252159-3313024</t>
        </is>
      </c>
      <c r="C4987" s="3" t="inlineStr">
        <is>
          <t>TuckerRocky</t>
        </is>
      </c>
    </row>
    <row collapsed="false" customFormat="false" customHeight="false" hidden="false" ht="12.1" outlineLevel="0" r="4988">
      <c r="A4988" s="3" t="s">
        <f>=HYPERLINK("https://mp39851918.megaplan.ua/deals/115498/card/","19619")</f>
      </c>
      <c r="B4988" s="3" t="inlineStr">
        <is>
          <t>112-5630655-1367419</t>
        </is>
      </c>
      <c r="C4988" s="3" t="inlineStr">
        <is>
          <t>PartsUnlimited</t>
        </is>
      </c>
    </row>
    <row collapsed="false" customFormat="false" customHeight="false" hidden="false" ht="12.1" outlineLevel="0" r="4989">
      <c r="A4989" s="3" t="s">
        <f>=HYPERLINK("https://mp39851918.megaplan.ua/deals/115500/card/","19620")</f>
      </c>
      <c r="B4989" s="3" t="inlineStr">
        <is>
          <t>111-3497340-3309024</t>
        </is>
      </c>
      <c r="C4989" s="3" t="inlineStr">
        <is>
          <t>TuckerRocky</t>
        </is>
      </c>
    </row>
    <row collapsed="false" customFormat="false" customHeight="false" hidden="false" ht="12.1" outlineLevel="0" r="4990">
      <c r="A4990" s="3" t="s">
        <f>=HYPERLINK("https://mp39851918.megaplan.ua/deals/115502/card/","19621")</f>
      </c>
      <c r="B4990" s="3" t="inlineStr">
        <is>
          <t>114-4142133-6777869</t>
        </is>
      </c>
      <c r="C4990" s="3" t="inlineStr">
        <is>
          <t>RockyMountain</t>
        </is>
      </c>
    </row>
    <row collapsed="false" customFormat="false" customHeight="false" hidden="false" ht="12.1" outlineLevel="0" r="4991">
      <c r="A4991" s="3" t="s">
        <f>=HYPERLINK("https://mp39851918.megaplan.ua/deals/115503/card/","19622")</f>
      </c>
      <c r="B4991" s="3" t="inlineStr">
        <is>
          <t>114-5936151-8129008</t>
        </is>
      </c>
      <c r="C4991" s="3" t="inlineStr">
        <is>
          <t>PartsUnlimited</t>
        </is>
      </c>
    </row>
    <row collapsed="false" customFormat="false" customHeight="false" hidden="false" ht="12.1" outlineLevel="0" r="4992">
      <c r="A4992" s="3" t="s">
        <f>=HYPERLINK("https://mp39851918.megaplan.ua/deals/115504/card/","19623")</f>
      </c>
      <c r="B4992" s="3" t="inlineStr">
        <is>
          <t>111-0717258-4169805</t>
        </is>
      </c>
      <c r="C4992" s="3" t="inlineStr">
        <is>
          <t>Autodist</t>
        </is>
      </c>
    </row>
    <row collapsed="false" customFormat="false" customHeight="false" hidden="false" ht="12.1" outlineLevel="0" r="4993">
      <c r="A4993" s="3" t="s">
        <f>=HYPERLINK("https://mp39851918.megaplan.ua/deals/115537/card/","19630")</f>
      </c>
      <c r="B4993" s="3" t="inlineStr">
        <is>
          <t>113-2818427-8889011</t>
        </is>
      </c>
      <c r="C4993" s="3" t="inlineStr">
        <is>
          <t>PartsUnlimited</t>
        </is>
      </c>
    </row>
    <row collapsed="false" customFormat="false" customHeight="false" hidden="false" ht="12.1" outlineLevel="0" r="4994">
      <c r="A4994" s="3" t="s">
        <f>=HYPERLINK("https://mp39851918.megaplan.ua/deals/115551/card/","19632")</f>
      </c>
      <c r="B4994" s="3" t="inlineStr">
        <is>
          <t>113-0055178-3641843</t>
        </is>
      </c>
      <c r="C4994" s="3" t="inlineStr">
        <is>
          <t>RockyMountain</t>
        </is>
      </c>
    </row>
    <row collapsed="false" customFormat="false" customHeight="false" hidden="false" ht="12.1" outlineLevel="0" r="4995">
      <c r="A4995" s="3" t="s">
        <f>=HYPERLINK("https://mp39851918.megaplan.ua/deals/115552/card/","19633")</f>
      </c>
      <c r="B4995" s="3" t="inlineStr">
        <is>
          <t>111-4217596-8952257</t>
        </is>
      </c>
      <c r="C4995" s="3" t="inlineStr">
        <is>
          <t>Autodist</t>
        </is>
      </c>
    </row>
    <row collapsed="false" customFormat="false" customHeight="false" hidden="false" ht="12.1" outlineLevel="0" r="4996">
      <c r="A4996" s="3" t="s">
        <f>=HYPERLINK("https://mp39851918.megaplan.ua/deals/115562/card/","19634")</f>
      </c>
      <c r="B4996" s="3" t="inlineStr">
        <is>
          <t>113-8962963-4313063</t>
        </is>
      </c>
      <c r="C4996" s="3" t="inlineStr">
        <is>
          <t>PartsUnlimited</t>
        </is>
      </c>
    </row>
    <row collapsed="false" customFormat="false" customHeight="false" hidden="false" ht="12.1" outlineLevel="0" r="4997">
      <c r="A4997" s="3" t="s">
        <f>=HYPERLINK("https://mp39851918.megaplan.ua/deals/115564/card/","19635")</f>
      </c>
      <c r="B4997" s="3" t="inlineStr">
        <is>
          <t>114-1863461-2837026</t>
        </is>
      </c>
      <c r="C4997" s="3" t="inlineStr">
        <is>
          <t>RockyMountain</t>
        </is>
      </c>
    </row>
    <row collapsed="false" customFormat="false" customHeight="false" hidden="false" ht="12.1" outlineLevel="0" r="4998">
      <c r="A4998" s="3" t="s">
        <f>=HYPERLINK("https://mp39851918.megaplan.ua/deals/115566/card/","19636")</f>
      </c>
      <c r="B4998" s="3" t="inlineStr">
        <is>
          <t>111-7635000-0056252</t>
        </is>
      </c>
      <c r="C4998" s="3" t="inlineStr">
        <is>
          <t>TuckerRocky</t>
        </is>
      </c>
    </row>
    <row collapsed="false" customFormat="false" customHeight="false" hidden="false" ht="12.1" outlineLevel="0" r="4999">
      <c r="A4999" s="3" t="s">
        <f>=HYPERLINK("https://mp39851918.megaplan.ua/deals/115569/card/","19637")</f>
      </c>
      <c r="B4999" s="3" t="inlineStr">
        <is>
          <t>111-9451832-7591411</t>
        </is>
      </c>
      <c r="C4999" s="3" t="inlineStr">
        <is>
          <t>RockyMountain</t>
        </is>
      </c>
    </row>
    <row collapsed="false" customFormat="false" customHeight="false" hidden="false" ht="12.1" outlineLevel="0" r="5000">
      <c r="A5000" s="3" t="s">
        <f>=HYPERLINK("https://mp39851918.megaplan.ua/deals/115573/card/","19638")</f>
      </c>
      <c r="B5000" s="3" t="inlineStr">
        <is>
          <t>113-7670934-4265026</t>
        </is>
      </c>
      <c r="C5000" s="3" t="inlineStr">
        <is>
          <t>TuckerRocky</t>
        </is>
      </c>
    </row>
    <row collapsed="false" customFormat="false" customHeight="false" hidden="false" ht="12.1" outlineLevel="0" r="5001">
      <c r="A5001" s="3" t="s">
        <f>=HYPERLINK("https://mp39851918.megaplan.ua/deals/115576/card/","19640")</f>
      </c>
      <c r="B5001" s="3" t="inlineStr">
        <is>
          <t>114-4385335-3250655</t>
        </is>
      </c>
      <c r="C5001" s="3" t="inlineStr">
        <is>
          <t>Autodist</t>
        </is>
      </c>
    </row>
    <row collapsed="false" customFormat="false" customHeight="false" hidden="false" ht="12.1" outlineLevel="0" r="5002">
      <c r="A5002" s="3" t="s">
        <f>=HYPERLINK("https://mp39851918.megaplan.ua/deals/115579/card/","19641")</f>
      </c>
      <c r="B5002" s="3" t="inlineStr">
        <is>
          <t>114-6242905-8567418</t>
        </is>
      </c>
      <c r="C5002" s="3" t="inlineStr">
        <is>
          <t>RockyMountain</t>
        </is>
      </c>
    </row>
    <row collapsed="false" customFormat="false" customHeight="false" hidden="false" ht="12.1" outlineLevel="0" r="5003">
      <c r="A5003" s="3" t="s">
        <f>=HYPERLINK("https://mp39851918.megaplan.ua/deals/115583/card/","19642")</f>
      </c>
      <c r="B5003" s="3" t="inlineStr">
        <is>
          <t>113-4462277-8420212</t>
        </is>
      </c>
      <c r="C5003" s="3" t="inlineStr">
        <is>
          <t>RockyMountain</t>
        </is>
      </c>
    </row>
    <row collapsed="false" customFormat="false" customHeight="false" hidden="false" ht="12.1" outlineLevel="0" r="5004">
      <c r="A5004" s="3" t="s">
        <f>=HYPERLINK("https://mp39851918.megaplan.ua/deals/115588/card/","19643")</f>
      </c>
      <c r="B5004" s="3" t="inlineStr">
        <is>
          <t>113-9073740-1403445</t>
        </is>
      </c>
      <c r="C5004" s="3" t="inlineStr">
        <is>
          <t>Autodist</t>
        </is>
      </c>
    </row>
    <row collapsed="false" customFormat="false" customHeight="false" hidden="false" ht="12.1" outlineLevel="0" r="5005">
      <c r="A5005" s="3" t="s">
        <f>=HYPERLINK("https://mp39851918.megaplan.ua/deals/115593/card/","19644")</f>
      </c>
      <c r="B5005" s="3" t="inlineStr">
        <is>
          <t>111-1736009-9417833</t>
        </is>
      </c>
      <c r="C5005" s="3" t="inlineStr">
        <is>
          <t>Autodist</t>
        </is>
      </c>
    </row>
    <row collapsed="false" customFormat="false" customHeight="false" hidden="false" ht="12.1" outlineLevel="0" r="5006">
      <c r="A5006" s="3" t="s">
        <f>=HYPERLINK("https://mp39851918.megaplan.ua/deals/115619/card/","19645")</f>
      </c>
      <c r="B5006" s="3" t="inlineStr">
        <is>
          <t>111-8995822-9747414</t>
        </is>
      </c>
      <c r="C5006" s="3" t="inlineStr">
        <is>
          <t>TuckerRocky</t>
        </is>
      </c>
    </row>
    <row collapsed="false" customFormat="false" customHeight="false" hidden="false" ht="12.1" outlineLevel="0" r="5007">
      <c r="A5007" s="3" t="s">
        <f>=HYPERLINK("https://mp39851918.megaplan.ua/deals/115629/card/","19646")</f>
      </c>
      <c r="B5007" s="3" t="inlineStr">
        <is>
          <t>113-3253522-9821048</t>
        </is>
      </c>
      <c r="C5007" s="3" t="inlineStr">
        <is>
          <t>RockyMountain</t>
        </is>
      </c>
    </row>
    <row collapsed="false" customFormat="false" customHeight="false" hidden="false" ht="12.1" outlineLevel="0" r="5008">
      <c r="A5008" s="3" t="s">
        <f>=HYPERLINK("https://mp39851918.megaplan.ua/deals/115630/card/","19647")</f>
      </c>
      <c r="B5008" s="3" t="inlineStr">
        <is>
          <t>113-0728579-3657858</t>
        </is>
      </c>
      <c r="C5008" s="3" t="inlineStr">
        <is>
          <t>Autodist</t>
        </is>
      </c>
    </row>
    <row collapsed="false" customFormat="false" customHeight="false" hidden="false" ht="12.1" outlineLevel="0" r="5009">
      <c r="A5009" s="3" t="s">
        <f>=HYPERLINK("https://mp39851918.megaplan.ua/deals/115640/card/","19648")</f>
      </c>
      <c r="B5009" s="3" t="inlineStr">
        <is>
          <t>114-5952618-1758617</t>
        </is>
      </c>
      <c r="C5009" s="3" t="inlineStr">
        <is>
          <t>Autodist</t>
        </is>
      </c>
    </row>
    <row collapsed="false" customFormat="false" customHeight="false" hidden="false" ht="12.1" outlineLevel="0" r="5010">
      <c r="A5010" s="3" t="s">
        <f>=HYPERLINK("https://mp39851918.megaplan.ua/deals/115643/card/","19649")</f>
      </c>
      <c r="B5010" s="3" t="inlineStr">
        <is>
          <t>114-4854661-1914611</t>
        </is>
      </c>
      <c r="C5010" s="3" t="inlineStr">
        <is>
          <t>RockyMountain</t>
        </is>
      </c>
    </row>
    <row collapsed="false" customFormat="false" customHeight="false" hidden="false" ht="12.1" outlineLevel="0" r="5011">
      <c r="A5011" s="3" t="s">
        <f>=HYPERLINK("https://mp39851918.megaplan.ua/deals/115644/card/","19650")</f>
      </c>
      <c r="B5011" s="3" t="inlineStr">
        <is>
          <t>114-9531491-4557819</t>
        </is>
      </c>
      <c r="C5011" s="3" t="inlineStr">
        <is>
          <t>RockyMountain</t>
        </is>
      </c>
    </row>
    <row collapsed="false" customFormat="false" customHeight="false" hidden="false" ht="12.1" outlineLevel="0" r="5012">
      <c r="A5012" s="3" t="s">
        <f>=HYPERLINK("https://mp39851918.megaplan.ua/deals/115645/card/","19651")</f>
      </c>
      <c r="B5012" s="3" t="inlineStr">
        <is>
          <t>113-5229191-1800265</t>
        </is>
      </c>
      <c r="C5012" s="3" t="inlineStr">
        <is>
          <t>RockyMountain</t>
        </is>
      </c>
    </row>
    <row collapsed="false" customFormat="false" customHeight="false" hidden="false" ht="12.1" outlineLevel="0" r="5013">
      <c r="A5013" s="3" t="s">
        <f>=HYPERLINK("https://mp39851918.megaplan.ua/deals/115646/card/","19652")</f>
      </c>
      <c r="B5013" s="3" t="inlineStr">
        <is>
          <t>111-8694669-3151438</t>
        </is>
      </c>
      <c r="C5013" s="3" t="inlineStr">
        <is>
          <t>RockyMountain</t>
        </is>
      </c>
    </row>
    <row collapsed="false" customFormat="false" customHeight="false" hidden="false" ht="12.1" outlineLevel="0" r="5014">
      <c r="A5014" s="3" t="s">
        <f>=HYPERLINK("https://mp39851918.megaplan.ua/deals/115647/card/","19653")</f>
      </c>
      <c r="B5014" s="3" t="inlineStr">
        <is>
          <t>111-4449490-2021853</t>
        </is>
      </c>
      <c r="C5014" s="3" t="inlineStr">
        <is>
          <t>RockyMountain</t>
        </is>
      </c>
    </row>
    <row collapsed="false" customFormat="false" customHeight="false" hidden="false" ht="12.1" outlineLevel="0" r="5015">
      <c r="A5015" s="3" t="s">
        <f>=HYPERLINK("https://mp39851918.megaplan.ua/deals/115653/card/","19654")</f>
      </c>
      <c r="B5015" s="3" t="inlineStr">
        <is>
          <t>111-0844241-8990658</t>
        </is>
      </c>
      <c r="C5015" s="3" t="inlineStr">
        <is>
          <t>RockyMountain</t>
        </is>
      </c>
    </row>
    <row collapsed="false" customFormat="false" customHeight="false" hidden="false" ht="12.1" outlineLevel="0" r="5016">
      <c r="A5016" s="3" t="s">
        <f>=HYPERLINK("https://mp39851918.megaplan.ua/deals/115656/card/","19655")</f>
      </c>
      <c r="B5016" s="3" t="inlineStr">
        <is>
          <t>111-7623884-8593043</t>
        </is>
      </c>
      <c r="C5016" s="3" t="inlineStr">
        <is>
          <t>Autodist</t>
        </is>
      </c>
    </row>
    <row collapsed="false" customFormat="false" customHeight="false" hidden="false" ht="12.1" outlineLevel="0" r="5017">
      <c r="A5017" s="3" t="s">
        <f>=HYPERLINK("https://mp39851918.megaplan.ua/deals/115657/card/","19656")</f>
      </c>
      <c r="B5017" s="3" t="inlineStr">
        <is>
          <t>111-5249762-7545034</t>
        </is>
      </c>
      <c r="C5017" s="3" t="inlineStr">
        <is>
          <t>RockyMountain</t>
        </is>
      </c>
    </row>
    <row collapsed="false" customFormat="false" customHeight="false" hidden="false" ht="12.1" outlineLevel="0" r="5018">
      <c r="A5018" s="3" t="s">
        <f>=HYPERLINK("https://mp39851918.megaplan.ua/deals/115658/card/","19657")</f>
      </c>
      <c r="B5018" s="3" t="inlineStr">
        <is>
          <t>111-1068306-6355467</t>
        </is>
      </c>
      <c r="C5018" s="3" t="inlineStr">
        <is>
          <t>RockyMountain</t>
        </is>
      </c>
    </row>
    <row collapsed="false" customFormat="false" customHeight="false" hidden="false" ht="12.1" outlineLevel="0" r="5019">
      <c r="A5019" s="3" t="s">
        <f>=HYPERLINK("https://mp39851918.megaplan.ua/deals/115659/card/","19658")</f>
      </c>
      <c r="B5019" s="3" t="inlineStr">
        <is>
          <t>113-4547057-0437831</t>
        </is>
      </c>
      <c r="C5019" s="3" t="inlineStr">
        <is>
          <t>RockyMountain</t>
        </is>
      </c>
    </row>
    <row collapsed="false" customFormat="false" customHeight="false" hidden="false" ht="12.1" outlineLevel="0" r="5020">
      <c r="A5020" s="3" t="s">
        <f>=HYPERLINK("https://mp39851918.megaplan.ua/deals/115666/card/","19659")</f>
      </c>
      <c r="B5020" s="3" t="inlineStr">
        <is>
          <t>114-3989574-1844243</t>
        </is>
      </c>
      <c r="C5020" s="3" t="inlineStr">
        <is>
          <t>Autodist</t>
        </is>
      </c>
    </row>
    <row collapsed="false" customFormat="false" customHeight="false" hidden="false" ht="12.1" outlineLevel="0" r="5021">
      <c r="A5021" s="3" t="s">
        <f>=HYPERLINK("https://mp39851918.megaplan.ua/deals/115669/card/","19660")</f>
      </c>
      <c r="B5021" s="3" t="inlineStr">
        <is>
          <t>112-8140598-0318603</t>
        </is>
      </c>
      <c r="C5021" s="3" t="inlineStr">
        <is>
          <t>RockyMountain</t>
        </is>
      </c>
    </row>
    <row collapsed="false" customFormat="false" customHeight="false" hidden="false" ht="12.1" outlineLevel="0" r="5022">
      <c r="A5022" s="3" t="s">
        <f>=HYPERLINK("https://mp39851918.megaplan.ua/deals/115681/card/","19661")</f>
      </c>
      <c r="B5022" s="3" t="inlineStr">
        <is>
          <t>113-7520774-2658601</t>
        </is>
      </c>
      <c r="C5022" s="3" t="inlineStr">
        <is>
          <t>TuckerRocky</t>
        </is>
      </c>
    </row>
    <row collapsed="false" customFormat="false" customHeight="false" hidden="false" ht="12.1" outlineLevel="0" r="5023">
      <c r="A5023" s="3" t="s">
        <f>=HYPERLINK("https://mp39851918.megaplan.ua/deals/115685/card/","19662")</f>
      </c>
      <c r="B5023" s="3" t="inlineStr">
        <is>
          <t>112-7115268-0213060</t>
        </is>
      </c>
      <c r="C5023" s="3" t="inlineStr">
        <is>
          <t>Autodist</t>
        </is>
      </c>
    </row>
    <row collapsed="false" customFormat="false" customHeight="false" hidden="false" ht="12.1" outlineLevel="0" r="5024">
      <c r="A5024" s="3" t="s">
        <f>=HYPERLINK("https://mp39851918.megaplan.ua/deals/115686/card/","19663")</f>
      </c>
      <c r="B5024" s="3" t="inlineStr">
        <is>
          <t>112-7076476-1727451</t>
        </is>
      </c>
      <c r="C5024" s="3" t="inlineStr">
        <is>
          <t>PartsUnlimited</t>
        </is>
      </c>
    </row>
    <row collapsed="false" customFormat="false" customHeight="false" hidden="false" ht="12.1" outlineLevel="0" r="5025">
      <c r="A5025" s="3" t="s">
        <f>=HYPERLINK("https://mp39851918.megaplan.ua/deals/115688/card/","19664")</f>
      </c>
      <c r="B5025" s="3" t="inlineStr">
        <is>
          <t>112-0160387-2111419</t>
        </is>
      </c>
      <c r="C5025" s="3" t="inlineStr">
        <is>
          <t>RockyMountain</t>
        </is>
      </c>
    </row>
    <row collapsed="false" customFormat="false" customHeight="false" hidden="false" ht="12.1" outlineLevel="0" r="5026">
      <c r="A5026" s="3" t="s">
        <f>=HYPERLINK("https://mp39851918.megaplan.ua/deals/115701/card/","19668")</f>
      </c>
      <c r="B5026" s="3" t="inlineStr">
        <is>
          <t>112-5965237-9951458</t>
        </is>
      </c>
      <c r="C5026" s="3" t="inlineStr">
        <is>
          <t>RockyMountain</t>
        </is>
      </c>
    </row>
    <row collapsed="false" customFormat="false" customHeight="false" hidden="false" ht="12.1" outlineLevel="0" r="5027">
      <c r="A5027" s="3" t="s">
        <f>=HYPERLINK("https://mp39851918.megaplan.ua/deals/115706/card/","19669")</f>
      </c>
      <c r="B5027" s="3" t="inlineStr">
        <is>
          <t>114-0696927-5486636</t>
        </is>
      </c>
      <c r="C5027" s="3" t="inlineStr">
        <is>
          <t>RockyMountain</t>
        </is>
      </c>
    </row>
    <row collapsed="false" customFormat="false" customHeight="false" hidden="false" ht="12.1" outlineLevel="0" r="5028">
      <c r="A5028" s="3" t="s">
        <f>=HYPERLINK("https://mp39851918.megaplan.ua/deals/115707/card/","19670")</f>
      </c>
      <c r="B5028" s="3" t="inlineStr">
        <is>
          <t>114-9587938-0546640</t>
        </is>
      </c>
      <c r="C5028" s="3" t="inlineStr">
        <is>
          <t>TuckerRocky</t>
        </is>
      </c>
    </row>
    <row collapsed="false" customFormat="false" customHeight="false" hidden="false" ht="12.1" outlineLevel="0" r="5029">
      <c r="A5029" s="3" t="s">
        <f>=HYPERLINK("https://mp39851918.megaplan.ua/deals/115720/card/","19671")</f>
      </c>
      <c r="B5029" s="3" t="inlineStr">
        <is>
          <t>111-3388677-2220222</t>
        </is>
      </c>
      <c r="C5029" s="3" t="inlineStr">
        <is>
          <t>Autodist</t>
        </is>
      </c>
    </row>
    <row collapsed="false" customFormat="false" customHeight="false" hidden="false" ht="12.1" outlineLevel="0" r="5030">
      <c r="A5030" s="3" t="s">
        <f>=HYPERLINK("https://mp39851918.megaplan.ua/deals/115736/card/","19672")</f>
      </c>
      <c r="B5030" s="3" t="inlineStr">
        <is>
          <t>111-4365219-1369843</t>
        </is>
      </c>
      <c r="C5030" s="3" t="inlineStr">
        <is>
          <t>Autodist</t>
        </is>
      </c>
    </row>
    <row collapsed="false" customFormat="false" customHeight="false" hidden="false" ht="12.1" outlineLevel="0" r="5031">
      <c r="A5031" s="3" t="s">
        <f>=HYPERLINK("https://mp39851918.megaplan.ua/deals/115760/card/","19673")</f>
      </c>
      <c r="B5031" s="3" t="inlineStr">
        <is>
          <t>114-2447109-0529063</t>
        </is>
      </c>
      <c r="C5031" s="3" t="inlineStr">
        <is>
          <t>Autodist</t>
        </is>
      </c>
    </row>
    <row collapsed="false" customFormat="false" customHeight="false" hidden="false" ht="12.1" outlineLevel="0" r="5032">
      <c r="A5032" s="3" t="s">
        <f>=HYPERLINK("https://mp39851918.megaplan.ua/deals/115763/card/","19674")</f>
      </c>
      <c r="B5032" s="3" t="inlineStr">
        <is>
          <t>113-4790147-2784266</t>
        </is>
      </c>
      <c r="C5032" s="3" t="inlineStr">
        <is>
          <t>RockyMountain</t>
        </is>
      </c>
    </row>
    <row collapsed="false" customFormat="false" customHeight="false" hidden="false" ht="12.1" outlineLevel="0" r="5033">
      <c r="A5033" s="3" t="s">
        <f>=HYPERLINK("https://mp39851918.megaplan.ua/deals/115764/card/","19675")</f>
      </c>
      <c r="B5033" s="3" t="inlineStr">
        <is>
          <t>114-1586462-1126669</t>
        </is>
      </c>
      <c r="C5033" s="3" t="inlineStr">
        <is>
          <t>RockyMountain</t>
        </is>
      </c>
    </row>
    <row collapsed="false" customFormat="false" customHeight="false" hidden="false" ht="12.1" outlineLevel="0" r="5034">
      <c r="A5034" s="3" t="s">
        <f>=HYPERLINK("https://mp39851918.megaplan.ua/deals/115765/card/","19676")</f>
      </c>
      <c r="B5034" s="3" t="inlineStr">
        <is>
          <t>114-2035226-0430604</t>
        </is>
      </c>
      <c r="C5034" s="3" t="inlineStr">
        <is>
          <t>Autodist</t>
        </is>
      </c>
    </row>
    <row collapsed="false" customFormat="false" customHeight="false" hidden="false" ht="12.1" outlineLevel="0" r="5035">
      <c r="A5035" s="3" t="s">
        <f>=HYPERLINK("https://mp39851918.megaplan.ua/deals/115770/card/","19677")</f>
      </c>
      <c r="B5035" s="3" t="inlineStr">
        <is>
          <t>111-5689771-4946627</t>
        </is>
      </c>
      <c r="C5035" s="3" t="inlineStr">
        <is>
          <t>PartsUnlimited</t>
        </is>
      </c>
    </row>
    <row collapsed="false" customFormat="false" customHeight="false" hidden="false" ht="12.1" outlineLevel="0" r="5036">
      <c r="A5036" s="3" t="s">
        <f>=HYPERLINK("https://mp39851918.megaplan.ua/deals/115780/card/","19678")</f>
      </c>
      <c r="B5036" s="3" t="inlineStr">
        <is>
          <t>111-1328169-3101024</t>
        </is>
      </c>
      <c r="C5036" s="3" t="inlineStr">
        <is>
          <t>RockyMountain</t>
        </is>
      </c>
    </row>
    <row collapsed="false" customFormat="false" customHeight="false" hidden="false" ht="12.1" outlineLevel="0" r="5037">
      <c r="A5037" s="3" t="s">
        <f>=HYPERLINK("https://mp39851918.megaplan.ua/deals/115781/card/","19679")</f>
      </c>
      <c r="B5037" s="3" t="inlineStr">
        <is>
          <t>113-5327500-7377051</t>
        </is>
      </c>
      <c r="C5037" s="3" t="inlineStr">
        <is>
          <t>TuckerRocky</t>
        </is>
      </c>
    </row>
    <row collapsed="false" customFormat="false" customHeight="false" hidden="false" ht="12.1" outlineLevel="0" r="5038">
      <c r="A5038" s="3" t="s">
        <f>=HYPERLINK("https://mp39851918.megaplan.ua/deals/115805/card/","19680")</f>
      </c>
      <c r="B5038" s="3" t="inlineStr">
        <is>
          <t>112-7616977-4418641</t>
        </is>
      </c>
      <c r="C5038" s="3" t="inlineStr">
        <is>
          <t>TuckerRocky</t>
        </is>
      </c>
    </row>
    <row collapsed="false" customFormat="false" customHeight="false" hidden="false" ht="12.1" outlineLevel="0" r="5039">
      <c r="A5039" s="3" t="s">
        <f>=HYPERLINK("https://mp39851918.megaplan.ua/deals/115817/card/","19681")</f>
      </c>
      <c r="B5039" s="3" t="inlineStr">
        <is>
          <t>113-8051431-2211402</t>
        </is>
      </c>
      <c r="C5039" s="3" t="inlineStr">
        <is>
          <t>Autodist</t>
        </is>
      </c>
    </row>
    <row collapsed="false" customFormat="false" customHeight="false" hidden="false" ht="12.1" outlineLevel="0" r="5040">
      <c r="A5040" s="3" t="s">
        <f>=HYPERLINK("https://mp39851918.megaplan.ua/deals/115830/card/","19682")</f>
      </c>
      <c r="B5040" s="3" t="inlineStr">
        <is>
          <t>114-7018891-4916219</t>
        </is>
      </c>
      <c r="C5040" s="3" t="inlineStr">
        <is>
          <t>RockyMountain</t>
        </is>
      </c>
    </row>
    <row collapsed="false" customFormat="false" customHeight="false" hidden="false" ht="12.1" outlineLevel="0" r="5041">
      <c r="A5041" s="3" t="s">
        <f>=HYPERLINK("https://mp39851918.megaplan.ua/deals/115843/card/","19683")</f>
      </c>
      <c r="B5041" s="3" t="inlineStr">
        <is>
          <t>111-3902012-4849856</t>
        </is>
      </c>
      <c r="C5041" s="3" t="inlineStr">
        <is>
          <t>TuckerRocky</t>
        </is>
      </c>
    </row>
    <row collapsed="false" customFormat="false" customHeight="false" hidden="false" ht="12.1" outlineLevel="0" r="5042">
      <c r="A5042" s="3" t="s">
        <f>=HYPERLINK("https://mp39851918.megaplan.ua/deals/115850/card/","19684")</f>
      </c>
      <c r="B5042" s="3" t="inlineStr">
        <is>
          <t>114-0889390-1909054</t>
        </is>
      </c>
      <c r="C5042" s="3" t="inlineStr">
        <is>
          <t>TuckerRocky</t>
        </is>
      </c>
    </row>
    <row collapsed="false" customFormat="false" customHeight="false" hidden="false" ht="12.1" outlineLevel="0" r="5043">
      <c r="A5043" s="3" t="s">
        <f>=HYPERLINK("https://mp39851918.megaplan.ua/deals/115860/card/","19685")</f>
      </c>
      <c r="B5043" s="3" t="inlineStr">
        <is>
          <t>112-3289374-2142636</t>
        </is>
      </c>
      <c r="C5043" s="3" t="inlineStr">
        <is>
          <t>TuckerRocky</t>
        </is>
      </c>
    </row>
    <row collapsed="false" customFormat="false" customHeight="false" hidden="false" ht="12.1" outlineLevel="0" r="5044">
      <c r="A5044" s="3" t="s">
        <f>=HYPERLINK("https://mp39851918.megaplan.ua/deals/115861/card/","19686")</f>
      </c>
      <c r="B5044" s="3" t="inlineStr">
        <is>
          <t>112-6323362-7109821</t>
        </is>
      </c>
      <c r="C5044" s="3" t="inlineStr">
        <is>
          <t>RockyMountain</t>
        </is>
      </c>
    </row>
    <row collapsed="false" customFormat="false" customHeight="false" hidden="false" ht="12.1" outlineLevel="0" r="5045">
      <c r="A5045" s="3" t="s">
        <f>=HYPERLINK("https://mp39851918.megaplan.ua/deals/115863/card/","19687")</f>
      </c>
      <c r="B5045" s="3" t="inlineStr">
        <is>
          <t>111-3863975-3765835</t>
        </is>
      </c>
      <c r="C5045" s="3" t="inlineStr">
        <is>
          <t>TuckerRocky</t>
        </is>
      </c>
    </row>
    <row collapsed="false" customFormat="false" customHeight="false" hidden="false" ht="12.1" outlineLevel="0" r="5046">
      <c r="A5046" s="3" t="s">
        <f>=HYPERLINK("https://mp39851918.megaplan.ua/deals/115864/card/","19688")</f>
      </c>
      <c r="B5046" s="3" t="inlineStr">
        <is>
          <t>113-0440487-9511407</t>
        </is>
      </c>
      <c r="C5046" s="3" t="inlineStr">
        <is>
          <t>RockyMountain</t>
        </is>
      </c>
    </row>
    <row collapsed="false" customFormat="false" customHeight="false" hidden="false" ht="12.1" outlineLevel="0" r="5047">
      <c r="A5047" s="3" t="s">
        <f>=HYPERLINK("https://mp39851918.megaplan.ua/deals/115875/card/","19691")</f>
      </c>
      <c r="B5047" s="3" t="inlineStr">
        <is>
          <t>113-4044927-9156238</t>
        </is>
      </c>
      <c r="C5047" s="3" t="inlineStr">
        <is>
          <t>RockyMountain</t>
        </is>
      </c>
    </row>
    <row collapsed="false" customFormat="false" customHeight="false" hidden="false" ht="12.1" outlineLevel="0" r="5048">
      <c r="A5048" s="3" t="s">
        <f>=HYPERLINK("https://mp39851918.megaplan.ua/deals/115911/card/","19694")</f>
      </c>
      <c r="B5048" s="3" t="inlineStr">
        <is>
          <t>112-8981549-7454663</t>
        </is>
      </c>
      <c r="C5048" s="3" t="inlineStr">
        <is>
          <t>TuckerRocky</t>
        </is>
      </c>
    </row>
    <row collapsed="false" customFormat="false" customHeight="false" hidden="false" ht="12.1" outlineLevel="0" r="5049">
      <c r="A5049" s="3" t="s">
        <f>=HYPERLINK("https://mp39851918.megaplan.ua/deals/115929/card/","19695")</f>
      </c>
      <c r="B5049" s="3" t="inlineStr">
        <is>
          <t>114-1571877-7748268</t>
        </is>
      </c>
      <c r="C5049" s="3" t="inlineStr">
        <is>
          <t>TuckerRocky</t>
        </is>
      </c>
    </row>
    <row collapsed="false" customFormat="false" customHeight="false" hidden="false" ht="12.1" outlineLevel="0" r="5050">
      <c r="A5050" s="3" t="s">
        <f>=HYPERLINK("https://mp39851918.megaplan.ua/deals/115933/card/","19696")</f>
      </c>
      <c r="B5050" s="3" t="inlineStr">
        <is>
          <t>114-2323230-8037064</t>
        </is>
      </c>
      <c r="C5050" s="3" t="inlineStr">
        <is>
          <t>RockyMountain</t>
        </is>
      </c>
    </row>
    <row collapsed="false" customFormat="false" customHeight="false" hidden="false" ht="12.1" outlineLevel="0" r="5051">
      <c r="A5051" s="3" t="s">
        <f>=HYPERLINK("https://mp39851918.megaplan.ua/deals/115942/card/","19698")</f>
      </c>
      <c r="B5051" s="3" t="inlineStr">
        <is>
          <t>111-1142787-4743460</t>
        </is>
      </c>
      <c r="C5051" s="3" t="inlineStr">
        <is>
          <t>RockyMountain</t>
        </is>
      </c>
    </row>
    <row collapsed="false" customFormat="false" customHeight="false" hidden="false" ht="12.1" outlineLevel="0" r="5052">
      <c r="A5052" s="3" t="s">
        <f>=HYPERLINK("https://mp39851918.megaplan.ua/deals/115952/card/","19699")</f>
      </c>
      <c r="B5052" s="3" t="inlineStr">
        <is>
          <t>112-2629507-3033831</t>
        </is>
      </c>
      <c r="C5052" s="3" t="inlineStr">
        <is>
          <t>Autodist</t>
        </is>
      </c>
    </row>
    <row collapsed="false" customFormat="false" customHeight="false" hidden="false" ht="12.1" outlineLevel="0" r="5053">
      <c r="A5053" s="3" t="s">
        <f>=HYPERLINK("https://mp39851918.megaplan.ua/deals/115957/card/","19700")</f>
      </c>
      <c r="B5053" s="3" t="inlineStr">
        <is>
          <t>112-6296780-4446657</t>
        </is>
      </c>
      <c r="C5053" s="3" t="inlineStr">
        <is>
          <t>Autodist</t>
        </is>
      </c>
    </row>
    <row collapsed="false" customFormat="false" customHeight="false" hidden="false" ht="12.1" outlineLevel="0" r="5054">
      <c r="A5054" s="3" t="s">
        <f>=HYPERLINK("https://mp39851918.megaplan.ua/deals/115959/card/","19701")</f>
      </c>
      <c r="B5054" s="3" t="inlineStr">
        <is>
          <t>114-5892623-6617800</t>
        </is>
      </c>
      <c r="C5054" s="3" t="inlineStr">
        <is>
          <t>PartsUnlimited</t>
        </is>
      </c>
    </row>
    <row collapsed="false" customFormat="false" customHeight="false" hidden="false" ht="12.1" outlineLevel="0" r="5055">
      <c r="A5055" s="3" t="s">
        <f>=HYPERLINK("https://mp39851918.megaplan.ua/deals/115965/card/","19703")</f>
      </c>
      <c r="B5055" s="3" t="inlineStr">
        <is>
          <t>113-8854461-2473056</t>
        </is>
      </c>
      <c r="C5055" s="3" t="inlineStr">
        <is>
          <t>Autodist</t>
        </is>
      </c>
    </row>
    <row collapsed="false" customFormat="false" customHeight="false" hidden="false" ht="12.1" outlineLevel="0" r="5056">
      <c r="A5056" s="3" t="s">
        <f>=HYPERLINK("https://mp39851918.megaplan.ua/deals/115966/card/","19704")</f>
      </c>
      <c r="B5056" s="3" t="inlineStr">
        <is>
          <t>112-3150006-6748230</t>
        </is>
      </c>
      <c r="C5056" s="3" t="inlineStr">
        <is>
          <t>TuckerRocky</t>
        </is>
      </c>
    </row>
    <row collapsed="false" customFormat="false" customHeight="false" hidden="false" ht="12.1" outlineLevel="0" r="5057">
      <c r="A5057" s="3" t="s">
        <f>=HYPERLINK("https://mp39851918.megaplan.ua/deals/115979/card/","19705")</f>
      </c>
      <c r="B5057" s="3" t="inlineStr">
        <is>
          <t>112-6429070-4760255</t>
        </is>
      </c>
      <c r="C5057" s="3" t="inlineStr">
        <is>
          <t>RockyMountain</t>
        </is>
      </c>
    </row>
    <row collapsed="false" customFormat="false" customHeight="false" hidden="false" ht="12.1" outlineLevel="0" r="5058">
      <c r="A5058" s="3" t="s">
        <f>=HYPERLINK("https://mp39851918.megaplan.ua/deals/115980/card/","19706")</f>
      </c>
      <c r="B5058" s="3" t="inlineStr">
        <is>
          <t>114-9955123-4507400</t>
        </is>
      </c>
      <c r="C5058" s="3" t="inlineStr">
        <is>
          <t>RockyMountain</t>
        </is>
      </c>
    </row>
    <row collapsed="false" customFormat="false" customHeight="false" hidden="false" ht="12.1" outlineLevel="0" r="5059">
      <c r="A5059" s="3" t="s">
        <f>=HYPERLINK("https://mp39851918.megaplan.ua/deals/115984/card/","19707")</f>
      </c>
      <c r="B5059" s="3" t="inlineStr">
        <is>
          <t>111-5824901-8769011</t>
        </is>
      </c>
      <c r="C5059" s="3" t="inlineStr">
        <is>
          <t>RockyMountain</t>
        </is>
      </c>
    </row>
    <row collapsed="false" customFormat="false" customHeight="false" hidden="false" ht="12.1" outlineLevel="0" r="5060">
      <c r="A5060" s="3" t="s">
        <f>=HYPERLINK("https://mp39851918.megaplan.ua/deals/115997/card/","19709")</f>
      </c>
      <c r="B5060" s="3" t="inlineStr">
        <is>
          <t>114-8976345-0381062</t>
        </is>
      </c>
      <c r="C5060" s="3" t="inlineStr">
        <is>
          <t>TuckerRocky</t>
        </is>
      </c>
    </row>
    <row collapsed="false" customFormat="false" customHeight="false" hidden="false" ht="12.1" outlineLevel="0" r="5061">
      <c r="A5061" s="3" t="s">
        <f>=HYPERLINK("https://mp39851918.megaplan.ua/deals/116001/card/","19710")</f>
      </c>
      <c r="B5061" s="3" t="inlineStr">
        <is>
          <t>112-4604750-5604230</t>
        </is>
      </c>
      <c r="C5061" s="3" t="inlineStr">
        <is>
          <t>RockyMountain</t>
        </is>
      </c>
    </row>
    <row collapsed="false" customFormat="false" customHeight="false" hidden="false" ht="12.1" outlineLevel="0" r="5062">
      <c r="A5062" s="3" t="s">
        <f>=HYPERLINK("https://mp39851918.megaplan.ua/deals/116002/card/","19711")</f>
      </c>
      <c r="B5062" s="3" t="inlineStr">
        <is>
          <t>113-9986575-5274610</t>
        </is>
      </c>
      <c r="C5062" s="3" t="inlineStr">
        <is>
          <t>PartsUnlimited</t>
        </is>
      </c>
    </row>
    <row collapsed="false" customFormat="false" customHeight="false" hidden="false" ht="12.1" outlineLevel="0" r="5063">
      <c r="A5063" s="3" t="s">
        <f>=HYPERLINK("https://mp39851918.megaplan.ua/deals/116003/card/","19712")</f>
      </c>
      <c r="B5063" s="3" t="inlineStr">
        <is>
          <t>113-7885053-4340224</t>
        </is>
      </c>
      <c r="C5063" s="3" t="inlineStr">
        <is>
          <t>TuckerRocky</t>
        </is>
      </c>
    </row>
    <row collapsed="false" customFormat="false" customHeight="false" hidden="false" ht="12.1" outlineLevel="0" r="5064">
      <c r="A5064" s="3" t="s">
        <f>=HYPERLINK("https://mp39851918.megaplan.ua/deals/116005/card/","19713")</f>
      </c>
      <c r="B5064" s="3" t="inlineStr">
        <is>
          <t>111-1679687-0428215</t>
        </is>
      </c>
      <c r="C5064" s="3" t="inlineStr">
        <is>
          <t>PartsUnlimited</t>
        </is>
      </c>
    </row>
    <row collapsed="false" customFormat="false" customHeight="false" hidden="false" ht="12.1" outlineLevel="0" r="5065">
      <c r="A5065" s="3" t="s">
        <f>=HYPERLINK("https://mp39851918.megaplan.ua/deals/116006/card/","19714")</f>
      </c>
      <c r="B5065" s="3" t="inlineStr">
        <is>
          <t>111-0922487-0937850</t>
        </is>
      </c>
      <c r="C5065" s="3" t="inlineStr">
        <is>
          <t>RockyMountain</t>
        </is>
      </c>
    </row>
    <row collapsed="false" customFormat="false" customHeight="false" hidden="false" ht="12.1" outlineLevel="0" r="5066">
      <c r="A5066" s="3" t="s">
        <f>=HYPERLINK("https://mp39851918.megaplan.ua/deals/116017/card/","19718")</f>
      </c>
      <c r="B5066" s="3" t="inlineStr">
        <is>
          <t>112-5759600-0305037</t>
        </is>
      </c>
      <c r="C5066" s="3" t="inlineStr">
        <is>
          <t>TuckerRocky</t>
        </is>
      </c>
    </row>
    <row collapsed="false" customFormat="false" customHeight="false" hidden="false" ht="12.1" outlineLevel="0" r="5067">
      <c r="A5067" s="3" t="s">
        <f>=HYPERLINK("https://mp39851918.megaplan.ua/deals/116018/card/","19719")</f>
      </c>
      <c r="B5067" s="3" t="inlineStr">
        <is>
          <t>113-3738269-5136206</t>
        </is>
      </c>
      <c r="C5067" s="3" t="inlineStr">
        <is>
          <t>TuckerRocky</t>
        </is>
      </c>
    </row>
    <row collapsed="false" customFormat="false" customHeight="false" hidden="false" ht="12.1" outlineLevel="0" r="5068">
      <c r="A5068" s="3" t="s">
        <f>=HYPERLINK("https://mp39851918.megaplan.ua/deals/116022/card/","19720")</f>
      </c>
      <c r="B5068" s="3" t="inlineStr">
        <is>
          <t>114-4973137-1716216</t>
        </is>
      </c>
      <c r="C5068" s="3" t="inlineStr">
        <is>
          <t>RockyMountain</t>
        </is>
      </c>
    </row>
    <row collapsed="false" customFormat="false" customHeight="false" hidden="false" ht="12.1" outlineLevel="0" r="5069">
      <c r="A5069" s="3" t="s">
        <f>=HYPERLINK("https://mp39851918.megaplan.ua/deals/116032/card/","19721")</f>
      </c>
      <c r="B5069" s="3" t="inlineStr">
        <is>
          <t>114-5029515-7149853</t>
        </is>
      </c>
      <c r="C5069" s="3" t="inlineStr">
        <is>
          <t>TuckerRocky</t>
        </is>
      </c>
    </row>
    <row collapsed="false" customFormat="false" customHeight="false" hidden="false" ht="12.1" outlineLevel="0" r="5070">
      <c r="A5070" s="3" t="s">
        <f>=HYPERLINK("https://mp39851918.megaplan.ua/deals/116033/card/","19722")</f>
      </c>
      <c r="B5070" s="3" t="inlineStr">
        <is>
          <t>113-3682145-3556214</t>
        </is>
      </c>
      <c r="C5070" s="3" t="inlineStr">
        <is>
          <t>Autodist</t>
        </is>
      </c>
    </row>
    <row collapsed="false" customFormat="false" customHeight="false" hidden="false" ht="12.1" outlineLevel="0" r="5071">
      <c r="A5071" s="3" t="s">
        <f>=HYPERLINK("https://mp39851918.megaplan.ua/deals/116036/card/","19723")</f>
      </c>
      <c r="B5071" s="3" t="inlineStr">
        <is>
          <t>114-8063497-3494669</t>
        </is>
      </c>
      <c r="C5071" s="3" t="inlineStr">
        <is>
          <t>Autodist</t>
        </is>
      </c>
    </row>
    <row collapsed="false" customFormat="false" customHeight="false" hidden="false" ht="12.1" outlineLevel="0" r="5072">
      <c r="A5072" s="3" t="s">
        <f>=HYPERLINK("https://mp39851918.megaplan.ua/deals/116037/card/","19724")</f>
      </c>
      <c r="B5072" s="3" t="inlineStr">
        <is>
          <t>114-8053299-0716218</t>
        </is>
      </c>
      <c r="C5072" s="3" t="inlineStr">
        <is>
          <t>TuckerRocky</t>
        </is>
      </c>
    </row>
    <row collapsed="false" customFormat="false" customHeight="false" hidden="false" ht="12.1" outlineLevel="0" r="5073">
      <c r="A5073" s="3" t="s">
        <f>=HYPERLINK("https://mp39851918.megaplan.ua/deals/116039/card/","19725")</f>
      </c>
      <c r="B5073" s="3" t="inlineStr">
        <is>
          <t>114-8450230-4213810</t>
        </is>
      </c>
      <c r="C5073" s="3" t="inlineStr">
        <is>
          <t>TuckerRocky</t>
        </is>
      </c>
    </row>
    <row collapsed="false" customFormat="false" customHeight="false" hidden="false" ht="12.1" outlineLevel="0" r="5074">
      <c r="A5074" s="3" t="s">
        <f>=HYPERLINK("https://mp39851918.megaplan.ua/deals/116044/card/","19726")</f>
      </c>
      <c r="B5074" s="3" t="inlineStr">
        <is>
          <t>113-3324001-1677052</t>
        </is>
      </c>
      <c r="C5074" s="3" t="inlineStr">
        <is>
          <t>RockyMountain</t>
        </is>
      </c>
    </row>
    <row collapsed="false" customFormat="false" customHeight="false" hidden="false" ht="12.1" outlineLevel="0" r="5075">
      <c r="A5075" s="3" t="s">
        <f>=HYPERLINK("https://mp39851918.megaplan.ua/deals/116048/card/","19728")</f>
      </c>
      <c r="B5075" s="3" t="inlineStr">
        <is>
          <t>111-8691294-9485802</t>
        </is>
      </c>
      <c r="C5075" s="3" t="inlineStr">
        <is>
          <t>RockyMountain</t>
        </is>
      </c>
    </row>
    <row collapsed="false" customFormat="false" customHeight="false" hidden="false" ht="12.1" outlineLevel="0" r="5076">
      <c r="A5076" s="3" t="s">
        <f>=HYPERLINK("https://mp39851918.megaplan.ua/deals/116060/card/","19730")</f>
      </c>
      <c r="B5076" s="3" t="inlineStr">
        <is>
          <t>113-7765498-7589825</t>
        </is>
      </c>
      <c r="C5076" s="3" t="inlineStr">
        <is>
          <t>TuckerRocky</t>
        </is>
      </c>
    </row>
    <row collapsed="false" customFormat="false" customHeight="false" hidden="false" ht="12.1" outlineLevel="0" r="5077">
      <c r="A5077" s="3" t="s">
        <f>=HYPERLINK("https://mp39851918.megaplan.ua/deals/116073/card/","19731")</f>
      </c>
      <c r="B5077" s="3" t="inlineStr">
        <is>
          <t>111-5102177-5213863</t>
        </is>
      </c>
      <c r="C5077" s="3" t="inlineStr">
        <is>
          <t>RockyMountain</t>
        </is>
      </c>
    </row>
    <row collapsed="false" customFormat="false" customHeight="false" hidden="false" ht="12.1" outlineLevel="0" r="5078">
      <c r="A5078" s="3" t="s">
        <f>=HYPERLINK("https://mp39851918.megaplan.ua/deals/116098/card/","19734")</f>
      </c>
      <c r="B5078" s="3" t="inlineStr">
        <is>
          <t>111-6517228-4608208</t>
        </is>
      </c>
      <c r="C5078" s="3" t="inlineStr">
        <is>
          <t>RockyMountain</t>
        </is>
      </c>
    </row>
    <row collapsed="false" customFormat="false" customHeight="false" hidden="false" ht="12.1" outlineLevel="0" r="5079">
      <c r="A5079" s="3" t="s">
        <f>=HYPERLINK("https://mp39851918.megaplan.ua/deals/116099/card/","19735")</f>
      </c>
      <c r="B5079" s="3" t="inlineStr">
        <is>
          <t>111-0735872-9446610</t>
        </is>
      </c>
      <c r="C5079" s="3" t="inlineStr">
        <is>
          <t>Autodist</t>
        </is>
      </c>
    </row>
    <row collapsed="false" customFormat="false" customHeight="false" hidden="false" ht="12.1" outlineLevel="0" r="5080">
      <c r="A5080" s="3" t="s">
        <f>=HYPERLINK("https://mp39851918.megaplan.ua/deals/116100/card/","19736")</f>
      </c>
      <c r="B5080" s="3" t="inlineStr">
        <is>
          <t>111-4288593-0653867</t>
        </is>
      </c>
      <c r="C5080" s="3" t="inlineStr">
        <is>
          <t>RockyMountain</t>
        </is>
      </c>
    </row>
    <row collapsed="false" customFormat="false" customHeight="false" hidden="false" ht="12.1" outlineLevel="0" r="5081">
      <c r="A5081" s="3" t="s">
        <f>=HYPERLINK("https://mp39851918.megaplan.ua/deals/116101/card/","19737")</f>
      </c>
      <c r="B5081" s="3" t="inlineStr">
        <is>
          <t>114-8479257-8385800</t>
        </is>
      </c>
      <c r="C5081" s="3" t="inlineStr">
        <is>
          <t>RockyMountain</t>
        </is>
      </c>
    </row>
    <row collapsed="false" customFormat="false" customHeight="false" hidden="false" ht="12.1" outlineLevel="0" r="5082">
      <c r="A5082" s="3" t="s">
        <f>=HYPERLINK("https://mp39851918.megaplan.ua/deals/116105/card/","19738")</f>
      </c>
      <c r="B5082" s="3" t="inlineStr">
        <is>
          <t>114-0055985-7507420</t>
        </is>
      </c>
      <c r="C5082" s="3" t="inlineStr">
        <is>
          <t>RockyMountain</t>
        </is>
      </c>
    </row>
    <row collapsed="false" customFormat="false" customHeight="false" hidden="false" ht="12.1" outlineLevel="0" r="5083">
      <c r="A5083" s="3" t="s">
        <f>=HYPERLINK("https://mp39851918.megaplan.ua/deals/116107/card/","19740")</f>
      </c>
      <c r="B5083" s="3" t="inlineStr">
        <is>
          <t>112-3623059-0394618</t>
        </is>
      </c>
      <c r="C5083" s="3" t="inlineStr">
        <is>
          <t>TuckerRocky</t>
        </is>
      </c>
    </row>
    <row collapsed="false" customFormat="false" customHeight="false" hidden="false" ht="12.1" outlineLevel="0" r="5084">
      <c r="A5084" s="3" t="s">
        <f>=HYPERLINK("https://mp39851918.megaplan.ua/deals/116122/card/","19741")</f>
      </c>
      <c r="B5084" s="3" t="inlineStr">
        <is>
          <t>114-2989378-7242662</t>
        </is>
      </c>
      <c r="C5084" s="3" t="inlineStr">
        <is>
          <t>PartsUnlimited</t>
        </is>
      </c>
    </row>
    <row collapsed="false" customFormat="false" customHeight="false" hidden="false" ht="12.1" outlineLevel="0" r="5085">
      <c r="A5085" s="3" t="s">
        <f>=HYPERLINK("https://mp39851918.megaplan.ua/deals/116140/card/","19742")</f>
      </c>
      <c r="B5085" s="3" t="inlineStr">
        <is>
          <t>114-4526894-9989010</t>
        </is>
      </c>
      <c r="C5085" s="3" t="inlineStr">
        <is>
          <t>TuckerRocky</t>
        </is>
      </c>
    </row>
    <row collapsed="false" customFormat="false" customHeight="false" hidden="false" ht="12.1" outlineLevel="0" r="5086">
      <c r="A5086" s="3" t="s">
        <f>=HYPERLINK("https://mp39851918.megaplan.ua/deals/116142/card/","19743")</f>
      </c>
      <c r="B5086" s="3" t="inlineStr">
        <is>
          <t>114-7267592-1425802</t>
        </is>
      </c>
      <c r="C5086" s="3" t="inlineStr">
        <is>
          <t>TuckerRocky</t>
        </is>
      </c>
    </row>
    <row collapsed="false" customFormat="false" customHeight="false" hidden="false" ht="12.1" outlineLevel="0" r="5087">
      <c r="A5087" s="3" t="s">
        <f>=HYPERLINK("https://mp39851918.megaplan.ua/deals/116163/card/","19744")</f>
      </c>
      <c r="B5087" s="3" t="inlineStr">
        <is>
          <t>111-3989669-7151446</t>
        </is>
      </c>
      <c r="C5087" s="3" t="inlineStr">
        <is>
          <t>RockyMountain</t>
        </is>
      </c>
    </row>
    <row collapsed="false" customFormat="false" customHeight="false" hidden="false" ht="12.1" outlineLevel="0" r="5088">
      <c r="A5088" s="3" t="s">
        <f>=HYPERLINK("https://mp39851918.megaplan.ua/deals/116193/card/","19746")</f>
      </c>
      <c r="B5088" s="3" t="inlineStr">
        <is>
          <t>111-0149489-5098639</t>
        </is>
      </c>
      <c r="C5088" s="3" t="inlineStr">
        <is>
          <t>PartsUnlimited</t>
        </is>
      </c>
    </row>
    <row collapsed="false" customFormat="false" customHeight="false" hidden="false" ht="12.1" outlineLevel="0" r="5089">
      <c r="A5089" s="3" t="s">
        <f>=HYPERLINK("https://mp39851918.megaplan.ua/deals/116205/card/","19748")</f>
      </c>
      <c r="B5089" s="3" t="inlineStr">
        <is>
          <t>111-7854737-0385052</t>
        </is>
      </c>
      <c r="C5089" s="3" t="inlineStr">
        <is>
          <t>Autodist</t>
        </is>
      </c>
    </row>
    <row collapsed="false" customFormat="false" customHeight="false" hidden="false" ht="12.1" outlineLevel="0" r="5090">
      <c r="A5090" s="3" t="s">
        <f>=HYPERLINK("https://mp39851918.megaplan.ua/deals/116228/card/","19749")</f>
      </c>
      <c r="B5090" s="3" t="inlineStr">
        <is>
          <t>112-0955647-9866667</t>
        </is>
      </c>
      <c r="C5090" s="3" t="inlineStr">
        <is>
          <t>RockyMountain</t>
        </is>
      </c>
    </row>
    <row collapsed="false" customFormat="false" customHeight="false" hidden="false" ht="12.1" outlineLevel="0" r="5091">
      <c r="A5091" s="3" t="s">
        <f>=HYPERLINK("https://mp39851918.megaplan.ua/deals/116229/card/","19750")</f>
      </c>
      <c r="B5091" s="3" t="inlineStr">
        <is>
          <t>112-2429068-5062664</t>
        </is>
      </c>
      <c r="C5091" s="3" t="inlineStr">
        <is>
          <t>Autodist</t>
        </is>
      </c>
    </row>
    <row collapsed="false" customFormat="false" customHeight="false" hidden="false" ht="12.1" outlineLevel="0" r="5092">
      <c r="A5092" s="3" t="s">
        <f>=HYPERLINK("https://mp39851918.megaplan.ua/deals/116230/card/","19751")</f>
      </c>
      <c r="B5092" s="3" t="inlineStr">
        <is>
          <t>113-6503523-7759433</t>
        </is>
      </c>
      <c r="C5092" s="3" t="inlineStr">
        <is>
          <t>RockyMountain</t>
        </is>
      </c>
    </row>
    <row collapsed="false" customFormat="false" customHeight="false" hidden="false" ht="12.1" outlineLevel="0" r="5093">
      <c r="A5093" s="3" t="s">
        <f>=HYPERLINK("https://mp39851918.megaplan.ua/deals/116234/card/","19752")</f>
      </c>
      <c r="B5093" s="3" t="inlineStr">
        <is>
          <t>111-5800039-2769042</t>
        </is>
      </c>
      <c r="C5093" s="3" t="inlineStr">
        <is>
          <t>RockyMountain</t>
        </is>
      </c>
    </row>
    <row collapsed="false" customFormat="false" customHeight="false" hidden="false" ht="12.1" outlineLevel="0" r="5094">
      <c r="A5094" s="3" t="s">
        <f>=HYPERLINK("https://mp39851918.megaplan.ua/deals/116236/card/","19753")</f>
      </c>
      <c r="B5094" s="3" t="inlineStr">
        <is>
          <t>111-9514373-4173012</t>
        </is>
      </c>
      <c r="C5094" s="3" t="inlineStr">
        <is>
          <t>RockyMountain</t>
        </is>
      </c>
    </row>
    <row collapsed="false" customFormat="false" customHeight="false" hidden="false" ht="12.1" outlineLevel="0" r="5095">
      <c r="A5095" s="3" t="s">
        <f>=HYPERLINK("https://mp39851918.megaplan.ua/deals/116237/card/","19754")</f>
      </c>
      <c r="B5095" s="3" t="inlineStr">
        <is>
          <t>112-4273749-3997007</t>
        </is>
      </c>
      <c r="C5095" s="3" t="inlineStr">
        <is>
          <t>RockyMountain</t>
        </is>
      </c>
    </row>
    <row collapsed="false" customFormat="false" customHeight="false" hidden="false" ht="12.1" outlineLevel="0" r="5096">
      <c r="A5096" s="3" t="s">
        <f>=HYPERLINK("https://mp39851918.megaplan.ua/deals/116238/card/","19755")</f>
      </c>
      <c r="B5096" s="3" t="inlineStr">
        <is>
          <t>113-1540137-0881818</t>
        </is>
      </c>
      <c r="C5096" s="3" t="inlineStr">
        <is>
          <t>RockyMountain</t>
        </is>
      </c>
    </row>
    <row collapsed="false" customFormat="false" customHeight="false" hidden="false" ht="12.1" outlineLevel="0" r="5097">
      <c r="A5097" s="3" t="s">
        <f>=HYPERLINK("https://mp39851918.megaplan.ua/deals/116250/card/","19756")</f>
      </c>
      <c r="B5097" s="3" t="inlineStr">
        <is>
          <t>114-5538917-9700249</t>
        </is>
      </c>
      <c r="C5097" s="3" t="inlineStr">
        <is>
          <t>TuckerRocky</t>
        </is>
      </c>
    </row>
    <row collapsed="false" customFormat="false" customHeight="false" hidden="false" ht="12.1" outlineLevel="0" r="5098">
      <c r="A5098" s="3" t="s">
        <f>=HYPERLINK("https://mp39851918.megaplan.ua/deals/116256/card/","19757")</f>
      </c>
      <c r="B5098" s="3" t="inlineStr">
        <is>
          <t>113-7646116-9419461</t>
        </is>
      </c>
      <c r="C5098" s="3" t="inlineStr">
        <is>
          <t>RockyMountain</t>
        </is>
      </c>
    </row>
    <row collapsed="false" customFormat="false" customHeight="false" hidden="false" ht="12.1" outlineLevel="0" r="5099">
      <c r="A5099" s="3" t="s">
        <f>=HYPERLINK("https://mp39851918.megaplan.ua/deals/116257/card/","19758")</f>
      </c>
      <c r="B5099" s="3" t="inlineStr">
        <is>
          <t>114-5740461-0112226</t>
        </is>
      </c>
      <c r="C5099" s="3" t="inlineStr">
        <is>
          <t>RockyMountain</t>
        </is>
      </c>
    </row>
    <row collapsed="false" customFormat="false" customHeight="false" hidden="false" ht="12.1" outlineLevel="0" r="5100">
      <c r="A5100" s="3" t="s">
        <f>=HYPERLINK("https://mp39851918.megaplan.ua/deals/116269/card/","19759")</f>
      </c>
      <c r="B5100" s="3" t="inlineStr">
        <is>
          <t>114-0125155-0400238</t>
        </is>
      </c>
      <c r="C5100" s="3" t="inlineStr">
        <is>
          <t>TuckerRocky</t>
        </is>
      </c>
    </row>
    <row collapsed="false" customFormat="false" customHeight="false" hidden="false" ht="12.1" outlineLevel="0" r="5101">
      <c r="A5101" s="3" t="s">
        <f>=HYPERLINK("https://mp39851918.megaplan.ua/deals/116282/card/","19761")</f>
      </c>
      <c r="B5101" s="3" t="inlineStr">
        <is>
          <t>114-2491184-4067432</t>
        </is>
      </c>
      <c r="C5101" s="3" t="inlineStr">
        <is>
          <t>Autodist</t>
        </is>
      </c>
    </row>
    <row collapsed="false" customFormat="false" customHeight="false" hidden="false" ht="12.1" outlineLevel="0" r="5102">
      <c r="A5102" s="3" t="s">
        <f>=HYPERLINK("https://mp39851918.megaplan.ua/deals/116289/card/","19762")</f>
      </c>
      <c r="B5102" s="3" t="inlineStr">
        <is>
          <t>111-5917233-4354652</t>
        </is>
      </c>
      <c r="C5102" s="3" t="inlineStr">
        <is>
          <t>TuckerRocky</t>
        </is>
      </c>
    </row>
    <row collapsed="false" customFormat="false" customHeight="false" hidden="false" ht="12.1" outlineLevel="0" r="5103">
      <c r="A5103" s="3" t="s">
        <f>=HYPERLINK("https://mp39851918.megaplan.ua/deals/116310/card/","19763")</f>
      </c>
      <c r="B5103" s="3" t="inlineStr">
        <is>
          <t>112-7570536-1959454</t>
        </is>
      </c>
      <c r="C5103" s="3" t="inlineStr">
        <is>
          <t>Autodist</t>
        </is>
      </c>
    </row>
    <row collapsed="false" customFormat="false" customHeight="false" hidden="false" ht="12.1" outlineLevel="0" r="5104">
      <c r="A5104" s="3" t="s">
        <f>=HYPERLINK("https://mp39851918.megaplan.ua/deals/116322/card/","19765")</f>
      </c>
      <c r="B5104" s="3" t="inlineStr">
        <is>
          <t>113-5518457-2683444</t>
        </is>
      </c>
      <c r="C5104" s="3" t="inlineStr">
        <is>
          <t>Autodist</t>
        </is>
      </c>
    </row>
    <row collapsed="false" customFormat="false" customHeight="false" hidden="false" ht="12.1" outlineLevel="0" r="5105">
      <c r="A5105" s="3" t="s">
        <f>=HYPERLINK("https://mp39851918.megaplan.ua/deals/116333/card/","19766")</f>
      </c>
      <c r="B5105" s="3" t="inlineStr">
        <is>
          <t>114-2498695-5525831</t>
        </is>
      </c>
      <c r="C5105" s="3" t="inlineStr">
        <is>
          <t>PartsUnlimited</t>
        </is>
      </c>
    </row>
    <row collapsed="false" customFormat="false" customHeight="false" hidden="false" ht="12.1" outlineLevel="0" r="5106">
      <c r="A5106" s="3" t="s">
        <f>=HYPERLINK("https://mp39851918.megaplan.ua/deals/116334/card/","19767")</f>
      </c>
      <c r="B5106" s="3" t="inlineStr">
        <is>
          <t>112-7193416-7641060</t>
        </is>
      </c>
      <c r="C5106" s="3" t="inlineStr">
        <is>
          <t>RockyMountain</t>
        </is>
      </c>
    </row>
    <row collapsed="false" customFormat="false" customHeight="false" hidden="false" ht="12.1" outlineLevel="0" r="5107">
      <c r="A5107" s="3" t="s">
        <f>=HYPERLINK("https://mp39851918.megaplan.ua/deals/116335/card/","19768")</f>
      </c>
      <c r="B5107" s="3" t="inlineStr">
        <is>
          <t>114-4145350-7250651</t>
        </is>
      </c>
      <c r="C5107" s="3" t="inlineStr">
        <is>
          <t>RockyMountain</t>
        </is>
      </c>
    </row>
    <row collapsed="false" customFormat="false" customHeight="false" hidden="false" ht="12.1" outlineLevel="0" r="5108">
      <c r="A5108" s="3" t="s">
        <f>=HYPERLINK("https://mp39851918.megaplan.ua/deals/116349/card/","19769")</f>
      </c>
      <c r="B5108" s="3" t="inlineStr">
        <is>
          <t>114-3398828-5194600</t>
        </is>
      </c>
      <c r="C5108" s="3" t="inlineStr">
        <is>
          <t>RockyMountain</t>
        </is>
      </c>
    </row>
    <row collapsed="false" customFormat="false" customHeight="false" hidden="false" ht="12.1" outlineLevel="0" r="5109">
      <c r="A5109" s="3" t="s">
        <f>=HYPERLINK("https://mp39851918.megaplan.ua/deals/116350/card/","19770")</f>
      </c>
      <c r="B5109" s="3" t="inlineStr">
        <is>
          <t>114-0596861-7937063</t>
        </is>
      </c>
      <c r="C5109" s="3" t="inlineStr">
        <is>
          <t>TuckerRocky</t>
        </is>
      </c>
    </row>
    <row collapsed="false" customFormat="false" customHeight="false" hidden="false" ht="12.1" outlineLevel="0" r="5110">
      <c r="A5110" s="3" t="s">
        <f>=HYPERLINK("https://mp39851918.megaplan.ua/deals/116372/card/","19771")</f>
      </c>
      <c r="B5110" s="3" t="inlineStr">
        <is>
          <t>112-2173235-7129810</t>
        </is>
      </c>
      <c r="C5110" s="3" t="inlineStr">
        <is>
          <t>PartsUnlimited</t>
        </is>
      </c>
    </row>
    <row collapsed="false" customFormat="false" customHeight="false" hidden="false" ht="12.1" outlineLevel="0" r="5111">
      <c r="A5111" s="3" t="s">
        <f>=HYPERLINK("https://mp39851918.megaplan.ua/deals/116374/card/","19772")</f>
      </c>
      <c r="B5111" s="3" t="inlineStr">
        <is>
          <t>113-1261011-8705022</t>
        </is>
      </c>
      <c r="C5111" s="3" t="inlineStr">
        <is>
          <t>RockyMountain</t>
        </is>
      </c>
    </row>
    <row collapsed="false" customFormat="false" customHeight="false" hidden="false" ht="12.1" outlineLevel="0" r="5112">
      <c r="A5112" s="3" t="s">
        <f>=HYPERLINK("https://mp39851918.megaplan.ua/deals/116376/card/","19773")</f>
      </c>
      <c r="B5112" s="3" t="inlineStr">
        <is>
          <t>111-1054844-1869023</t>
        </is>
      </c>
      <c r="C5112" s="3" t="inlineStr">
        <is>
          <t>PartsUnlimited</t>
        </is>
      </c>
    </row>
    <row collapsed="false" customFormat="false" customHeight="false" hidden="false" ht="12.1" outlineLevel="0" r="5113">
      <c r="A5113" s="3" t="s">
        <f>=HYPERLINK("https://mp39851918.megaplan.ua/deals/116377/card/","19774")</f>
      </c>
      <c r="B5113" s="3" t="inlineStr">
        <is>
          <t>113-4866887-3935464</t>
        </is>
      </c>
      <c r="C5113" s="3" t="inlineStr">
        <is>
          <t>PartsUnlimited</t>
        </is>
      </c>
    </row>
    <row collapsed="false" customFormat="false" customHeight="false" hidden="false" ht="12.1" outlineLevel="0" r="5114">
      <c r="A5114" s="3" t="s">
        <f>=HYPERLINK("https://mp39851918.megaplan.ua/deals/116379/card/","19775")</f>
      </c>
      <c r="B5114" s="3" t="inlineStr">
        <is>
          <t>111-3140290-1851439</t>
        </is>
      </c>
      <c r="C5114" s="3" t="inlineStr">
        <is>
          <t>PartsUnlimited</t>
        </is>
      </c>
    </row>
    <row collapsed="false" customFormat="false" customHeight="false" hidden="false" ht="12.1" outlineLevel="0" r="5115">
      <c r="A5115" s="3" t="s">
        <f>=HYPERLINK("https://mp39851918.megaplan.ua/deals/116385/card/","19776")</f>
      </c>
      <c r="B5115" s="3" t="inlineStr">
        <is>
          <t>111-0572496-2839410</t>
        </is>
      </c>
      <c r="C5115" s="3" t="inlineStr">
        <is>
          <t>RockyMountain</t>
        </is>
      </c>
    </row>
    <row collapsed="false" customFormat="false" customHeight="false" hidden="false" ht="12.1" outlineLevel="0" r="5116">
      <c r="A5116" s="3" t="s">
        <f>=HYPERLINK("https://mp39851918.megaplan.ua/deals/116387/card/","19777")</f>
      </c>
      <c r="B5116" s="3" t="inlineStr">
        <is>
          <t>114-6303121-4845028</t>
        </is>
      </c>
      <c r="C5116" s="3" t="inlineStr">
        <is>
          <t>RockyMountain</t>
        </is>
      </c>
    </row>
    <row collapsed="false" customFormat="false" customHeight="false" hidden="false" ht="12.1" outlineLevel="0" r="5117">
      <c r="A5117" s="3" t="s">
        <f>=HYPERLINK("https://mp39851918.megaplan.ua/deals/116405/card/","19780")</f>
      </c>
      <c r="B5117" s="3" t="inlineStr">
        <is>
          <t>111-3587410-3777800</t>
        </is>
      </c>
      <c r="C5117" s="3" t="inlineStr">
        <is>
          <t>TuckerRocky</t>
        </is>
      </c>
    </row>
    <row collapsed="false" customFormat="false" customHeight="false" hidden="false" ht="12.1" outlineLevel="0" r="5118">
      <c r="A5118" s="3" t="s">
        <f>=HYPERLINK("https://mp39851918.megaplan.ua/deals/116429/card/","19781")</f>
      </c>
      <c r="B5118" s="3" t="inlineStr">
        <is>
          <t>113-0626143-9364213</t>
        </is>
      </c>
      <c r="C5118" s="3" t="inlineStr">
        <is>
          <t>PartsUnlimited</t>
        </is>
      </c>
    </row>
    <row collapsed="false" customFormat="false" customHeight="false" hidden="false" ht="12.1" outlineLevel="0" r="5119">
      <c r="A5119" s="3" t="s">
        <f>=HYPERLINK("https://mp39851918.megaplan.ua/deals/116432/card/","19782")</f>
      </c>
      <c r="B5119" s="3" t="inlineStr">
        <is>
          <t>111-4082928-1933007</t>
        </is>
      </c>
      <c r="C5119" s="3" t="inlineStr">
        <is>
          <t>TuckerRocky</t>
        </is>
      </c>
    </row>
    <row collapsed="false" customFormat="false" customHeight="false" hidden="false" ht="12.1" outlineLevel="0" r="5120">
      <c r="A5120" s="3" t="s">
        <f>=HYPERLINK("https://mp39851918.megaplan.ua/deals/116440/card/","19783")</f>
      </c>
      <c r="B5120" s="3" t="inlineStr">
        <is>
          <t>111-7269760-1791465</t>
        </is>
      </c>
      <c r="C5120" s="3" t="inlineStr">
        <is>
          <t>RockyMountain</t>
        </is>
      </c>
    </row>
    <row collapsed="false" customFormat="false" customHeight="false" hidden="false" ht="12.1" outlineLevel="0" r="5121">
      <c r="A5121" s="3" t="s">
        <f>=HYPERLINK("https://mp39851918.megaplan.ua/deals/116441/card/","19784")</f>
      </c>
      <c r="B5121" s="3" t="inlineStr">
        <is>
          <t>112-3826111-7121838</t>
        </is>
      </c>
      <c r="C5121" s="3" t="inlineStr">
        <is>
          <t>PartsUnlimited</t>
        </is>
      </c>
    </row>
    <row collapsed="false" customFormat="false" customHeight="false" hidden="false" ht="12.1" outlineLevel="0" r="5122">
      <c r="A5122" s="3" t="s">
        <f>=HYPERLINK("https://mp39851918.megaplan.ua/deals/116451/card/","19787")</f>
      </c>
      <c r="B5122" s="3" t="inlineStr">
        <is>
          <t>111-2908385-4481012</t>
        </is>
      </c>
      <c r="C5122" s="3" t="inlineStr">
        <is>
          <t>TuckerRocky</t>
        </is>
      </c>
    </row>
    <row collapsed="false" customFormat="false" customHeight="false" hidden="false" ht="12.1" outlineLevel="0" r="5123">
      <c r="A5123" s="3" t="s">
        <f>=HYPERLINK("https://mp39851918.megaplan.ua/deals/116452/card/","19788")</f>
      </c>
      <c r="B5123" s="3" t="inlineStr">
        <is>
          <t>111-4990713-5993853</t>
        </is>
      </c>
      <c r="C5123" s="3" t="inlineStr">
        <is>
          <t>TuckerRocky</t>
        </is>
      </c>
    </row>
    <row collapsed="false" customFormat="false" customHeight="false" hidden="false" ht="12.1" outlineLevel="0" r="5124">
      <c r="A5124" s="3" t="s">
        <f>=HYPERLINK("https://mp39851918.megaplan.ua/deals/116454/card/","19790")</f>
      </c>
      <c r="B5124" s="3" t="inlineStr">
        <is>
          <t>112-7004057-3374624</t>
        </is>
      </c>
      <c r="C5124" s="3" t="inlineStr">
        <is>
          <t>Autodist</t>
        </is>
      </c>
    </row>
    <row collapsed="false" customFormat="false" customHeight="false" hidden="false" ht="12.1" outlineLevel="0" r="5125">
      <c r="A5125" s="3" t="s">
        <f>=HYPERLINK("https://mp39851918.megaplan.ua/deals/116456/card/","19791")</f>
      </c>
      <c r="B5125" s="3" t="inlineStr">
        <is>
          <t>112-6267801-6067425</t>
        </is>
      </c>
      <c r="C5125" s="3" t="inlineStr">
        <is>
          <t>Autodist</t>
        </is>
      </c>
    </row>
    <row collapsed="false" customFormat="false" customHeight="false" hidden="false" ht="12.1" outlineLevel="0" r="5126">
      <c r="A5126" s="3" t="s">
        <f>=HYPERLINK("https://mp39851918.megaplan.ua/deals/116457/card/","19792")</f>
      </c>
      <c r="B5126" s="3" t="inlineStr">
        <is>
          <t>112-0266503-9444227</t>
        </is>
      </c>
      <c r="C5126" s="3" t="inlineStr">
        <is>
          <t>RockyMountain</t>
        </is>
      </c>
    </row>
    <row collapsed="false" customFormat="false" customHeight="false" hidden="false" ht="12.1" outlineLevel="0" r="5127">
      <c r="A5127" s="3" t="s">
        <f>=HYPERLINK("https://mp39851918.megaplan.ua/deals/116465/card/","19794")</f>
      </c>
      <c r="B5127" s="3" t="inlineStr">
        <is>
          <t>114-8251241-3848240</t>
        </is>
      </c>
      <c r="C5127" s="3" t="inlineStr">
        <is>
          <t>RockyMountain</t>
        </is>
      </c>
    </row>
    <row collapsed="false" customFormat="false" customHeight="false" hidden="false" ht="12.1" outlineLevel="0" r="5128">
      <c r="A5128" s="3" t="s">
        <f>=HYPERLINK("https://mp39851918.megaplan.ua/deals/116469/card/","19795")</f>
      </c>
      <c r="B5128" s="3" t="inlineStr">
        <is>
          <t>113-9974507-8460257</t>
        </is>
      </c>
      <c r="C5128" s="3" t="inlineStr">
        <is>
          <t>RockyMountain</t>
        </is>
      </c>
    </row>
    <row collapsed="false" customFormat="false" customHeight="false" hidden="false" ht="12.1" outlineLevel="0" r="5129">
      <c r="A5129" s="3" t="s">
        <f>=HYPERLINK("https://mp39851918.megaplan.ua/deals/116471/card/","19796")</f>
      </c>
      <c r="B5129" s="3" t="inlineStr">
        <is>
          <t>111-4718857-8753826</t>
        </is>
      </c>
      <c r="C5129" s="3" t="inlineStr">
        <is>
          <t>RockyMountain</t>
        </is>
      </c>
    </row>
    <row collapsed="false" customFormat="false" customHeight="false" hidden="false" ht="12.1" outlineLevel="0" r="5130">
      <c r="A5130" s="3" t="s">
        <f>=HYPERLINK("https://mp39851918.megaplan.ua/deals/116473/card/","19797")</f>
      </c>
      <c r="B5130" s="3" t="inlineStr">
        <is>
          <t>113-8061179-3162650</t>
        </is>
      </c>
      <c r="C5130" s="3" t="inlineStr">
        <is>
          <t>Autodist</t>
        </is>
      </c>
    </row>
    <row collapsed="false" customFormat="false" customHeight="false" hidden="false" ht="12.1" outlineLevel="0" r="5131">
      <c r="A5131" s="3" t="s">
        <f>=HYPERLINK("https://mp39851918.megaplan.ua/deals/116476/card/","19798")</f>
      </c>
      <c r="B5131" s="3" t="inlineStr">
        <is>
          <t>112-0803840-1217020</t>
        </is>
      </c>
      <c r="C5131" s="3" t="inlineStr">
        <is>
          <t>Autodist</t>
        </is>
      </c>
    </row>
    <row collapsed="false" customFormat="false" customHeight="false" hidden="false" ht="12.1" outlineLevel="0" r="5132">
      <c r="A5132" s="3" t="s">
        <f>=HYPERLINK("https://mp39851918.megaplan.ua/deals/116491/card/","19800")</f>
      </c>
      <c r="B5132" s="3" t="inlineStr">
        <is>
          <t>113-5787461-4282613</t>
        </is>
      </c>
      <c r="C5132" s="3" t="inlineStr">
        <is>
          <t>RockyMountain</t>
        </is>
      </c>
    </row>
    <row collapsed="false" customFormat="false" customHeight="false" hidden="false" ht="12.1" outlineLevel="0" r="5133">
      <c r="A5133" s="3" t="s">
        <f>=HYPERLINK("https://mp39851918.megaplan.ua/deals/116492/card/","19801")</f>
      </c>
      <c r="B5133" s="3" t="inlineStr">
        <is>
          <t>114-6975981-2896215</t>
        </is>
      </c>
      <c r="C5133" s="3" t="inlineStr">
        <is>
          <t>RockyMountain</t>
        </is>
      </c>
    </row>
    <row collapsed="false" customFormat="false" customHeight="false" hidden="false" ht="12.1" outlineLevel="0" r="5134">
      <c r="A5134" s="3" t="s">
        <f>=HYPERLINK("https://mp39851918.megaplan.ua/deals/116494/card/","19802")</f>
      </c>
      <c r="B5134" s="3" t="inlineStr">
        <is>
          <t>111-3020139-9373800</t>
        </is>
      </c>
      <c r="C5134" s="3" t="inlineStr">
        <is>
          <t>Autodist</t>
        </is>
      </c>
    </row>
    <row collapsed="false" customFormat="false" customHeight="false" hidden="false" ht="12.1" outlineLevel="0" r="5135">
      <c r="A5135" s="3" t="s">
        <f>=HYPERLINK("https://mp39851918.megaplan.ua/deals/116497/card/","19803")</f>
      </c>
      <c r="B5135" s="3" t="inlineStr">
        <is>
          <t>111-5788789-1325019</t>
        </is>
      </c>
      <c r="C5135" s="3" t="inlineStr">
        <is>
          <t>TuckerRocky</t>
        </is>
      </c>
    </row>
    <row collapsed="false" customFormat="false" customHeight="false" hidden="false" ht="12.1" outlineLevel="0" r="5136">
      <c r="A5136" s="3" t="s">
        <f>=HYPERLINK("https://mp39851918.megaplan.ua/deals/116501/card/","19806")</f>
      </c>
      <c r="B5136" s="3" t="inlineStr">
        <is>
          <t>113-1466503-2033061</t>
        </is>
      </c>
      <c r="C5136" s="3" t="inlineStr">
        <is>
          <t>RockyMountain</t>
        </is>
      </c>
    </row>
    <row collapsed="false" customFormat="false" customHeight="false" hidden="false" ht="12.1" outlineLevel="0" r="5137">
      <c r="A5137" s="3" t="s">
        <f>=HYPERLINK("https://mp39851918.megaplan.ua/deals/116503/card/","19807")</f>
      </c>
      <c r="B5137" s="3" t="inlineStr">
        <is>
          <t>112-9019549-6291457</t>
        </is>
      </c>
      <c r="C5137" s="3" t="inlineStr">
        <is>
          <t>RockyMountain</t>
        </is>
      </c>
    </row>
    <row collapsed="false" customFormat="false" customHeight="false" hidden="false" ht="12.1" outlineLevel="0" r="5138">
      <c r="A5138" s="3" t="s">
        <f>=HYPERLINK("https://mp39851918.megaplan.ua/deals/116508/card/","19808")</f>
      </c>
      <c r="B5138" s="3" t="inlineStr">
        <is>
          <t>111-7947414-6509017</t>
        </is>
      </c>
      <c r="C5138" s="3" t="inlineStr">
        <is>
          <t>TuckerRocky</t>
        </is>
      </c>
    </row>
    <row collapsed="false" customFormat="false" customHeight="false" hidden="false" ht="12.1" outlineLevel="0" r="5139">
      <c r="A5139" s="3" t="s">
        <f>=HYPERLINK("https://mp39851918.megaplan.ua/deals/116519/card/","19809")</f>
      </c>
      <c r="B5139" s="3" t="inlineStr">
        <is>
          <t>114-5598861-6739446</t>
        </is>
      </c>
      <c r="C5139" s="3" t="inlineStr">
        <is>
          <t>RockyMountain</t>
        </is>
      </c>
    </row>
    <row collapsed="false" customFormat="false" customHeight="false" hidden="false" ht="12.1" outlineLevel="0" r="5140">
      <c r="A5140" s="3" t="s">
        <f>=HYPERLINK("https://mp39851918.megaplan.ua/deals/116538/card/","19810")</f>
      </c>
      <c r="B5140" s="3" t="inlineStr">
        <is>
          <t>114-3596723-9022618</t>
        </is>
      </c>
      <c r="C5140" s="3" t="inlineStr">
        <is>
          <t>RockyMountain</t>
        </is>
      </c>
    </row>
    <row collapsed="false" customFormat="false" customHeight="false" hidden="false" ht="12.1" outlineLevel="0" r="5141">
      <c r="A5141" s="3" t="s">
        <f>=HYPERLINK("https://mp39851918.megaplan.ua/deals/116543/card/","19811")</f>
      </c>
      <c r="B5141" s="3" t="inlineStr">
        <is>
          <t>112-1258213-5186618</t>
        </is>
      </c>
      <c r="C5141" s="3" t="inlineStr">
        <is>
          <t>RockyMountain</t>
        </is>
      </c>
    </row>
    <row collapsed="false" customFormat="false" customHeight="false" hidden="false" ht="12.1" outlineLevel="0" r="5142">
      <c r="A5142" s="3" t="s">
        <f>=HYPERLINK("https://mp39851918.megaplan.ua/deals/116549/card/","19812")</f>
      </c>
      <c r="B5142" s="3" t="inlineStr">
        <is>
          <t>111-1618774-5950665</t>
        </is>
      </c>
      <c r="C5142" s="3" t="inlineStr">
        <is>
          <t>RockyMountain</t>
        </is>
      </c>
    </row>
    <row collapsed="false" customFormat="false" customHeight="false" hidden="false" ht="12.1" outlineLevel="0" r="5143">
      <c r="A5143" s="3" t="s">
        <f>=HYPERLINK("https://mp39851918.megaplan.ua/deals/116555/card/","19814")</f>
      </c>
      <c r="B5143" s="3" t="inlineStr">
        <is>
          <t>112-1271330-0697001</t>
        </is>
      </c>
      <c r="C5143" s="3" t="inlineStr">
        <is>
          <t>RockyMountain</t>
        </is>
      </c>
    </row>
    <row collapsed="false" customFormat="false" customHeight="false" hidden="false" ht="12.1" outlineLevel="0" r="5144">
      <c r="A5144" s="3" t="s">
        <f>=HYPERLINK("https://mp39851918.megaplan.ua/deals/116556/card/","19815")</f>
      </c>
      <c r="B5144" s="3" t="inlineStr">
        <is>
          <t>113-8235807-6292205</t>
        </is>
      </c>
      <c r="C5144" s="3" t="inlineStr">
        <is>
          <t>RockyMountain</t>
        </is>
      </c>
    </row>
    <row collapsed="false" customFormat="false" customHeight="false" hidden="false" ht="12.1" outlineLevel="0" r="5145">
      <c r="A5145" s="3" t="s">
        <f>=HYPERLINK("https://mp39851918.megaplan.ua/deals/116561/card/","19816")</f>
      </c>
      <c r="B5145" s="3" t="inlineStr">
        <is>
          <t>112-8503805-6654638</t>
        </is>
      </c>
      <c r="C5145" s="3" t="inlineStr">
        <is>
          <t>TuckerRocky</t>
        </is>
      </c>
    </row>
    <row collapsed="false" customFormat="false" customHeight="false" hidden="false" ht="12.1" outlineLevel="0" r="5146">
      <c r="A5146" s="3" t="s">
        <f>=HYPERLINK("https://mp39851918.megaplan.ua/deals/116568/card/","19817")</f>
      </c>
      <c r="B5146" s="3" t="inlineStr">
        <is>
          <t>112-0674372-5493036</t>
        </is>
      </c>
      <c r="C5146" s="3" t="inlineStr">
        <is>
          <t>TuckerRocky</t>
        </is>
      </c>
    </row>
    <row collapsed="false" customFormat="false" customHeight="false" hidden="false" ht="12.1" outlineLevel="0" r="5147">
      <c r="A5147" s="3" t="s">
        <f>=HYPERLINK("https://mp39851918.megaplan.ua/deals/116575/card/","19818")</f>
      </c>
      <c r="B5147" s="3" t="inlineStr">
        <is>
          <t>114-1090096-6156217</t>
        </is>
      </c>
      <c r="C5147" s="3" t="inlineStr">
        <is>
          <t>RockyMountain</t>
        </is>
      </c>
    </row>
    <row collapsed="false" customFormat="false" customHeight="false" hidden="false" ht="12.1" outlineLevel="0" r="5148">
      <c r="A5148" s="3" t="s">
        <f>=HYPERLINK("https://mp39851918.megaplan.ua/deals/116582/card/","19819")</f>
      </c>
      <c r="B5148" s="3" t="inlineStr">
        <is>
          <t>112-8340212-8349815</t>
        </is>
      </c>
      <c r="C5148" s="3" t="inlineStr">
        <is>
          <t>RockyMountain</t>
        </is>
      </c>
    </row>
    <row collapsed="false" customFormat="false" customHeight="false" hidden="false" ht="12.1" outlineLevel="0" r="5149">
      <c r="A5149" s="3" t="s">
        <f>=HYPERLINK("https://mp39851918.megaplan.ua/deals/116583/card/","19820")</f>
      </c>
      <c r="B5149" s="3" t="inlineStr">
        <is>
          <t>114-6273100-5597051</t>
        </is>
      </c>
      <c r="C5149" s="3" t="inlineStr">
        <is>
          <t>TuckerRocky</t>
        </is>
      </c>
    </row>
    <row collapsed="false" customFormat="false" customHeight="false" hidden="false" ht="12.1" outlineLevel="0" r="5150">
      <c r="A5150" s="3" t="s">
        <f>=HYPERLINK("https://mp39851918.megaplan.ua/deals/116584/card/","19821")</f>
      </c>
      <c r="B5150" s="3" t="inlineStr">
        <is>
          <t>112-9041619-3569866</t>
        </is>
      </c>
      <c r="C5150" s="3" t="inlineStr">
        <is>
          <t>TuckerRocky</t>
        </is>
      </c>
    </row>
    <row collapsed="false" customFormat="false" customHeight="false" hidden="false" ht="12.1" outlineLevel="0" r="5151">
      <c r="A5151" s="3" t="s">
        <f>=HYPERLINK("https://mp39851918.megaplan.ua/deals/116601/card/","19824")</f>
      </c>
      <c r="B5151" s="3" t="inlineStr">
        <is>
          <t>111-9523207-3166609</t>
        </is>
      </c>
      <c r="C5151" s="3" t="inlineStr">
        <is>
          <t>Autodist</t>
        </is>
      </c>
    </row>
    <row collapsed="false" customFormat="false" customHeight="false" hidden="false" ht="12.1" outlineLevel="0" r="5152">
      <c r="A5152" s="3" t="s">
        <f>=HYPERLINK("https://mp39851918.megaplan.ua/deals/116604/card/","19825")</f>
      </c>
      <c r="B5152" s="3" t="inlineStr">
        <is>
          <t>111-0597799-6757045</t>
        </is>
      </c>
      <c r="C5152" s="3" t="inlineStr">
        <is>
          <t>RockyMountain</t>
        </is>
      </c>
    </row>
    <row collapsed="false" customFormat="false" customHeight="false" hidden="false" ht="12.1" outlineLevel="0" r="5153">
      <c r="A5153" s="3" t="s">
        <f>=HYPERLINK("https://mp39851918.megaplan.ua/deals/116605/card/","19826")</f>
      </c>
      <c r="B5153" s="3" t="inlineStr">
        <is>
          <t>112-7588671-1642665</t>
        </is>
      </c>
      <c r="C5153" s="3" t="inlineStr">
        <is>
          <t>RockyMountain</t>
        </is>
      </c>
    </row>
    <row collapsed="false" customFormat="false" customHeight="false" hidden="false" ht="12.1" outlineLevel="0" r="5154">
      <c r="A5154" s="3" t="s">
        <f>=HYPERLINK("https://mp39851918.megaplan.ua/deals/116606/card/","19827")</f>
      </c>
      <c r="B5154" s="3" t="inlineStr">
        <is>
          <t>112-0452785-9200225</t>
        </is>
      </c>
      <c r="C5154" s="3" t="inlineStr">
        <is>
          <t>RockyMountain</t>
        </is>
      </c>
    </row>
    <row collapsed="false" customFormat="false" customHeight="false" hidden="false" ht="12.1" outlineLevel="0" r="5155">
      <c r="A5155" s="3" t="s">
        <f>=HYPERLINK("https://mp39851918.megaplan.ua/deals/116608/card/","19828")</f>
      </c>
      <c r="B5155" s="3" t="inlineStr">
        <is>
          <t>111-6790065-6135449</t>
        </is>
      </c>
      <c r="C5155" s="3" t="inlineStr">
        <is>
          <t>Autodist</t>
        </is>
      </c>
    </row>
    <row collapsed="false" customFormat="false" customHeight="false" hidden="false" ht="12.1" outlineLevel="0" r="5156">
      <c r="A5156" s="3" t="s">
        <f>=HYPERLINK("https://mp39851918.megaplan.ua/deals/116618/card/","19829")</f>
      </c>
      <c r="B5156" s="3" t="inlineStr">
        <is>
          <t>114-8412472-3273851</t>
        </is>
      </c>
      <c r="C5156" s="3" t="inlineStr">
        <is>
          <t>RockyMountain</t>
        </is>
      </c>
    </row>
    <row collapsed="false" customFormat="false" customHeight="false" hidden="false" ht="12.1" outlineLevel="0" r="5157">
      <c r="A5157" s="3" t="s">
        <f>=HYPERLINK("https://mp39851918.megaplan.ua/deals/116623/card/","19830")</f>
      </c>
      <c r="B5157" s="3" t="inlineStr">
        <is>
          <t>112-4320636-2029828</t>
        </is>
      </c>
      <c r="C5157" s="3" t="inlineStr">
        <is>
          <t>RockyMountain</t>
        </is>
      </c>
    </row>
    <row collapsed="false" customFormat="false" customHeight="false" hidden="false" ht="12.1" outlineLevel="0" r="5158">
      <c r="A5158" s="3" t="s">
        <f>=HYPERLINK("https://mp39851918.megaplan.ua/deals/116624/card/","19831")</f>
      </c>
      <c r="B5158" s="3" t="inlineStr">
        <is>
          <t>112-2718142-2756251</t>
        </is>
      </c>
      <c r="C5158" s="3" t="inlineStr">
        <is>
          <t>TuckerRocky</t>
        </is>
      </c>
    </row>
    <row collapsed="false" customFormat="false" customHeight="false" hidden="false" ht="12.1" outlineLevel="0" r="5159">
      <c r="A5159" s="3" t="s">
        <f>=HYPERLINK("https://mp39851918.megaplan.ua/deals/116632/card/","19832")</f>
      </c>
      <c r="B5159" s="3" t="inlineStr">
        <is>
          <t>111-4182039-7199447</t>
        </is>
      </c>
      <c r="C5159" s="3" t="inlineStr">
        <is>
          <t>RockyMountain</t>
        </is>
      </c>
    </row>
    <row collapsed="false" customFormat="false" customHeight="false" hidden="false" ht="12.1" outlineLevel="0" r="5160">
      <c r="A5160" s="3" t="s">
        <f>=HYPERLINK("https://mp39851918.megaplan.ua/deals/116645/card/","19833")</f>
      </c>
      <c r="B5160" s="3" t="inlineStr">
        <is>
          <t>111-2308619-5881811</t>
        </is>
      </c>
      <c r="C5160" s="3" t="inlineStr">
        <is>
          <t>RockyMountain</t>
        </is>
      </c>
    </row>
    <row collapsed="false" customFormat="false" customHeight="false" hidden="false" ht="12.1" outlineLevel="0" r="5161">
      <c r="A5161" s="3" t="s">
        <f>=HYPERLINK("https://mp39851918.megaplan.ua/deals/116657/card/","19834")</f>
      </c>
      <c r="B5161" s="3" t="inlineStr">
        <is>
          <t>114-6266549-7126642</t>
        </is>
      </c>
      <c r="C5161" s="3" t="inlineStr">
        <is>
          <t>RockyMountain</t>
        </is>
      </c>
    </row>
    <row collapsed="false" customFormat="false" customHeight="false" hidden="false" ht="12.1" outlineLevel="0" r="5162">
      <c r="A5162" s="3" t="s">
        <f>=HYPERLINK("https://mp39851918.megaplan.ua/deals/116658/card/","19835")</f>
      </c>
      <c r="B5162" s="3" t="inlineStr">
        <is>
          <t>112-5405433-4438638</t>
        </is>
      </c>
      <c r="C5162" s="3" t="inlineStr">
        <is>
          <t>PartsUnlimited</t>
        </is>
      </c>
    </row>
    <row collapsed="false" customFormat="false" customHeight="false" hidden="false" ht="12.1" outlineLevel="0" r="5163">
      <c r="A5163" s="3" t="s">
        <f>=HYPERLINK("https://mp39851918.megaplan.ua/deals/116661/card/","19836")</f>
      </c>
      <c r="B5163" s="3" t="inlineStr">
        <is>
          <t>113-2308023-3312244</t>
        </is>
      </c>
      <c r="C5163" s="3" t="inlineStr">
        <is>
          <t>RockyMountain</t>
        </is>
      </c>
    </row>
    <row collapsed="false" customFormat="false" customHeight="false" hidden="false" ht="12.1" outlineLevel="0" r="5164">
      <c r="A5164" s="3" t="s">
        <f>=HYPERLINK("https://mp39851918.megaplan.ua/deals/116668/card/","19837")</f>
      </c>
      <c r="B5164" s="3" t="inlineStr">
        <is>
          <t>111-0026165-6122657</t>
        </is>
      </c>
      <c r="C5164" s="3" t="inlineStr">
        <is>
          <t>RockyMountain</t>
        </is>
      </c>
    </row>
    <row collapsed="false" customFormat="false" customHeight="false" hidden="false" ht="12.1" outlineLevel="0" r="5165">
      <c r="A5165" s="3" t="s">
        <f>=HYPERLINK("https://mp39851918.megaplan.ua/deals/116669/card/","19838")</f>
      </c>
      <c r="B5165" s="3" t="inlineStr">
        <is>
          <t>112-6610310-1505010</t>
        </is>
      </c>
      <c r="C5165" s="3" t="inlineStr">
        <is>
          <t>RockyMountain</t>
        </is>
      </c>
    </row>
    <row collapsed="false" customFormat="false" customHeight="false" hidden="false" ht="12.1" outlineLevel="0" r="5166">
      <c r="A5166" s="3" t="s">
        <f>=HYPERLINK("https://mp39851918.megaplan.ua/deals/116679/card/","19839")</f>
      </c>
      <c r="B5166" s="3" t="inlineStr">
        <is>
          <t>111-5570170-6865850</t>
        </is>
      </c>
      <c r="C5166" s="3" t="inlineStr">
        <is>
          <t>Autodist</t>
        </is>
      </c>
    </row>
    <row collapsed="false" customFormat="false" customHeight="false" hidden="false" ht="12.1" outlineLevel="0" r="5167">
      <c r="A5167" s="3" t="s">
        <f>=HYPERLINK("https://mp39851918.megaplan.ua/deals/116688/card/","19840")</f>
      </c>
      <c r="B5167" s="3" t="inlineStr">
        <is>
          <t>113-8781262-5128210</t>
        </is>
      </c>
      <c r="C5167" s="3" t="inlineStr">
        <is>
          <t>TuckerRocky</t>
        </is>
      </c>
    </row>
    <row collapsed="false" customFormat="false" customHeight="false" hidden="false" ht="12.1" outlineLevel="0" r="5168">
      <c r="A5168" s="3" t="s">
        <f>=HYPERLINK("https://mp39851918.megaplan.ua/deals/116696/card/","19841")</f>
      </c>
      <c r="B5168" s="3" t="inlineStr">
        <is>
          <t>111-7778218-6577853</t>
        </is>
      </c>
      <c r="C5168" s="3" t="inlineStr">
        <is>
          <t>RockyMountain</t>
        </is>
      </c>
    </row>
    <row collapsed="false" customFormat="false" customHeight="false" hidden="false" ht="12.1" outlineLevel="0" r="5169">
      <c r="A5169" s="3" t="s">
        <f>=HYPERLINK("https://mp39851918.megaplan.ua/deals/116698/card/","19842")</f>
      </c>
      <c r="B5169" s="3" t="inlineStr">
        <is>
          <t>113-5679266-2229841</t>
        </is>
      </c>
      <c r="C5169" s="3" t="inlineStr">
        <is>
          <t>RockyMountain</t>
        </is>
      </c>
    </row>
    <row collapsed="false" customFormat="false" customHeight="false" hidden="false" ht="12.1" outlineLevel="0" r="5170">
      <c r="A5170" s="3" t="s">
        <f>=HYPERLINK("https://mp39851918.megaplan.ua/deals/116707/card/","19843")</f>
      </c>
      <c r="B5170" s="3" t="inlineStr">
        <is>
          <t>114-0686086-6852219</t>
        </is>
      </c>
      <c r="C5170" s="3" t="inlineStr">
        <is>
          <t>TuckerRocky</t>
        </is>
      </c>
    </row>
    <row collapsed="false" customFormat="false" customHeight="false" hidden="false" ht="12.1" outlineLevel="0" r="5171">
      <c r="A5171" s="3" t="s">
        <f>=HYPERLINK("https://mp39851918.megaplan.ua/deals/116709/card/","19844")</f>
      </c>
      <c r="B5171" s="3" t="inlineStr">
        <is>
          <t>113-3656317-9311430</t>
        </is>
      </c>
      <c r="C5171" s="3" t="inlineStr">
        <is>
          <t>Autodist</t>
        </is>
      </c>
    </row>
    <row collapsed="false" customFormat="false" customHeight="false" hidden="false" ht="12.1" outlineLevel="0" r="5172">
      <c r="A5172" s="3" t="s">
        <f>=HYPERLINK("https://mp39851918.megaplan.ua/deals/116713/card/","19845")</f>
      </c>
      <c r="B5172" s="3" t="inlineStr">
        <is>
          <t>113-4291410-9714656</t>
        </is>
      </c>
      <c r="C5172" s="3" t="inlineStr">
        <is>
          <t>PartsUnlimited</t>
        </is>
      </c>
    </row>
    <row collapsed="false" customFormat="false" customHeight="false" hidden="false" ht="12.1" outlineLevel="0" r="5173">
      <c r="A5173" s="3" t="s">
        <f>=HYPERLINK("https://mp39851918.megaplan.ua/deals/116714/card/","19846")</f>
      </c>
      <c r="B5173" s="3" t="inlineStr">
        <is>
          <t>111-2021083-2758626</t>
        </is>
      </c>
      <c r="C5173" s="3" t="inlineStr">
        <is>
          <t>TuckerRocky</t>
        </is>
      </c>
    </row>
    <row collapsed="false" customFormat="false" customHeight="false" hidden="false" ht="12.1" outlineLevel="0" r="5174">
      <c r="A5174" s="3" t="s">
        <f>=HYPERLINK("https://mp39851918.megaplan.ua/deals/116739/card/","19847")</f>
      </c>
      <c r="B5174" s="3" t="inlineStr">
        <is>
          <t>111-7009872-9035404</t>
        </is>
      </c>
      <c r="C5174" s="3" t="inlineStr">
        <is>
          <t>RockyMountain</t>
        </is>
      </c>
    </row>
    <row collapsed="false" customFormat="false" customHeight="false" hidden="false" ht="12.1" outlineLevel="0" r="5175">
      <c r="A5175" s="3" t="s">
        <f>=HYPERLINK("https://mp39851918.megaplan.ua/deals/116748/card/","19848")</f>
      </c>
      <c r="B5175" s="3" t="inlineStr">
        <is>
          <t>111-6504261-6737061</t>
        </is>
      </c>
      <c r="C5175" s="3" t="inlineStr">
        <is>
          <t>RockyMountain</t>
        </is>
      </c>
    </row>
    <row collapsed="false" customFormat="false" customHeight="false" hidden="false" ht="12.1" outlineLevel="0" r="5176">
      <c r="A5176" s="3" t="s">
        <f>=HYPERLINK("https://mp39851918.megaplan.ua/deals/116761/card/","19849")</f>
      </c>
      <c r="B5176" s="3" t="inlineStr">
        <is>
          <t>114-3842640-8084207</t>
        </is>
      </c>
      <c r="C5176" s="3" t="inlineStr">
        <is>
          <t>TuckerRocky</t>
        </is>
      </c>
    </row>
    <row collapsed="false" customFormat="false" customHeight="false" hidden="false" ht="12.1" outlineLevel="0" r="5177">
      <c r="A5177" s="3" t="s">
        <f>=HYPERLINK("https://mp39851918.megaplan.ua/deals/116778/card/","19851")</f>
      </c>
      <c r="B5177" s="3" t="inlineStr">
        <is>
          <t>111-8588300-3537060</t>
        </is>
      </c>
      <c r="C5177" s="3" t="inlineStr">
        <is>
          <t>TuckerRocky</t>
        </is>
      </c>
    </row>
    <row collapsed="false" customFormat="false" customHeight="false" hidden="false" ht="12.1" outlineLevel="0" r="5178">
      <c r="A5178" s="3" t="s">
        <f>=HYPERLINK("https://mp39851918.megaplan.ua/deals/116790/card/","19852")</f>
      </c>
      <c r="B5178" s="3" t="inlineStr">
        <is>
          <t>111-2717594-4997801</t>
        </is>
      </c>
      <c r="C5178" s="3" t="inlineStr">
        <is>
          <t>RockyMountain</t>
        </is>
      </c>
    </row>
    <row collapsed="false" customFormat="false" customHeight="false" hidden="false" ht="12.1" outlineLevel="0" r="5179">
      <c r="A5179" s="3" t="s">
        <f>=HYPERLINK("https://mp39851918.megaplan.ua/deals/116809/card/","19853")</f>
      </c>
      <c r="B5179" s="3" t="inlineStr">
        <is>
          <t>112-6562940-1543464</t>
        </is>
      </c>
      <c r="C5179" s="3" t="inlineStr">
        <is>
          <t>Autodist</t>
        </is>
      </c>
    </row>
    <row collapsed="false" customFormat="false" customHeight="false" hidden="false" ht="12.1" outlineLevel="0" r="5180">
      <c r="A5180" s="3" t="s">
        <f>=HYPERLINK("https://mp39851918.megaplan.ua/deals/116822/card/","19854")</f>
      </c>
      <c r="B5180" s="3" t="inlineStr">
        <is>
          <t>112-1870504-2502648</t>
        </is>
      </c>
      <c r="C5180" s="3" t="inlineStr">
        <is>
          <t>TuckerRocky</t>
        </is>
      </c>
    </row>
    <row collapsed="false" customFormat="false" customHeight="false" hidden="false" ht="12.1" outlineLevel="0" r="5181">
      <c r="A5181" s="3" t="s">
        <f>=HYPERLINK("https://mp39851918.megaplan.ua/deals/116824/card/","19855")</f>
      </c>
      <c r="B5181" s="3" t="inlineStr">
        <is>
          <t>113-3613852-8896262</t>
        </is>
      </c>
      <c r="C5181" s="3" t="inlineStr">
        <is>
          <t>Autodist</t>
        </is>
      </c>
    </row>
    <row collapsed="false" customFormat="false" customHeight="false" hidden="false" ht="12.1" outlineLevel="0" r="5182">
      <c r="A5182" s="3" t="s">
        <f>=HYPERLINK("https://mp39851918.megaplan.ua/deals/116825/card/","19856")</f>
      </c>
      <c r="B5182" s="3" t="inlineStr">
        <is>
          <t>111-9830811-5493034</t>
        </is>
      </c>
      <c r="C5182" s="3" t="inlineStr">
        <is>
          <t>TuckerRocky</t>
        </is>
      </c>
    </row>
    <row collapsed="false" customFormat="false" customHeight="false" hidden="false" ht="12.1" outlineLevel="0" r="5183">
      <c r="A5183" s="3" t="s">
        <f>=HYPERLINK("https://mp39851918.megaplan.ua/deals/116833/card/","19857")</f>
      </c>
      <c r="B5183" s="3" t="inlineStr">
        <is>
          <t>111-3564915-8283444</t>
        </is>
      </c>
      <c r="C5183" s="3" t="inlineStr">
        <is>
          <t>RockyMountain</t>
        </is>
      </c>
    </row>
    <row collapsed="false" customFormat="false" customHeight="false" hidden="false" ht="12.1" outlineLevel="0" r="5184">
      <c r="A5184" s="3" t="s">
        <f>=HYPERLINK("https://mp39851918.megaplan.ua/deals/116834/card/","19858")</f>
      </c>
      <c r="B5184" s="3" t="inlineStr">
        <is>
          <t>112-7609937-9278666</t>
        </is>
      </c>
      <c r="C5184" s="3" t="inlineStr">
        <is>
          <t>TuckerRocky</t>
        </is>
      </c>
    </row>
    <row collapsed="false" customFormat="false" customHeight="false" hidden="false" ht="12.1" outlineLevel="0" r="5185">
      <c r="A5185" s="3" t="s">
        <f>=HYPERLINK("https://mp39851918.megaplan.ua/deals/116854/card/","19859")</f>
      </c>
      <c r="B5185" s="3" t="inlineStr">
        <is>
          <t>113-4787805-9906637</t>
        </is>
      </c>
      <c r="C5185" s="3" t="inlineStr">
        <is>
          <t>TuckerRocky</t>
        </is>
      </c>
    </row>
    <row collapsed="false" customFormat="false" customHeight="false" hidden="false" ht="12.1" outlineLevel="0" r="5186">
      <c r="A5186" s="3" t="s">
        <f>=HYPERLINK("https://mp39851918.megaplan.ua/deals/116861/card/","19860")</f>
      </c>
      <c r="B5186" s="3" t="inlineStr">
        <is>
          <t>114-1259372-5278617</t>
        </is>
      </c>
      <c r="C5186" s="3" t="inlineStr">
        <is>
          <t>TuckerRocky</t>
        </is>
      </c>
    </row>
    <row collapsed="false" customFormat="false" customHeight="false" hidden="false" ht="12.1" outlineLevel="0" r="5187">
      <c r="A5187" s="3" t="s">
        <f>=HYPERLINK("https://mp39851918.megaplan.ua/deals/116862/card/","19861")</f>
      </c>
      <c r="B5187" s="3" t="inlineStr">
        <is>
          <t>114-6569473-5710644</t>
        </is>
      </c>
      <c r="C5187" s="3" t="inlineStr">
        <is>
          <t>TuckerRocky</t>
        </is>
      </c>
    </row>
    <row collapsed="false" customFormat="false" customHeight="false" hidden="false" ht="12.1" outlineLevel="0" r="5188">
      <c r="A5188" s="3" t="s">
        <f>=HYPERLINK("https://mp39851918.megaplan.ua/deals/116870/card/","19862")</f>
      </c>
      <c r="B5188" s="3" t="inlineStr">
        <is>
          <t>114-0289991-0419466</t>
        </is>
      </c>
      <c r="C5188" s="3" t="inlineStr">
        <is>
          <t>PartsUnlimited</t>
        </is>
      </c>
    </row>
    <row collapsed="false" customFormat="false" customHeight="false" hidden="false" ht="12.1" outlineLevel="0" r="5189">
      <c r="A5189" s="3" t="s">
        <f>=HYPERLINK("https://mp39851918.megaplan.ua/deals/116883/card/","19864")</f>
      </c>
      <c r="B5189" s="3" t="inlineStr">
        <is>
          <t>113-7207078-6176262</t>
        </is>
      </c>
      <c r="C5189" s="3" t="inlineStr">
        <is>
          <t>RockyMountain</t>
        </is>
      </c>
    </row>
    <row collapsed="false" customFormat="false" customHeight="false" hidden="false" ht="12.1" outlineLevel="0" r="5190">
      <c r="A5190" s="3" t="s">
        <f>=HYPERLINK("https://mp39851918.megaplan.ua/deals/116888/card/","19865")</f>
      </c>
      <c r="B5190" s="3" t="inlineStr">
        <is>
          <t>111-8727415-4897045</t>
        </is>
      </c>
      <c r="C5190" s="3" t="inlineStr">
        <is>
          <t>Autodist</t>
        </is>
      </c>
    </row>
    <row collapsed="false" customFormat="false" customHeight="false" hidden="false" ht="12.1" outlineLevel="0" r="5191">
      <c r="A5191" s="3" t="s">
        <f>=HYPERLINK("https://mp39851918.megaplan.ua/deals/116899/card/","19866")</f>
      </c>
      <c r="B5191" s="3" t="inlineStr">
        <is>
          <t>113-8322296-1033023</t>
        </is>
      </c>
      <c r="C5191" s="3" t="inlineStr">
        <is>
          <t>RockyMountain</t>
        </is>
      </c>
    </row>
    <row collapsed="false" customFormat="false" customHeight="false" hidden="false" ht="12.1" outlineLevel="0" r="5192">
      <c r="A5192" s="3" t="s">
        <f>=HYPERLINK("https://mp39851918.megaplan.ua/deals/116902/card/","19867")</f>
      </c>
      <c r="B5192" s="3" t="inlineStr">
        <is>
          <t>114-2828767-3676213</t>
        </is>
      </c>
      <c r="C5192" s="3" t="inlineStr">
        <is>
          <t>TuckerRocky</t>
        </is>
      </c>
    </row>
    <row collapsed="false" customFormat="false" customHeight="false" hidden="false" ht="12.1" outlineLevel="0" r="5193">
      <c r="A5193" s="3" t="s">
        <f>=HYPERLINK("https://mp39851918.megaplan.ua/deals/116910/card/","19868")</f>
      </c>
      <c r="B5193" s="3" t="inlineStr">
        <is>
          <t>114-6742346-0408210</t>
        </is>
      </c>
      <c r="C5193" s="3" t="inlineStr">
        <is>
          <t>RockyMountain</t>
        </is>
      </c>
    </row>
    <row collapsed="false" customFormat="false" customHeight="false" hidden="false" ht="12.1" outlineLevel="0" r="5194">
      <c r="A5194" s="3" t="s">
        <f>=HYPERLINK("https://mp39851918.megaplan.ua/deals/116912/card/","19869")</f>
      </c>
      <c r="B5194" s="3" t="inlineStr">
        <is>
          <t>112-9307755-2004263</t>
        </is>
      </c>
      <c r="C5194" s="3" t="inlineStr">
        <is>
          <t>Autodist</t>
        </is>
      </c>
    </row>
    <row collapsed="false" customFormat="false" customHeight="false" hidden="false" ht="12.1" outlineLevel="0" r="5195">
      <c r="A5195" s="3" t="s">
        <f>=HYPERLINK("https://mp39851918.megaplan.ua/deals/116923/card/","19870")</f>
      </c>
      <c r="B5195" s="3" t="inlineStr">
        <is>
          <t>113-7086869-8496232</t>
        </is>
      </c>
      <c r="C5195" s="3" t="inlineStr">
        <is>
          <t>TuckerRocky</t>
        </is>
      </c>
    </row>
    <row collapsed="false" customFormat="false" customHeight="false" hidden="false" ht="12.1" outlineLevel="0" r="5196">
      <c r="A5196" s="3" t="s">
        <f>=HYPERLINK("https://mp39851918.megaplan.ua/deals/116924/card/","19871")</f>
      </c>
      <c r="B5196" s="3" t="inlineStr">
        <is>
          <t>113-4175926-3928238</t>
        </is>
      </c>
      <c r="C5196" s="3" t="inlineStr">
        <is>
          <t>PartsUnlimited</t>
        </is>
      </c>
    </row>
    <row collapsed="false" customFormat="false" customHeight="false" hidden="false" ht="12.1" outlineLevel="0" r="5197">
      <c r="A5197" s="3" t="s">
        <f>=HYPERLINK("https://mp39851918.megaplan.ua/deals/116925/card/","19872")</f>
      </c>
      <c r="B5197" s="3" t="inlineStr">
        <is>
          <t>114-8581621-3187404</t>
        </is>
      </c>
      <c r="C5197" s="3" t="inlineStr">
        <is>
          <t>Autodist</t>
        </is>
      </c>
    </row>
    <row collapsed="false" customFormat="false" customHeight="false" hidden="false" ht="12.1" outlineLevel="0" r="5198">
      <c r="A5198" s="3" t="s">
        <f>=HYPERLINK("https://mp39851918.megaplan.ua/deals/116929/card/","19873")</f>
      </c>
      <c r="B5198" s="3" t="inlineStr">
        <is>
          <t>111-8186240-9700221</t>
        </is>
      </c>
      <c r="C5198" s="3" t="inlineStr">
        <is>
          <t>Autodist</t>
        </is>
      </c>
    </row>
    <row collapsed="false" customFormat="false" customHeight="false" hidden="false" ht="12.1" outlineLevel="0" r="5199">
      <c r="A5199" s="3" t="s">
        <f>=HYPERLINK("https://mp39851918.megaplan.ua/deals/116930/card/","19874")</f>
      </c>
      <c r="B5199" s="3" t="inlineStr">
        <is>
          <t>114-4599501-4233001</t>
        </is>
      </c>
      <c r="C5199" s="3" t="inlineStr">
        <is>
          <t>TuckerRocky</t>
        </is>
      </c>
    </row>
    <row collapsed="false" customFormat="false" customHeight="false" hidden="false" ht="12.1" outlineLevel="0" r="5200">
      <c r="A5200" s="3" t="s">
        <f>=HYPERLINK("https://mp39851918.megaplan.ua/deals/116932/card/","19875")</f>
      </c>
      <c r="B5200" s="3" t="inlineStr">
        <is>
          <t>113-5585831-2172253</t>
        </is>
      </c>
      <c r="C5200" s="3" t="inlineStr">
        <is>
          <t>Autodist</t>
        </is>
      </c>
    </row>
    <row collapsed="false" customFormat="false" customHeight="false" hidden="false" ht="12.1" outlineLevel="0" r="5201">
      <c r="A5201" s="3" t="s">
        <f>=HYPERLINK("https://mp39851918.megaplan.ua/deals/116935/card/","19876")</f>
      </c>
      <c r="B5201" s="3" t="inlineStr">
        <is>
          <t>111-7439208-1705802</t>
        </is>
      </c>
      <c r="C5201" s="3" t="inlineStr">
        <is>
          <t>TuckerRocky</t>
        </is>
      </c>
    </row>
    <row collapsed="false" customFormat="false" customHeight="false" hidden="false" ht="12.1" outlineLevel="0" r="5202">
      <c r="A5202" s="3" t="s">
        <f>=HYPERLINK("https://mp39851918.megaplan.ua/deals/116936/card/","19877")</f>
      </c>
      <c r="B5202" s="3" t="inlineStr">
        <is>
          <t>114-9874923-5092252</t>
        </is>
      </c>
      <c r="C5202" s="3" t="inlineStr">
        <is>
          <t>PartsUnlimited</t>
        </is>
      </c>
    </row>
    <row collapsed="false" customFormat="false" customHeight="false" hidden="false" ht="12.1" outlineLevel="0" r="5203">
      <c r="A5203" s="3" t="s">
        <f>=HYPERLINK("https://mp39851918.megaplan.ua/deals/116937/card/","19878")</f>
      </c>
      <c r="B5203" s="3" t="inlineStr">
        <is>
          <t>111-2606827-4640264</t>
        </is>
      </c>
      <c r="C5203" s="3" t="inlineStr">
        <is>
          <t>Autodist</t>
        </is>
      </c>
    </row>
    <row collapsed="false" customFormat="false" customHeight="false" hidden="false" ht="12.1" outlineLevel="0" r="5204">
      <c r="A5204" s="3" t="s">
        <f>=HYPERLINK("https://mp39851918.megaplan.ua/deals/116938/card/","19879")</f>
      </c>
      <c r="B5204" s="3" t="inlineStr">
        <is>
          <t>113-4485503-4804229</t>
        </is>
      </c>
      <c r="C5204" s="3" t="inlineStr">
        <is>
          <t>Autodist</t>
        </is>
      </c>
    </row>
    <row collapsed="false" customFormat="false" customHeight="false" hidden="false" ht="12.1" outlineLevel="0" r="5205">
      <c r="A5205" s="3" t="s">
        <f>=HYPERLINK("https://mp39851918.megaplan.ua/deals/116939/card/","19880")</f>
      </c>
      <c r="B5205" s="3" t="inlineStr">
        <is>
          <t>114-0248622-3523423</t>
        </is>
      </c>
      <c r="C5205" s="3" t="inlineStr">
        <is>
          <t>TuckerRocky</t>
        </is>
      </c>
    </row>
    <row collapsed="false" customFormat="false" customHeight="false" hidden="false" ht="12.1" outlineLevel="0" r="5206">
      <c r="A5206" s="3" t="s">
        <f>=HYPERLINK("https://mp39851918.megaplan.ua/deals/116942/card/","19881")</f>
      </c>
      <c r="B5206" s="3" t="inlineStr">
        <is>
          <t>114-3755418-8392229</t>
        </is>
      </c>
      <c r="C5206" s="3" t="inlineStr">
        <is>
          <t>RockyMountain</t>
        </is>
      </c>
    </row>
    <row collapsed="false" customFormat="false" customHeight="false" hidden="false" ht="12.1" outlineLevel="0" r="5207">
      <c r="A5207" s="3" t="s">
        <f>=HYPERLINK("https://mp39851918.megaplan.ua/deals/116944/card/","19882")</f>
      </c>
      <c r="B5207" s="3" t="inlineStr">
        <is>
          <t>114-4095405-5134624</t>
        </is>
      </c>
      <c r="C5207" s="3" t="inlineStr">
        <is>
          <t>RockyMountain</t>
        </is>
      </c>
    </row>
    <row collapsed="false" customFormat="false" customHeight="false" hidden="false" ht="12.1" outlineLevel="0" r="5208">
      <c r="A5208" s="3" t="s">
        <f>=HYPERLINK("https://mp39851918.megaplan.ua/deals/116947/card/","19883")</f>
      </c>
      <c r="B5208" s="3" t="inlineStr">
        <is>
          <t>112-4991352-9645000</t>
        </is>
      </c>
      <c r="C5208" s="3" t="inlineStr">
        <is>
          <t>PartsUnlimited</t>
        </is>
      </c>
    </row>
    <row collapsed="false" customFormat="false" customHeight="false" hidden="false" ht="12.1" outlineLevel="0" r="5209">
      <c r="A5209" s="3" t="s">
        <f>=HYPERLINK("https://mp39851918.megaplan.ua/deals/116949/card/","19884")</f>
      </c>
      <c r="B5209" s="3" t="inlineStr">
        <is>
          <t>114-0559541-1013002</t>
        </is>
      </c>
      <c r="C5209" s="3" t="inlineStr">
        <is>
          <t>RockyMountain</t>
        </is>
      </c>
    </row>
    <row collapsed="false" customFormat="false" customHeight="false" hidden="false" ht="12.1" outlineLevel="0" r="5210">
      <c r="A5210" s="3" t="s">
        <f>=HYPERLINK("https://mp39851918.megaplan.ua/deals/116950/card/","19885")</f>
      </c>
      <c r="B5210" s="3" t="inlineStr">
        <is>
          <t>112-9483654-2742666</t>
        </is>
      </c>
      <c r="C5210" s="3" t="inlineStr">
        <is>
          <t>TuckerRocky</t>
        </is>
      </c>
    </row>
    <row collapsed="false" customFormat="false" customHeight="false" hidden="false" ht="12.1" outlineLevel="0" r="5211">
      <c r="A5211" s="3" t="s">
        <f>=HYPERLINK("https://mp39851918.megaplan.ua/deals/116951/card/","19886")</f>
      </c>
      <c r="B5211" s="3" t="inlineStr">
        <is>
          <t>111-0566170-2746610</t>
        </is>
      </c>
      <c r="C5211" s="3" t="inlineStr">
        <is>
          <t>Autodist</t>
        </is>
      </c>
    </row>
    <row collapsed="false" customFormat="false" customHeight="false" hidden="false" ht="12.1" outlineLevel="0" r="5212">
      <c r="A5212" s="3" t="s">
        <f>=HYPERLINK("https://mp39851918.megaplan.ua/deals/116955/card/","19887")</f>
      </c>
      <c r="B5212" s="3" t="inlineStr">
        <is>
          <t>113-9819979-0626616</t>
        </is>
      </c>
      <c r="C5212" s="3" t="inlineStr">
        <is>
          <t>RockyMountain</t>
        </is>
      </c>
    </row>
    <row collapsed="false" customFormat="false" customHeight="false" hidden="false" ht="12.1" outlineLevel="0" r="5213">
      <c r="A5213" s="3" t="s">
        <f>=HYPERLINK("https://mp39851918.megaplan.ua/deals/116957/card/","19888")</f>
      </c>
      <c r="B5213" s="3" t="inlineStr">
        <is>
          <t>113-6739295-1525036</t>
        </is>
      </c>
      <c r="C5213" s="3" t="inlineStr">
        <is>
          <t>TuckerRocky</t>
        </is>
      </c>
    </row>
    <row collapsed="false" customFormat="false" customHeight="false" hidden="false" ht="12.1" outlineLevel="0" r="5214">
      <c r="A5214" s="3" t="s">
        <f>=HYPERLINK("https://mp39851918.megaplan.ua/deals/116980/card/","19889")</f>
      </c>
      <c r="B5214" s="3" t="inlineStr">
        <is>
          <t>113-2005642-0179401</t>
        </is>
      </c>
      <c r="C5214" s="3" t="inlineStr">
        <is>
          <t>RockyMountain</t>
        </is>
      </c>
    </row>
    <row collapsed="false" customFormat="false" customHeight="false" hidden="false" ht="12.1" outlineLevel="0" r="5215">
      <c r="A5215" s="3" t="s">
        <f>=HYPERLINK("https://mp39851918.megaplan.ua/deals/116981/card/","19890")</f>
      </c>
      <c r="B5215" s="3" t="inlineStr">
        <is>
          <t>113-1430658-0920232</t>
        </is>
      </c>
      <c r="C5215" s="3" t="inlineStr">
        <is>
          <t>PartsUnlimited</t>
        </is>
      </c>
    </row>
    <row collapsed="false" customFormat="false" customHeight="false" hidden="false" ht="12.1" outlineLevel="0" r="5216">
      <c r="A5216" s="3" t="s">
        <f>=HYPERLINK("https://mp39851918.megaplan.ua/deals/117020/card/","19893")</f>
      </c>
      <c r="B5216" s="3" t="inlineStr">
        <is>
          <t>111-3478272-4714603</t>
        </is>
      </c>
      <c r="C5216" s="3" t="inlineStr">
        <is>
          <t>RockyMountain</t>
        </is>
      </c>
    </row>
    <row collapsed="false" customFormat="false" customHeight="false" hidden="false" ht="12.1" outlineLevel="0" r="5217">
      <c r="A5217" s="3" t="s">
        <f>=HYPERLINK("https://mp39851918.megaplan.ua/deals/117022/card/","19894")</f>
      </c>
      <c r="B5217" s="3" t="inlineStr">
        <is>
          <t>111-0835918-1521013</t>
        </is>
      </c>
      <c r="C5217" s="3" t="inlineStr">
        <is>
          <t>Autodist</t>
        </is>
      </c>
    </row>
    <row collapsed="false" customFormat="false" customHeight="false" hidden="false" ht="12.1" outlineLevel="0" r="5218">
      <c r="A5218" s="3" t="s">
        <f>=HYPERLINK("https://mp39851918.megaplan.ua/deals/117025/card/","19895")</f>
      </c>
      <c r="B5218" s="3" t="inlineStr">
        <is>
          <t>111-8313451-2613066</t>
        </is>
      </c>
      <c r="C5218" s="3" t="inlineStr">
        <is>
          <t>RockyMountain</t>
        </is>
      </c>
    </row>
    <row collapsed="false" customFormat="false" customHeight="false" hidden="false" ht="12.1" outlineLevel="0" r="5219">
      <c r="A5219" s="3" t="s">
        <f>=HYPERLINK("https://mp39851918.megaplan.ua/deals/117037/card/","19896")</f>
      </c>
      <c r="B5219" s="3" t="inlineStr">
        <is>
          <t>114-8966482-3205818</t>
        </is>
      </c>
      <c r="C5219" s="3" t="inlineStr">
        <is>
          <t>TuckerRocky</t>
        </is>
      </c>
    </row>
    <row collapsed="false" customFormat="false" customHeight="false" hidden="false" ht="12.1" outlineLevel="0" r="5220">
      <c r="A5220" s="3" t="s">
        <f>=HYPERLINK("https://mp39851918.megaplan.ua/deals/117040/card/","19897")</f>
      </c>
      <c r="B5220" s="3" t="inlineStr">
        <is>
          <t>111-1074733-7861805</t>
        </is>
      </c>
      <c r="C5220" s="3" t="inlineStr">
        <is>
          <t>RockyMountain</t>
        </is>
      </c>
    </row>
    <row collapsed="false" customFormat="false" customHeight="false" hidden="false" ht="12.1" outlineLevel="0" r="5221">
      <c r="A5221" s="3" t="s">
        <f>=HYPERLINK("https://mp39851918.megaplan.ua/deals/117042/card/","19898")</f>
      </c>
      <c r="B5221" s="3" t="inlineStr">
        <is>
          <t>111-9176380-2302619</t>
        </is>
      </c>
      <c r="C5221" s="3" t="inlineStr">
        <is>
          <t>RockyMountain</t>
        </is>
      </c>
    </row>
    <row collapsed="false" customFormat="false" customHeight="false" hidden="false" ht="12.1" outlineLevel="0" r="5222">
      <c r="A5222" s="3" t="s">
        <f>=HYPERLINK("https://mp39851918.megaplan.ua/deals/117053/card/","19899")</f>
      </c>
      <c r="B5222" s="3" t="inlineStr">
        <is>
          <t>111-6123153-9705862</t>
        </is>
      </c>
      <c r="C5222" s="3" t="inlineStr">
        <is>
          <t>PartsUnlimited</t>
        </is>
      </c>
    </row>
    <row collapsed="false" customFormat="false" customHeight="false" hidden="false" ht="12.1" outlineLevel="0" r="5223">
      <c r="A5223" s="3" t="s">
        <f>=HYPERLINK("https://mp39851918.megaplan.ua/deals/117067/card/","19900")</f>
      </c>
      <c r="B5223" s="3" t="inlineStr">
        <is>
          <t>112-7912455-0033011</t>
        </is>
      </c>
      <c r="C5223" s="3" t="inlineStr">
        <is>
          <t>RockyMountain</t>
        </is>
      </c>
    </row>
    <row collapsed="false" customFormat="false" customHeight="false" hidden="false" ht="12.1" outlineLevel="0" r="5224">
      <c r="A5224" s="3" t="s">
        <f>=HYPERLINK("https://mp39851918.megaplan.ua/deals/117099/card/","19902")</f>
      </c>
      <c r="B5224" s="3" t="inlineStr">
        <is>
          <t>113-0399066-0347449</t>
        </is>
      </c>
      <c r="C5224" s="3" t="inlineStr">
        <is>
          <t>RockyMountain</t>
        </is>
      </c>
    </row>
    <row collapsed="false" customFormat="false" customHeight="false" hidden="false" ht="12.1" outlineLevel="0" r="5225">
      <c r="A5225" s="3" t="s">
        <f>=HYPERLINK("https://mp39851918.megaplan.ua/deals/117105/card/","19903")</f>
      </c>
      <c r="B5225" s="3" t="inlineStr">
        <is>
          <t>114-4538574-7836269</t>
        </is>
      </c>
      <c r="C5225" s="3" t="inlineStr">
        <is>
          <t>RockyMountain</t>
        </is>
      </c>
    </row>
    <row collapsed="false" customFormat="false" customHeight="false" hidden="false" ht="12.1" outlineLevel="0" r="5226">
      <c r="A5226" s="3" t="s">
        <f>=HYPERLINK("https://mp39851918.megaplan.ua/deals/117116/card/","19904")</f>
      </c>
      <c r="B5226" s="3" t="inlineStr">
        <is>
          <t>113-1591988-4449818</t>
        </is>
      </c>
      <c r="C5226" s="3" t="inlineStr">
        <is>
          <t>PartsUnlimited</t>
        </is>
      </c>
    </row>
    <row collapsed="false" customFormat="false" customHeight="false" hidden="false" ht="12.1" outlineLevel="0" r="5227">
      <c r="A5227" s="3" t="s">
        <f>=HYPERLINK("https://mp39851918.megaplan.ua/deals/117130/card/","19906")</f>
      </c>
      <c r="B5227" s="3" t="inlineStr">
        <is>
          <t>111-4263919-6938649</t>
        </is>
      </c>
      <c r="C5227" s="3" t="inlineStr">
        <is>
          <t>RockyMountain</t>
        </is>
      </c>
    </row>
    <row collapsed="false" customFormat="false" customHeight="false" hidden="false" ht="12.1" outlineLevel="0" r="5228">
      <c r="A5228" s="3" t="s">
        <f>=HYPERLINK("https://mp39851918.megaplan.ua/deals/117131/card/","19907")</f>
      </c>
      <c r="B5228" s="3" t="inlineStr">
        <is>
          <t>112-9768002-7400236</t>
        </is>
      </c>
      <c r="C5228" s="3" t="inlineStr">
        <is>
          <t>RockyMountain</t>
        </is>
      </c>
    </row>
    <row collapsed="false" customFormat="false" customHeight="false" hidden="false" ht="12.1" outlineLevel="0" r="5229">
      <c r="A5229" s="3" t="s">
        <f>=HYPERLINK("https://mp39851918.megaplan.ua/deals/117140/card/","19908")</f>
      </c>
      <c r="B5229" s="3" t="inlineStr">
        <is>
          <t>111-2954641-8316202</t>
        </is>
      </c>
      <c r="C5229" s="3" t="inlineStr">
        <is>
          <t>Autodist</t>
        </is>
      </c>
    </row>
    <row collapsed="false" customFormat="false" customHeight="false" hidden="false" ht="12.1" outlineLevel="0" r="5230">
      <c r="A5230" s="3" t="s">
        <f>=HYPERLINK("https://mp39851918.megaplan.ua/deals/117141/card/","19909")</f>
      </c>
      <c r="B5230" s="3" t="inlineStr">
        <is>
          <t>113-1425796-7299458</t>
        </is>
      </c>
      <c r="C5230" s="3" t="inlineStr">
        <is>
          <t>RockyMountain</t>
        </is>
      </c>
    </row>
    <row collapsed="false" customFormat="false" customHeight="false" hidden="false" ht="12.1" outlineLevel="0" r="5231">
      <c r="A5231" s="3" t="s">
        <f>=HYPERLINK("https://mp39851918.megaplan.ua/deals/117151/card/","19910")</f>
      </c>
      <c r="B5231" s="3" t="inlineStr">
        <is>
          <t>111-4621497-6469029</t>
        </is>
      </c>
      <c r="C5231" s="3" t="inlineStr">
        <is>
          <t>RockyMountain</t>
        </is>
      </c>
    </row>
    <row collapsed="false" customFormat="false" customHeight="false" hidden="false" ht="12.1" outlineLevel="0" r="5232">
      <c r="A5232" s="3" t="s">
        <f>=HYPERLINK("https://mp39851918.megaplan.ua/deals/117153/card/","19911")</f>
      </c>
      <c r="B5232" s="3" t="inlineStr">
        <is>
          <t>111-4218068-0573812</t>
        </is>
      </c>
      <c r="C5232" s="3" t="inlineStr">
        <is>
          <t>TuckerRocky</t>
        </is>
      </c>
    </row>
    <row collapsed="false" customFormat="false" customHeight="false" hidden="false" ht="12.1" outlineLevel="0" r="5233">
      <c r="A5233" s="3" t="s">
        <f>=HYPERLINK("https://mp39851918.megaplan.ua/deals/117154/card/","19912")</f>
      </c>
      <c r="B5233" s="3" t="inlineStr">
        <is>
          <t>114-4985274-5057867</t>
        </is>
      </c>
      <c r="C5233" s="3" t="inlineStr">
        <is>
          <t>RockyMountain</t>
        </is>
      </c>
    </row>
    <row collapsed="false" customFormat="false" customHeight="false" hidden="false" ht="12.1" outlineLevel="0" r="5234">
      <c r="A5234" s="3" t="s">
        <f>=HYPERLINK("https://mp39851918.megaplan.ua/deals/117155/card/","19913")</f>
      </c>
      <c r="B5234" s="3" t="inlineStr">
        <is>
          <t>114-9035055-0784206</t>
        </is>
      </c>
      <c r="C5234" s="3" t="inlineStr">
        <is>
          <t>RockyMountain</t>
        </is>
      </c>
    </row>
    <row collapsed="false" customFormat="false" customHeight="false" hidden="false" ht="12.1" outlineLevel="0" r="5235">
      <c r="A5235" s="3" t="s">
        <f>=HYPERLINK("https://mp39851918.megaplan.ua/deals/117156/card/","19914")</f>
      </c>
      <c r="B5235" s="3" t="inlineStr">
        <is>
          <t>112-9130111-2408213</t>
        </is>
      </c>
      <c r="C5235" s="3" t="inlineStr">
        <is>
          <t>Autodist</t>
        </is>
      </c>
    </row>
    <row collapsed="false" customFormat="false" customHeight="false" hidden="false" ht="12.1" outlineLevel="0" r="5236">
      <c r="A5236" s="3" t="s">
        <f>=HYPERLINK("https://mp39851918.megaplan.ua/deals/117169/card/","19915")</f>
      </c>
      <c r="B5236" s="3" t="inlineStr">
        <is>
          <t>112-6917100-3220223</t>
        </is>
      </c>
      <c r="C5236" s="3" t="inlineStr">
        <is>
          <t>RockyMountain</t>
        </is>
      </c>
    </row>
    <row collapsed="false" customFormat="false" customHeight="false" hidden="false" ht="12.1" outlineLevel="0" r="5237">
      <c r="A5237" s="3" t="s">
        <f>=HYPERLINK("https://mp39851918.megaplan.ua/deals/117170/card/","19916")</f>
      </c>
      <c r="B5237" s="3" t="inlineStr">
        <is>
          <t>114-2799445-0201857</t>
        </is>
      </c>
      <c r="C5237" s="3" t="inlineStr">
        <is>
          <t>PartsUnlimited</t>
        </is>
      </c>
    </row>
    <row collapsed="false" customFormat="false" customHeight="false" hidden="false" ht="12.1" outlineLevel="0" r="5238">
      <c r="A5238" s="3" t="s">
        <f>=HYPERLINK("https://mp39851918.megaplan.ua/deals/117171/card/","19917")</f>
      </c>
      <c r="B5238" s="3" t="inlineStr">
        <is>
          <t>112-9425489-0969842</t>
        </is>
      </c>
      <c r="C5238" s="3" t="inlineStr">
        <is>
          <t>RockyMountain</t>
        </is>
      </c>
    </row>
    <row collapsed="false" customFormat="false" customHeight="false" hidden="false" ht="12.1" outlineLevel="0" r="5239">
      <c r="A5239" s="3" t="s">
        <f>=HYPERLINK("https://mp39851918.megaplan.ua/deals/117185/card/","19918")</f>
      </c>
      <c r="B5239" s="3" t="inlineStr">
        <is>
          <t>113-0286881-0791475</t>
        </is>
      </c>
      <c r="C5239" s="3" t="inlineStr">
        <is>
          <t>RockyMountain</t>
        </is>
      </c>
    </row>
    <row collapsed="false" customFormat="false" customHeight="false" hidden="false" ht="12.1" outlineLevel="0" r="5240">
      <c r="A5240" s="3" t="s">
        <f>=HYPERLINK("https://mp39851918.megaplan.ua/deals/117198/card/","19919")</f>
      </c>
      <c r="B5240" s="3" t="inlineStr">
        <is>
          <t>111-1092492-2033037</t>
        </is>
      </c>
      <c r="C5240" s="3" t="inlineStr">
        <is>
          <t>TuckerRocky</t>
        </is>
      </c>
    </row>
    <row collapsed="false" customFormat="false" customHeight="false" hidden="false" ht="12.1" outlineLevel="0" r="5241">
      <c r="A5241" s="3" t="s">
        <f>=HYPERLINK("https://mp39851918.megaplan.ua/deals/117202/card/","19920")</f>
      </c>
      <c r="B5241" s="3" t="inlineStr">
        <is>
          <t>112-9369506-7571435</t>
        </is>
      </c>
      <c r="C5241" s="3" t="inlineStr">
        <is>
          <t>TuckerRocky</t>
        </is>
      </c>
    </row>
    <row collapsed="false" customFormat="false" customHeight="false" hidden="false" ht="12.1" outlineLevel="0" r="5242">
      <c r="A5242" s="3" t="s">
        <f>=HYPERLINK("https://mp39851918.megaplan.ua/deals/117224/card/","19921")</f>
      </c>
      <c r="B5242" s="3" t="inlineStr">
        <is>
          <t>114-3931380-0601859</t>
        </is>
      </c>
      <c r="C5242" s="3" t="inlineStr">
        <is>
          <t>TuckerRocky</t>
        </is>
      </c>
    </row>
    <row collapsed="false" customFormat="false" customHeight="false" hidden="false" ht="12.1" outlineLevel="0" r="5243">
      <c r="A5243" s="3" t="s">
        <f>=HYPERLINK("https://mp39851918.megaplan.ua/deals/117230/card/","19922")</f>
      </c>
      <c r="B5243" s="3" t="inlineStr">
        <is>
          <t>111-4459860-4133069</t>
        </is>
      </c>
      <c r="C5243" s="3" t="inlineStr">
        <is>
          <t>Autodist</t>
        </is>
      </c>
    </row>
    <row collapsed="false" customFormat="false" customHeight="false" hidden="false" ht="12.1" outlineLevel="0" r="5244">
      <c r="A5244" s="3" t="s">
        <f>=HYPERLINK("https://mp39851918.megaplan.ua/deals/117241/card/","19923")</f>
      </c>
      <c r="B5244" s="3" t="inlineStr">
        <is>
          <t>112-3415988-4274607</t>
        </is>
      </c>
      <c r="C5244" s="3" t="inlineStr">
        <is>
          <t>TuckerRocky</t>
        </is>
      </c>
    </row>
    <row collapsed="false" customFormat="false" customHeight="false" hidden="false" ht="12.1" outlineLevel="0" r="5245">
      <c r="A5245" s="3" t="s">
        <f>=HYPERLINK("https://mp39851918.megaplan.ua/deals/117249/card/","19924")</f>
      </c>
      <c r="B5245" s="3" t="inlineStr">
        <is>
          <t>111-3859628-6117866</t>
        </is>
      </c>
      <c r="C5245" s="3" t="inlineStr">
        <is>
          <t>RockyMountain</t>
        </is>
      </c>
    </row>
    <row collapsed="false" customFormat="false" customHeight="false" hidden="false" ht="12.1" outlineLevel="0" r="5246">
      <c r="A5246" s="3" t="s">
        <f>=HYPERLINK("https://mp39851918.megaplan.ua/deals/117250/card/","19925")</f>
      </c>
      <c r="B5246" s="3" t="inlineStr">
        <is>
          <t>111-1304455-5993830</t>
        </is>
      </c>
      <c r="C5246" s="3" t="inlineStr">
        <is>
          <t>Autodist</t>
        </is>
      </c>
    </row>
    <row collapsed="false" customFormat="false" customHeight="false" hidden="false" ht="12.1" outlineLevel="0" r="5247">
      <c r="A5247" s="3" t="s">
        <f>=HYPERLINK("https://mp39851918.megaplan.ua/deals/117251/card/","19926")</f>
      </c>
      <c r="B5247" s="3" t="inlineStr">
        <is>
          <t>111-2816477-8549048</t>
        </is>
      </c>
      <c r="C5247" s="3" t="inlineStr">
        <is>
          <t>TuckerRocky</t>
        </is>
      </c>
    </row>
    <row collapsed="false" customFormat="false" customHeight="false" hidden="false" ht="12.1" outlineLevel="0" r="5248">
      <c r="A5248" s="3" t="s">
        <f>=HYPERLINK("https://mp39851918.megaplan.ua/deals/117256/card/","19928")</f>
      </c>
      <c r="B5248" s="3" t="inlineStr">
        <is>
          <t>112-7964121-2354649</t>
        </is>
      </c>
      <c r="C5248" s="3" t="inlineStr">
        <is>
          <t>RockyMountain</t>
        </is>
      </c>
    </row>
    <row collapsed="false" customFormat="false" customHeight="false" hidden="false" ht="12.1" outlineLevel="0" r="5249">
      <c r="A5249" s="3" t="s">
        <f>=HYPERLINK("https://mp39851918.megaplan.ua/deals/117260/card/","19929")</f>
      </c>
      <c r="B5249" s="3" t="inlineStr">
        <is>
          <t>114-9413965-2237839</t>
        </is>
      </c>
      <c r="C5249" s="3" t="inlineStr">
        <is>
          <t>TuckerRocky</t>
        </is>
      </c>
    </row>
    <row collapsed="false" customFormat="false" customHeight="false" hidden="false" ht="12.1" outlineLevel="0" r="5250">
      <c r="A5250" s="3" t="s">
        <f>=HYPERLINK("https://mp39851918.megaplan.ua/deals/117269/card/","19930")</f>
      </c>
      <c r="B5250" s="3" t="inlineStr">
        <is>
          <t>113-1474130-7921868</t>
        </is>
      </c>
      <c r="C5250" s="3" t="inlineStr">
        <is>
          <t>PartsUnlimited</t>
        </is>
      </c>
    </row>
    <row collapsed="false" customFormat="false" customHeight="false" hidden="false" ht="12.1" outlineLevel="0" r="5251">
      <c r="A5251" s="3" t="s">
        <f>=HYPERLINK("https://mp39851918.megaplan.ua/deals/117285/card/","19931")</f>
      </c>
      <c r="B5251" s="3" t="inlineStr">
        <is>
          <t>113-9126977-8762621</t>
        </is>
      </c>
      <c r="C5251" s="3" t="inlineStr">
        <is>
          <t>PartsUnlimited</t>
        </is>
      </c>
    </row>
    <row collapsed="false" customFormat="false" customHeight="false" hidden="false" ht="12.1" outlineLevel="0" r="5252">
      <c r="A5252" s="3" t="s">
        <f>=HYPERLINK("https://mp39851918.megaplan.ua/deals/117303/card/","19932")</f>
      </c>
      <c r="B5252" s="3" t="inlineStr">
        <is>
          <t>111-6668900-1672214</t>
        </is>
      </c>
      <c r="C5252" s="3" t="inlineStr">
        <is>
          <t>RockyMountain</t>
        </is>
      </c>
    </row>
    <row collapsed="false" customFormat="false" customHeight="false" hidden="false" ht="12.1" outlineLevel="0" r="5253">
      <c r="A5253" s="3" t="s">
        <f>=HYPERLINK("https://mp39851918.megaplan.ua/deals/117307/card/","19933")</f>
      </c>
      <c r="B5253" s="3" t="inlineStr">
        <is>
          <t>112-1007583-1817000</t>
        </is>
      </c>
      <c r="C5253" s="3" t="inlineStr">
        <is>
          <t>PartsUnlimited</t>
        </is>
      </c>
    </row>
    <row collapsed="false" customFormat="false" customHeight="false" hidden="false" ht="12.1" outlineLevel="0" r="5254">
      <c r="A5254" s="3" t="s">
        <f>=HYPERLINK("https://mp39851918.megaplan.ua/deals/117311/card/","19934")</f>
      </c>
      <c r="B5254" s="3" t="inlineStr">
        <is>
          <t>111-9526772-5965028</t>
        </is>
      </c>
      <c r="C5254" s="3" t="inlineStr">
        <is>
          <t>RockyMountain</t>
        </is>
      </c>
    </row>
    <row collapsed="false" customFormat="false" customHeight="false" hidden="false" ht="12.1" outlineLevel="0" r="5255">
      <c r="A5255" s="3" t="s">
        <f>=HYPERLINK("https://mp39851918.megaplan.ua/deals/117315/card/","19936")</f>
      </c>
      <c r="B5255" s="3" t="inlineStr">
        <is>
          <t>113-2388879-8473841</t>
        </is>
      </c>
      <c r="C5255" s="3" t="inlineStr">
        <is>
          <t>RockyMountain</t>
        </is>
      </c>
    </row>
    <row collapsed="false" customFormat="false" customHeight="false" hidden="false" ht="12.1" outlineLevel="0" r="5256">
      <c r="A5256" s="3" t="s">
        <f>=HYPERLINK("https://mp39851918.megaplan.ua/deals/117318/card/","19937")</f>
      </c>
      <c r="B5256" s="3" t="inlineStr">
        <is>
          <t>113-4441210-8664266</t>
        </is>
      </c>
      <c r="C5256" s="3" t="inlineStr">
        <is>
          <t>Autodist</t>
        </is>
      </c>
    </row>
    <row collapsed="false" customFormat="false" customHeight="false" hidden="false" ht="12.1" outlineLevel="0" r="5257">
      <c r="A5257" s="3" t="s">
        <f>=HYPERLINK("https://mp39851918.megaplan.ua/deals/117321/card/","19938")</f>
      </c>
      <c r="B5257" s="3" t="inlineStr">
        <is>
          <t>112-4507648-4041040</t>
        </is>
      </c>
      <c r="C5257" s="3" t="inlineStr">
        <is>
          <t>RockyMountain</t>
        </is>
      </c>
    </row>
    <row collapsed="false" customFormat="false" customHeight="false" hidden="false" ht="12.1" outlineLevel="0" r="5258">
      <c r="A5258" s="3" t="s">
        <f>=HYPERLINK("https://mp39851918.megaplan.ua/deals/117324/card/","19939")</f>
      </c>
      <c r="B5258" s="3" t="inlineStr">
        <is>
          <t>114-3151010-2724211</t>
        </is>
      </c>
      <c r="C5258" s="3" t="inlineStr">
        <is>
          <t>TuckerRocky</t>
        </is>
      </c>
    </row>
    <row collapsed="false" customFormat="false" customHeight="false" hidden="false" ht="12.1" outlineLevel="0" r="5259">
      <c r="A5259" s="3" t="s">
        <f>=HYPERLINK("https://mp39851918.megaplan.ua/deals/117327/card/","19941")</f>
      </c>
      <c r="B5259" s="3" t="inlineStr">
        <is>
          <t>112-6120066-6844263</t>
        </is>
      </c>
      <c r="C5259" s="3" t="inlineStr">
        <is>
          <t>RockyMountain</t>
        </is>
      </c>
    </row>
    <row collapsed="false" customFormat="false" customHeight="false" hidden="false" ht="12.1" outlineLevel="0" r="5260">
      <c r="A5260" s="3" t="s">
        <f>=HYPERLINK("https://mp39851918.megaplan.ua/deals/117331/card/","19942")</f>
      </c>
      <c r="B5260" s="3" t="inlineStr">
        <is>
          <t>111-1276630-5010667</t>
        </is>
      </c>
      <c r="C5260" s="3" t="inlineStr">
        <is>
          <t>Autodist</t>
        </is>
      </c>
    </row>
    <row collapsed="false" customFormat="false" customHeight="false" hidden="false" ht="12.1" outlineLevel="0" r="5261">
      <c r="A5261" s="3" t="s">
        <f>=HYPERLINK("https://mp39851918.megaplan.ua/deals/117335/card/","19943")</f>
      </c>
      <c r="B5261" s="3" t="inlineStr">
        <is>
          <t>111-7813580-6140212</t>
        </is>
      </c>
      <c r="C5261" s="3" t="inlineStr">
        <is>
          <t>RockyMountain</t>
        </is>
      </c>
    </row>
    <row collapsed="false" customFormat="false" customHeight="false" hidden="false" ht="12.1" outlineLevel="0" r="5262">
      <c r="A5262" s="3" t="s">
        <f>=HYPERLINK("https://mp39851918.megaplan.ua/deals/117343/card/","19944")</f>
      </c>
      <c r="B5262" s="3" t="inlineStr">
        <is>
          <t>112-4737285-4528222</t>
        </is>
      </c>
      <c r="C5262" s="3" t="inlineStr">
        <is>
          <t>RockyMountain</t>
        </is>
      </c>
    </row>
    <row collapsed="false" customFormat="false" customHeight="false" hidden="false" ht="12.1" outlineLevel="0" r="5263">
      <c r="A5263" s="3" t="s">
        <f>=HYPERLINK("https://mp39851918.megaplan.ua/deals/117344/card/","19945")</f>
      </c>
      <c r="B5263" s="3" t="inlineStr">
        <is>
          <t>112-4969730-7366618</t>
        </is>
      </c>
      <c r="C5263" s="3" t="inlineStr">
        <is>
          <t>Autodist</t>
        </is>
      </c>
    </row>
    <row collapsed="false" customFormat="false" customHeight="false" hidden="false" ht="12.1" outlineLevel="0" r="5264">
      <c r="A5264" s="3" t="s">
        <f>=HYPERLINK("https://mp39851918.megaplan.ua/deals/117346/card/","19946")</f>
      </c>
      <c r="B5264" s="3" t="inlineStr">
        <is>
          <t>111-2473479-4041853</t>
        </is>
      </c>
      <c r="C5264" s="3" t="inlineStr">
        <is>
          <t>RockyMountain</t>
        </is>
      </c>
    </row>
    <row collapsed="false" customFormat="false" customHeight="false" hidden="false" ht="12.1" outlineLevel="0" r="5265">
      <c r="A5265" s="3" t="s">
        <f>=HYPERLINK("https://mp39851918.megaplan.ua/deals/117358/card/","19947")</f>
      </c>
      <c r="B5265" s="3" t="inlineStr">
        <is>
          <t>111-5620162-8225037</t>
        </is>
      </c>
      <c r="C5265" s="3" t="inlineStr">
        <is>
          <t>TuckerRocky</t>
        </is>
      </c>
    </row>
    <row collapsed="false" customFormat="false" customHeight="false" hidden="false" ht="12.1" outlineLevel="0" r="5266">
      <c r="A5266" s="3" t="s">
        <f>=HYPERLINK("https://mp39851918.megaplan.ua/deals/117359/card/","19948")</f>
      </c>
      <c r="B5266" s="3" t="inlineStr">
        <is>
          <t>112-1677123-8748269</t>
        </is>
      </c>
      <c r="C5266" s="3" t="inlineStr">
        <is>
          <t>Autodist</t>
        </is>
      </c>
    </row>
    <row collapsed="false" customFormat="false" customHeight="false" hidden="false" ht="12.1" outlineLevel="0" r="5267">
      <c r="A5267" s="3" t="s">
        <f>=HYPERLINK("https://mp39851918.megaplan.ua/deals/117360/card/","19949")</f>
      </c>
      <c r="B5267" s="3" t="inlineStr">
        <is>
          <t>114-5735552-5748237</t>
        </is>
      </c>
      <c r="C5267" s="3" t="inlineStr">
        <is>
          <t>RockyMountain</t>
        </is>
      </c>
    </row>
    <row collapsed="false" customFormat="false" customHeight="false" hidden="false" ht="12.1" outlineLevel="0" r="5268">
      <c r="A5268" s="3" t="s">
        <f>=HYPERLINK("https://mp39851918.megaplan.ua/deals/117371/card/","19950")</f>
      </c>
      <c r="B5268" s="3" t="inlineStr">
        <is>
          <t>114-4670329-3333026</t>
        </is>
      </c>
      <c r="C5268" s="3" t="inlineStr">
        <is>
          <t>Autodist</t>
        </is>
      </c>
    </row>
    <row collapsed="false" customFormat="false" customHeight="false" hidden="false" ht="12.1" outlineLevel="0" r="5269">
      <c r="A5269" s="3" t="s">
        <f>=HYPERLINK("https://mp39851918.megaplan.ua/deals/117375/card/","19951")</f>
      </c>
      <c r="B5269" s="3" t="inlineStr">
        <is>
          <t>111-4970375-2961029</t>
        </is>
      </c>
      <c r="C5269" s="3" t="inlineStr">
        <is>
          <t>Autodist</t>
        </is>
      </c>
    </row>
    <row collapsed="false" customFormat="false" customHeight="false" hidden="false" ht="12.1" outlineLevel="0" r="5270">
      <c r="A5270" s="3" t="s">
        <f>=HYPERLINK("https://mp39851918.megaplan.ua/deals/117382/card/","19952")</f>
      </c>
      <c r="B5270" s="3" t="inlineStr">
        <is>
          <t>113-5885832-1505860</t>
        </is>
      </c>
      <c r="C5270" s="3" t="inlineStr">
        <is>
          <t>RockyMountain</t>
        </is>
      </c>
    </row>
    <row collapsed="false" customFormat="false" customHeight="false" hidden="false" ht="12.1" outlineLevel="0" r="5271">
      <c r="A5271" s="3" t="s">
        <f>=HYPERLINK("https://mp39851918.megaplan.ua/deals/117383/card/","19953")</f>
      </c>
      <c r="B5271" s="3" t="inlineStr">
        <is>
          <t>114-0128390-5538612</t>
        </is>
      </c>
      <c r="C5271" s="3" t="inlineStr">
        <is>
          <t>RockyMountain</t>
        </is>
      </c>
    </row>
    <row collapsed="false" customFormat="false" customHeight="false" hidden="false" ht="12.1" outlineLevel="0" r="5272">
      <c r="A5272" s="3" t="s">
        <f>=HYPERLINK("https://mp39851918.megaplan.ua/deals/117391/card/","19954")</f>
      </c>
      <c r="B5272" s="3" t="inlineStr">
        <is>
          <t>112-2721446-0068251</t>
        </is>
      </c>
      <c r="C5272" s="3" t="inlineStr">
        <is>
          <t>TuckerRocky</t>
        </is>
      </c>
    </row>
    <row collapsed="false" customFormat="false" customHeight="false" hidden="false" ht="12.1" outlineLevel="0" r="5273">
      <c r="A5273" s="3" t="s">
        <f>=HYPERLINK("https://mp39851918.megaplan.ua/deals/117392/card/","19955")</f>
      </c>
      <c r="B5273" s="3" t="inlineStr">
        <is>
          <t>113-0703063-4409009</t>
        </is>
      </c>
      <c r="C5273" s="3" t="inlineStr">
        <is>
          <t>Autodist</t>
        </is>
      </c>
    </row>
    <row collapsed="false" customFormat="false" customHeight="false" hidden="false" ht="12.1" outlineLevel="0" r="5274">
      <c r="A5274" s="3" t="s">
        <f>=HYPERLINK("https://mp39851918.megaplan.ua/deals/117411/card/","19957")</f>
      </c>
      <c r="B5274" s="3" t="inlineStr">
        <is>
          <t>112-3447018-0365811</t>
        </is>
      </c>
      <c r="C5274" s="3" t="inlineStr">
        <is>
          <t>RockyMountain</t>
        </is>
      </c>
    </row>
    <row collapsed="false" customFormat="false" customHeight="false" hidden="false" ht="12.1" outlineLevel="0" r="5275">
      <c r="A5275" s="3" t="s">
        <f>=HYPERLINK("https://mp39851918.megaplan.ua/deals/117413/card/","19958")</f>
      </c>
      <c r="B5275" s="3" t="inlineStr">
        <is>
          <t>113-1329321-4839417</t>
        </is>
      </c>
      <c r="C5275" s="3" t="inlineStr">
        <is>
          <t>TuckerRocky</t>
        </is>
      </c>
    </row>
    <row collapsed="false" customFormat="false" customHeight="false" hidden="false" ht="12.1" outlineLevel="0" r="5276">
      <c r="A5276" s="3" t="s">
        <f>=HYPERLINK("https://mp39851918.megaplan.ua/deals/117417/card/","19959")</f>
      </c>
      <c r="B5276" s="3" t="inlineStr">
        <is>
          <t>111-5781346-3083465</t>
        </is>
      </c>
      <c r="C5276" s="3" t="inlineStr">
        <is>
          <t>RockyMountain</t>
        </is>
      </c>
    </row>
    <row collapsed="false" customFormat="false" customHeight="false" hidden="false" ht="12.1" outlineLevel="0" r="5277">
      <c r="A5277" s="3" t="s">
        <f>=HYPERLINK("https://mp39851918.megaplan.ua/deals/117434/card/","19961")</f>
      </c>
      <c r="B5277" s="3" t="inlineStr">
        <is>
          <t>112-6715801-9615467</t>
        </is>
      </c>
      <c r="C5277" s="3" t="inlineStr">
        <is>
          <t>RockyMountain</t>
        </is>
      </c>
    </row>
    <row collapsed="false" customFormat="false" customHeight="false" hidden="false" ht="12.1" outlineLevel="0" r="5278">
      <c r="A5278" s="3" t="s">
        <f>=HYPERLINK("https://mp39851918.megaplan.ua/deals/117436/card/","19962")</f>
      </c>
      <c r="B5278" s="3" t="inlineStr">
        <is>
          <t>112-3557511-8254617</t>
        </is>
      </c>
      <c r="C5278" s="3" t="inlineStr">
        <is>
          <t>TuckerRocky</t>
        </is>
      </c>
    </row>
    <row collapsed="false" customFormat="false" customHeight="false" hidden="false" ht="12.1" outlineLevel="0" r="5279">
      <c r="A5279" s="3" t="s">
        <f>=HYPERLINK("https://mp39851918.megaplan.ua/deals/117440/card/","19963")</f>
      </c>
      <c r="B5279" s="3" t="inlineStr">
        <is>
          <t>113-8568658-9773026</t>
        </is>
      </c>
      <c r="C5279" s="3" t="inlineStr">
        <is>
          <t>Autodist</t>
        </is>
      </c>
    </row>
    <row collapsed="false" customFormat="false" customHeight="false" hidden="false" ht="12.1" outlineLevel="0" r="5280">
      <c r="A5280" s="3" t="s">
        <f>=HYPERLINK("https://mp39851918.megaplan.ua/deals/117452/card/","19965")</f>
      </c>
      <c r="B5280" s="3" t="inlineStr">
        <is>
          <t>113-7933056-0714614</t>
        </is>
      </c>
      <c r="C5280" s="3" t="inlineStr">
        <is>
          <t>RockyMountain</t>
        </is>
      </c>
    </row>
    <row collapsed="false" customFormat="false" customHeight="false" hidden="false" ht="12.1" outlineLevel="0" r="5281">
      <c r="A5281" s="3" t="s">
        <f>=HYPERLINK("https://mp39851918.megaplan.ua/deals/117460/card/","19967")</f>
      </c>
      <c r="B5281" s="3" t="inlineStr">
        <is>
          <t>111-9259828-4381066</t>
        </is>
      </c>
      <c r="C5281" s="3" t="inlineStr">
        <is>
          <t>Autodist</t>
        </is>
      </c>
    </row>
    <row collapsed="false" customFormat="false" customHeight="false" hidden="false" ht="12.1" outlineLevel="0" r="5282">
      <c r="A5282" s="3" t="s">
        <f>=HYPERLINK("https://mp39851918.megaplan.ua/deals/117470/card/","19968")</f>
      </c>
      <c r="B5282" s="3" t="inlineStr">
        <is>
          <t>113-4531950-4425020</t>
        </is>
      </c>
      <c r="C5282" s="3" t="inlineStr">
        <is>
          <t>TuckerRocky</t>
        </is>
      </c>
    </row>
    <row collapsed="false" customFormat="false" customHeight="false" hidden="false" ht="12.1" outlineLevel="0" r="5283">
      <c r="A5283" s="3" t="s">
        <f>=HYPERLINK("https://mp39851918.megaplan.ua/deals/117471/card/","19969")</f>
      </c>
      <c r="B5283" s="3" t="inlineStr">
        <is>
          <t>111-5013702-2757831</t>
        </is>
      </c>
      <c r="C5283" s="3" t="inlineStr">
        <is>
          <t>PartsUnlimited</t>
        </is>
      </c>
    </row>
    <row collapsed="false" customFormat="false" customHeight="false" hidden="false" ht="12.1" outlineLevel="0" r="5284">
      <c r="A5284" s="3" t="s">
        <f>=HYPERLINK("https://mp39851918.megaplan.ua/deals/117483/card/","19970")</f>
      </c>
      <c r="B5284" s="3" t="inlineStr">
        <is>
          <t>111-1855833-7496222</t>
        </is>
      </c>
      <c r="C5284" s="3" t="inlineStr">
        <is>
          <t>Autodist</t>
        </is>
      </c>
    </row>
    <row collapsed="false" customFormat="false" customHeight="false" hidden="false" ht="12.1" outlineLevel="0" r="5285">
      <c r="A5285" s="3" t="s">
        <f>=HYPERLINK("https://mp39851918.megaplan.ua/deals/117490/card/","19971")</f>
      </c>
      <c r="B5285" s="3" t="inlineStr">
        <is>
          <t>111-6520017-1761068</t>
        </is>
      </c>
      <c r="C5285" s="3" t="inlineStr">
        <is>
          <t>RockyMountain</t>
        </is>
      </c>
    </row>
    <row collapsed="false" customFormat="false" customHeight="false" hidden="false" ht="12.1" outlineLevel="0" r="5286">
      <c r="A5286" s="3" t="s">
        <f>=HYPERLINK("https://mp39851918.megaplan.ua/deals/117493/card/","19972")</f>
      </c>
      <c r="B5286" s="3" t="inlineStr">
        <is>
          <t>112-9045531-1494609</t>
        </is>
      </c>
      <c r="C5286" s="3" t="inlineStr">
        <is>
          <t>Autodist</t>
        </is>
      </c>
    </row>
    <row collapsed="false" customFormat="false" customHeight="false" hidden="false" ht="12.1" outlineLevel="0" r="5287">
      <c r="A5287" s="3" t="s">
        <f>=HYPERLINK("https://mp39851918.megaplan.ua/deals/117504/card/","19973")</f>
      </c>
      <c r="B5287" s="3" t="inlineStr">
        <is>
          <t>112-0916057-1258622</t>
        </is>
      </c>
      <c r="C5287" s="3" t="inlineStr">
        <is>
          <t>Autodist</t>
        </is>
      </c>
    </row>
    <row collapsed="false" customFormat="false" customHeight="false" hidden="false" ht="12.1" outlineLevel="0" r="5288">
      <c r="A5288" s="3" t="s">
        <f>=HYPERLINK("https://mp39851918.megaplan.ua/deals/117507/card/","19974")</f>
      </c>
      <c r="B5288" s="3" t="inlineStr">
        <is>
          <t>114-1271263-7413850</t>
        </is>
      </c>
      <c r="C5288" s="3" t="inlineStr">
        <is>
          <t>RockyMountain</t>
        </is>
      </c>
    </row>
    <row collapsed="false" customFormat="false" customHeight="false" hidden="false" ht="12.1" outlineLevel="0" r="5289">
      <c r="A5289" s="3" t="s">
        <f>=HYPERLINK("https://mp39851918.megaplan.ua/deals/117508/card/","19975")</f>
      </c>
      <c r="B5289" s="3" t="inlineStr">
        <is>
          <t>114-6153631-8127418</t>
        </is>
      </c>
      <c r="C5289" s="3" t="inlineStr">
        <is>
          <t>TuckerRocky</t>
        </is>
      </c>
    </row>
    <row collapsed="false" customFormat="false" customHeight="false" hidden="false" ht="12.1" outlineLevel="0" r="5290">
      <c r="A5290" s="3" t="s">
        <f>=HYPERLINK("https://mp39851918.megaplan.ua/deals/117510/card/","19976")</f>
      </c>
      <c r="B5290" s="3" t="inlineStr">
        <is>
          <t>111-5626722-9006631</t>
        </is>
      </c>
      <c r="C5290" s="3" t="inlineStr">
        <is>
          <t>RockyMountain</t>
        </is>
      </c>
    </row>
    <row collapsed="false" customFormat="false" customHeight="false" hidden="false" ht="12.1" outlineLevel="0" r="5291">
      <c r="A5291" s="3" t="s">
        <f>=HYPERLINK("https://mp39851918.megaplan.ua/deals/117511/card/","19977")</f>
      </c>
      <c r="B5291" s="3" t="inlineStr">
        <is>
          <t>112-2093307-8937807</t>
        </is>
      </c>
      <c r="C5291" s="3" t="inlineStr">
        <is>
          <t>RockyMountain</t>
        </is>
      </c>
    </row>
    <row collapsed="false" customFormat="false" customHeight="false" hidden="false" ht="12.1" outlineLevel="0" r="5292">
      <c r="A5292" s="3" t="s">
        <f>=HYPERLINK("https://mp39851918.megaplan.ua/deals/117518/card/","19978")</f>
      </c>
      <c r="B5292" s="3" t="inlineStr">
        <is>
          <t>113-5262186-3688249</t>
        </is>
      </c>
      <c r="C5292" s="3" t="inlineStr">
        <is>
          <t>RockyMountain</t>
        </is>
      </c>
    </row>
    <row collapsed="false" customFormat="false" customHeight="false" hidden="false" ht="12.1" outlineLevel="0" r="5293">
      <c r="A5293" s="3" t="s">
        <f>=HYPERLINK("https://mp39851918.megaplan.ua/deals/117524/card/","19979")</f>
      </c>
      <c r="B5293" s="3" t="inlineStr">
        <is>
          <t>111-3067064-2468263</t>
        </is>
      </c>
      <c r="C5293" s="3" t="inlineStr">
        <is>
          <t>RockyMountain</t>
        </is>
      </c>
    </row>
    <row collapsed="false" customFormat="false" customHeight="false" hidden="false" ht="12.1" outlineLevel="0" r="5294">
      <c r="A5294" s="3" t="s">
        <f>=HYPERLINK("https://mp39851918.megaplan.ua/deals/117537/card/","19981")</f>
      </c>
      <c r="B5294" s="3" t="inlineStr">
        <is>
          <t>112-0417290-6097029</t>
        </is>
      </c>
      <c r="C5294" s="3" t="inlineStr">
        <is>
          <t>Autodist</t>
        </is>
      </c>
    </row>
    <row collapsed="false" customFormat="false" customHeight="false" hidden="false" ht="12.1" outlineLevel="0" r="5295">
      <c r="A5295" s="3" t="s">
        <f>=HYPERLINK("https://mp39851918.megaplan.ua/deals/117553/card/","19982")</f>
      </c>
      <c r="B5295" s="3" t="inlineStr">
        <is>
          <t>113-0351639-5128269</t>
        </is>
      </c>
      <c r="C5295" s="3" t="inlineStr">
        <is>
          <t>Autodist</t>
        </is>
      </c>
    </row>
    <row collapsed="false" customFormat="false" customHeight="false" hidden="false" ht="12.1" outlineLevel="0" r="5296">
      <c r="A5296" s="3" t="s">
        <f>=HYPERLINK("https://mp39851918.megaplan.ua/deals/117554/card/","19983")</f>
      </c>
      <c r="B5296" s="3" t="inlineStr">
        <is>
          <t>113-2920031-6905060</t>
        </is>
      </c>
      <c r="C5296" s="3" t="inlineStr">
        <is>
          <t>Autodist</t>
        </is>
      </c>
    </row>
    <row collapsed="false" customFormat="false" customHeight="false" hidden="false" ht="12.1" outlineLevel="0" r="5297">
      <c r="A5297" s="3" t="s">
        <f>=HYPERLINK("https://mp39851918.megaplan.ua/deals/117558/card/","19985")</f>
      </c>
      <c r="B5297" s="3" t="inlineStr">
        <is>
          <t>111-8669149-9229009</t>
        </is>
      </c>
      <c r="C5297" s="3" t="inlineStr">
        <is>
          <t>TuckerRocky</t>
        </is>
      </c>
    </row>
    <row collapsed="false" customFormat="false" customHeight="false" hidden="false" ht="12.1" outlineLevel="0" r="5298">
      <c r="A5298" s="3" t="s">
        <f>=HYPERLINK("https://mp39851918.megaplan.ua/deals/117576/card/","19987")</f>
      </c>
      <c r="B5298" s="3" t="inlineStr">
        <is>
          <t>114-4986983-4489039</t>
        </is>
      </c>
      <c r="C5298" s="3" t="inlineStr">
        <is>
          <t>PartsUnlimited</t>
        </is>
      </c>
    </row>
    <row collapsed="false" customFormat="false" customHeight="false" hidden="false" ht="12.1" outlineLevel="0" r="5299">
      <c r="A5299" s="3" t="s">
        <f>=HYPERLINK("https://mp39851918.megaplan.ua/deals/117582/card/","19988")</f>
      </c>
      <c r="B5299" s="3" t="inlineStr">
        <is>
          <t>113-6261144-8272259</t>
        </is>
      </c>
      <c r="C5299" s="3" t="inlineStr">
        <is>
          <t>RockyMountain</t>
        </is>
      </c>
    </row>
    <row collapsed="false" customFormat="false" customHeight="false" hidden="false" ht="12.1" outlineLevel="0" r="5300">
      <c r="A5300" s="3" t="s">
        <f>=HYPERLINK("https://mp39851918.megaplan.ua/deals/117590/card/","19989")</f>
      </c>
      <c r="B5300" s="3" t="inlineStr">
        <is>
          <t>114-2639440-7822601</t>
        </is>
      </c>
      <c r="C5300" s="3" t="inlineStr">
        <is>
          <t>Autodist</t>
        </is>
      </c>
    </row>
    <row collapsed="false" customFormat="false" customHeight="false" hidden="false" ht="12.1" outlineLevel="0" r="5301">
      <c r="A5301" s="3" t="s">
        <f>=HYPERLINK("https://mp39851918.megaplan.ua/deals/117596/card/","19990")</f>
      </c>
      <c r="B5301" s="3" t="inlineStr">
        <is>
          <t>113-3167001-9457861</t>
        </is>
      </c>
      <c r="C5301" s="3" t="inlineStr">
        <is>
          <t>RockyMountain</t>
        </is>
      </c>
    </row>
    <row collapsed="false" customFormat="false" customHeight="false" hidden="false" ht="12.1" outlineLevel="0" r="5302">
      <c r="A5302" s="3" t="s">
        <f>=HYPERLINK("https://mp39851918.megaplan.ua/deals/117598/card/","19991")</f>
      </c>
      <c r="B5302" s="3" t="inlineStr">
        <is>
          <t>112-8032739-0965032</t>
        </is>
      </c>
      <c r="C5302" s="3" t="inlineStr">
        <is>
          <t>RockyMountain</t>
        </is>
      </c>
    </row>
    <row collapsed="false" customFormat="false" customHeight="false" hidden="false" ht="12.1" outlineLevel="0" r="5303">
      <c r="A5303" s="3" t="s">
        <f>=HYPERLINK("https://mp39851918.megaplan.ua/deals/117606/card/","19992")</f>
      </c>
      <c r="B5303" s="3" t="inlineStr">
        <is>
          <t>112-4663877-7482629</t>
        </is>
      </c>
      <c r="C5303" s="3" t="inlineStr">
        <is>
          <t>TuckerRocky</t>
        </is>
      </c>
    </row>
    <row collapsed="false" customFormat="false" customHeight="false" hidden="false" ht="12.1" outlineLevel="0" r="5304">
      <c r="A5304" s="3" t="s">
        <f>=HYPERLINK("https://mp39851918.megaplan.ua/deals/117608/card/","19993")</f>
      </c>
      <c r="B5304" s="3" t="inlineStr">
        <is>
          <t>114-5750610-6107438</t>
        </is>
      </c>
      <c r="C5304" s="3" t="inlineStr">
        <is>
          <t>RockyMountain</t>
        </is>
      </c>
    </row>
    <row collapsed="false" customFormat="false" customHeight="false" hidden="false" ht="12.1" outlineLevel="0" r="5305">
      <c r="A5305" s="3" t="s">
        <f>=HYPERLINK("https://mp39851918.megaplan.ua/deals/117621/card/","19994")</f>
      </c>
      <c r="B5305" s="3" t="inlineStr">
        <is>
          <t>114-8053181-6987453</t>
        </is>
      </c>
      <c r="C5305" s="3" t="inlineStr">
        <is>
          <t>Autodist</t>
        </is>
      </c>
    </row>
    <row collapsed="false" customFormat="false" customHeight="false" hidden="false" ht="12.1" outlineLevel="0" r="5306">
      <c r="A5306" s="3" t="s">
        <f>=HYPERLINK("https://mp39851918.megaplan.ua/deals/117625/card/","19995")</f>
      </c>
      <c r="B5306" s="3" t="inlineStr">
        <is>
          <t>113-0249986-1792252</t>
        </is>
      </c>
      <c r="C5306" s="3" t="inlineStr">
        <is>
          <t>RockyMountain</t>
        </is>
      </c>
    </row>
    <row collapsed="false" customFormat="false" customHeight="false" hidden="false" ht="12.1" outlineLevel="0" r="5307">
      <c r="A5307" s="3" t="s">
        <f>=HYPERLINK("https://mp39851918.megaplan.ua/deals/117644/card/","19996")</f>
      </c>
      <c r="B5307" s="3" t="inlineStr">
        <is>
          <t>113-0586324-0521036</t>
        </is>
      </c>
      <c r="C5307" s="3" t="inlineStr">
        <is>
          <t>RockyMountain</t>
        </is>
      </c>
    </row>
    <row collapsed="false" customFormat="false" customHeight="false" hidden="false" ht="12.1" outlineLevel="0" r="5308">
      <c r="A5308" s="3" t="s">
        <f>=HYPERLINK("https://mp39851918.megaplan.ua/deals/117650/card/","19998")</f>
      </c>
      <c r="B5308" s="3" t="inlineStr">
        <is>
          <t>112-5914472-4543442</t>
        </is>
      </c>
      <c r="C5308" s="3" t="inlineStr">
        <is>
          <t>Autodist</t>
        </is>
      </c>
    </row>
    <row collapsed="false" customFormat="false" customHeight="false" hidden="false" ht="12.1" outlineLevel="0" r="5309">
      <c r="A5309" s="3" t="s">
        <f>=HYPERLINK("https://mp39851918.megaplan.ua/deals/117687/card/","19999")</f>
      </c>
      <c r="B5309" s="3" t="inlineStr">
        <is>
          <t>114-8097210-4737836</t>
        </is>
      </c>
      <c r="C5309" s="3" t="inlineStr">
        <is>
          <t>TuckerRocky</t>
        </is>
      </c>
    </row>
    <row collapsed="false" customFormat="false" customHeight="false" hidden="false" ht="12.1" outlineLevel="0" r="5310">
      <c r="A5310" s="3" t="s">
        <f>=HYPERLINK("https://mp39851918.megaplan.ua/deals/117693/card/","20000")</f>
      </c>
      <c r="B5310" s="3" t="inlineStr">
        <is>
          <t>114-8568027-3552248</t>
        </is>
      </c>
      <c r="C5310" s="3" t="inlineStr">
        <is>
          <t>PartsUnlimited</t>
        </is>
      </c>
    </row>
    <row collapsed="false" customFormat="false" customHeight="false" hidden="false" ht="12.1" outlineLevel="0" r="5311">
      <c r="A5311" s="3" t="s">
        <f>=HYPERLINK("https://mp39851918.megaplan.ua/deals/117694/card/","20001")</f>
      </c>
      <c r="B5311" s="3" t="inlineStr">
        <is>
          <t>113-7766050-2907417</t>
        </is>
      </c>
      <c r="C5311" s="3" t="inlineStr">
        <is>
          <t>Autodist</t>
        </is>
      </c>
    </row>
    <row collapsed="false" customFormat="false" customHeight="false" hidden="false" ht="12.1" outlineLevel="0" r="5312">
      <c r="A5312" s="3" t="s">
        <f>=HYPERLINK("https://mp39851918.megaplan.ua/deals/117700/card/","20002")</f>
      </c>
      <c r="B5312" s="3" t="inlineStr">
        <is>
          <t>113-5209234-1641032</t>
        </is>
      </c>
      <c r="C5312" s="3" t="inlineStr">
        <is>
          <t>Autodist</t>
        </is>
      </c>
    </row>
    <row collapsed="false" customFormat="false" customHeight="false" hidden="false" ht="12.1" outlineLevel="0" r="5313">
      <c r="A5313" s="3" t="s">
        <f>=HYPERLINK("https://mp39851918.megaplan.ua/deals/117702/card/","20003")</f>
      </c>
      <c r="B5313" s="3" t="inlineStr">
        <is>
          <t>111-4120132-0456212</t>
        </is>
      </c>
      <c r="C5313" s="3" t="inlineStr">
        <is>
          <t>Autodist</t>
        </is>
      </c>
    </row>
    <row collapsed="false" customFormat="false" customHeight="false" hidden="false" ht="12.1" outlineLevel="0" r="5314">
      <c r="A5314" s="3" t="s">
        <f>=HYPERLINK("https://mp39851918.megaplan.ua/deals/117707/card/","20004")</f>
      </c>
      <c r="B5314" s="3" t="inlineStr">
        <is>
          <t>113-3450304-6230608</t>
        </is>
      </c>
      <c r="C5314" s="3" t="inlineStr">
        <is>
          <t>Autodist</t>
        </is>
      </c>
    </row>
    <row collapsed="false" customFormat="false" customHeight="false" hidden="false" ht="12.1" outlineLevel="0" r="5315">
      <c r="A5315" s="3" t="s">
        <f>=HYPERLINK("https://mp39851918.megaplan.ua/deals/117716/card/","20007")</f>
      </c>
      <c r="B5315" s="3" t="inlineStr">
        <is>
          <t>114-3237800-1558666</t>
        </is>
      </c>
      <c r="C5315" s="3" t="inlineStr">
        <is>
          <t>TuckerRocky</t>
        </is>
      </c>
    </row>
    <row collapsed="false" customFormat="false" customHeight="false" hidden="false" ht="12.1" outlineLevel="0" r="5316">
      <c r="A5316" s="3" t="s">
        <f>=HYPERLINK("https://mp39851918.megaplan.ua/deals/117718/card/","20008")</f>
      </c>
      <c r="B5316" s="3" t="inlineStr">
        <is>
          <t>112-8973129-9665029</t>
        </is>
      </c>
      <c r="C5316" s="3" t="inlineStr">
        <is>
          <t>Autodist</t>
        </is>
      </c>
    </row>
    <row collapsed="false" customFormat="false" customHeight="false" hidden="false" ht="12.1" outlineLevel="0" r="5317">
      <c r="A5317" s="3" t="s">
        <f>=HYPERLINK("https://mp39851918.megaplan.ua/deals/117719/card/","20009")</f>
      </c>
      <c r="B5317" s="3" t="inlineStr">
        <is>
          <t>112-9722410-1783400</t>
        </is>
      </c>
      <c r="C5317" s="3" t="inlineStr">
        <is>
          <t>Autodist</t>
        </is>
      </c>
    </row>
    <row collapsed="false" customFormat="false" customHeight="false" hidden="false" ht="12.1" outlineLevel="0" r="5318">
      <c r="A5318" s="3" t="s">
        <f>=HYPERLINK("https://mp39851918.megaplan.ua/deals/117727/card/","20010")</f>
      </c>
      <c r="B5318" s="3" t="inlineStr">
        <is>
          <t>112-5466855-9005852</t>
        </is>
      </c>
      <c r="C5318" s="3" t="inlineStr">
        <is>
          <t>TuckerRocky</t>
        </is>
      </c>
    </row>
    <row collapsed="false" customFormat="false" customHeight="false" hidden="false" ht="12.1" outlineLevel="0" r="5319">
      <c r="A5319" s="3" t="s">
        <f>=HYPERLINK("https://mp39851918.megaplan.ua/deals/117730/card/","20011")</f>
      </c>
      <c r="B5319" s="3" t="inlineStr">
        <is>
          <t>113-0707812-0004259</t>
        </is>
      </c>
      <c r="C5319" s="3" t="inlineStr">
        <is>
          <t>Autodist</t>
        </is>
      </c>
    </row>
    <row collapsed="false" customFormat="false" customHeight="false" hidden="false" ht="12.1" outlineLevel="0" r="5320">
      <c r="A5320" s="3" t="s">
        <f>=HYPERLINK("https://mp39851918.megaplan.ua/deals/117733/card/","20013")</f>
      </c>
      <c r="B5320" s="3" t="inlineStr">
        <is>
          <t>114-4917671-2064242</t>
        </is>
      </c>
      <c r="C5320" s="3" t="inlineStr">
        <is>
          <t>TuckerRocky</t>
        </is>
      </c>
    </row>
    <row collapsed="false" customFormat="false" customHeight="false" hidden="false" ht="12.1" outlineLevel="0" r="5321">
      <c r="A5321" s="3" t="s">
        <f>=HYPERLINK("https://mp39851918.megaplan.ua/deals/117738/card/","20014")</f>
      </c>
      <c r="B5321" s="3" t="inlineStr">
        <is>
          <t>114-5819219-7694652</t>
        </is>
      </c>
      <c r="C5321" s="3" t="inlineStr">
        <is>
          <t>TuckerRocky</t>
        </is>
      </c>
    </row>
    <row collapsed="false" customFormat="false" customHeight="false" hidden="false" ht="12.1" outlineLevel="0" r="5322">
      <c r="A5322" s="3" t="s">
        <f>=HYPERLINK("https://mp39851918.megaplan.ua/deals/117740/card/","20015")</f>
      </c>
      <c r="B5322" s="3" t="inlineStr">
        <is>
          <t>111-5426872-6674648</t>
        </is>
      </c>
      <c r="C5322" s="3" t="inlineStr">
        <is>
          <t>PartsUnlimited</t>
        </is>
      </c>
    </row>
    <row collapsed="false" customFormat="false" customHeight="false" hidden="false" ht="12.1" outlineLevel="0" r="5323">
      <c r="A5323" s="3" t="s">
        <f>=HYPERLINK("https://mp39851918.megaplan.ua/deals/117742/card/","20016")</f>
      </c>
      <c r="B5323" s="3" t="inlineStr">
        <is>
          <t>113-1967023-2883440</t>
        </is>
      </c>
      <c r="C5323" s="3" t="inlineStr">
        <is>
          <t>TuckerRocky</t>
        </is>
      </c>
    </row>
    <row collapsed="false" customFormat="false" customHeight="false" hidden="false" ht="12.1" outlineLevel="0" r="5324">
      <c r="A5324" s="3" t="s">
        <f>=HYPERLINK("https://mp39851918.megaplan.ua/deals/117743/card/","20017")</f>
      </c>
      <c r="B5324" s="3" t="inlineStr">
        <is>
          <t>111-7089428-5070601</t>
        </is>
      </c>
      <c r="C5324" s="3" t="inlineStr">
        <is>
          <t>other</t>
        </is>
      </c>
    </row>
    <row collapsed="false" customFormat="false" customHeight="false" hidden="false" ht="12.1" outlineLevel="0" r="5325">
      <c r="A5325" s="3" t="s">
        <f>=HYPERLINK("https://mp39851918.megaplan.ua/deals/117744/card/","20018")</f>
      </c>
      <c r="B5325" s="3" t="inlineStr">
        <is>
          <t>112-8007686-2165856</t>
        </is>
      </c>
      <c r="C5325" s="3" t="inlineStr">
        <is>
          <t>other</t>
        </is>
      </c>
    </row>
    <row collapsed="false" customFormat="false" customHeight="false" hidden="false" ht="12.1" outlineLevel="0" r="5326">
      <c r="A5326" s="3" t="s">
        <f>=HYPERLINK("https://mp39851918.megaplan.ua/deals/117745/card/","20019")</f>
      </c>
      <c r="B5326" s="3" t="inlineStr">
        <is>
          <t>114-9497255-9983432</t>
        </is>
      </c>
      <c r="C5326" s="3" t="inlineStr">
        <is>
          <t>TuckerRocky</t>
        </is>
      </c>
    </row>
    <row collapsed="false" customFormat="false" customHeight="false" hidden="false" ht="12.1" outlineLevel="0" r="5327">
      <c r="A5327" s="3" t="s">
        <f>=HYPERLINK("https://mp39851918.megaplan.ua/deals/117746/card/","20020")</f>
      </c>
      <c r="B5327" s="3" t="inlineStr">
        <is>
          <t>112-4532008-8539408</t>
        </is>
      </c>
      <c r="C5327" s="3" t="inlineStr">
        <is>
          <t>other</t>
        </is>
      </c>
    </row>
    <row collapsed="false" customFormat="false" customHeight="false" hidden="false" ht="12.1" outlineLevel="0" r="5328">
      <c r="A5328" s="3" t="s">
        <f>=HYPERLINK("https://mp39851918.megaplan.ua/deals/117748/card/","20021")</f>
      </c>
      <c r="B5328" s="3" t="inlineStr">
        <is>
          <t>113-8954379-9466648</t>
        </is>
      </c>
      <c r="C5328" s="3" t="inlineStr">
        <is>
          <t>other</t>
        </is>
      </c>
    </row>
    <row collapsed="false" customFormat="false" customHeight="false" hidden="false" ht="12.1" outlineLevel="0" r="5329">
      <c r="A5329" s="3" t="s">
        <f>=HYPERLINK("https://mp39851918.megaplan.ua/deals/117749/card/","20022")</f>
      </c>
      <c r="B5329" s="3" t="inlineStr">
        <is>
          <t>114-2327416-2754619</t>
        </is>
      </c>
      <c r="C5329" s="3" t="inlineStr">
        <is>
          <t>RockyMountain</t>
        </is>
      </c>
    </row>
    <row collapsed="false" customFormat="false" customHeight="false" hidden="false" ht="12.1" outlineLevel="0" r="5330">
      <c r="A5330" s="3" t="s">
        <f>=HYPERLINK("https://mp39851918.megaplan.ua/deals/117753/card/","20023")</f>
      </c>
      <c r="B5330" s="3" t="inlineStr">
        <is>
          <t>111-7674527-3493066</t>
        </is>
      </c>
      <c r="C5330" s="3" t="inlineStr">
        <is>
          <t>Autodist</t>
        </is>
      </c>
    </row>
    <row collapsed="false" customFormat="false" customHeight="false" hidden="false" ht="12.1" outlineLevel="0" r="5331">
      <c r="A5331" s="3" t="s">
        <f>=HYPERLINK("https://mp39851918.megaplan.ua/deals/117754/card/","20024")</f>
      </c>
      <c r="B5331" s="3" t="inlineStr">
        <is>
          <t>114-2326439-6004202</t>
        </is>
      </c>
      <c r="C5331" s="3" t="inlineStr">
        <is>
          <t>RockyMountain</t>
        </is>
      </c>
    </row>
    <row collapsed="false" customFormat="false" customHeight="false" hidden="false" ht="12.1" outlineLevel="0" r="5332">
      <c r="A5332" s="3" t="s">
        <f>=HYPERLINK("https://mp39851918.megaplan.ua/deals/117755/card/","20025")</f>
      </c>
      <c r="B5332" s="3" t="inlineStr">
        <is>
          <t>111-1143479-0565832</t>
        </is>
      </c>
      <c r="C5332" s="3" t="inlineStr">
        <is>
          <t>TuckerRocky</t>
        </is>
      </c>
    </row>
    <row collapsed="false" customFormat="false" customHeight="false" hidden="false" ht="12.1" outlineLevel="0" r="5333">
      <c r="A5333" s="3" t="s">
        <f>=HYPERLINK("https://mp39851918.megaplan.ua/deals/117759/card/","20026")</f>
      </c>
      <c r="B5333" s="3" t="inlineStr">
        <is>
          <t>114-3442028-9727409</t>
        </is>
      </c>
      <c r="C5333" s="3" t="inlineStr">
        <is>
          <t>Autodist</t>
        </is>
      </c>
    </row>
    <row collapsed="false" customFormat="false" customHeight="false" hidden="false" ht="12.1" outlineLevel="0" r="5334">
      <c r="A5334" s="3" t="s">
        <f>=HYPERLINK("https://mp39851918.megaplan.ua/deals/117760/card/","20027")</f>
      </c>
      <c r="B5334" s="3" t="inlineStr">
        <is>
          <t>114-8763497-5318634</t>
        </is>
      </c>
      <c r="C5334" s="3" t="inlineStr">
        <is>
          <t>TuckerRocky</t>
        </is>
      </c>
    </row>
    <row collapsed="false" customFormat="false" customHeight="false" hidden="false" ht="12.1" outlineLevel="0" r="5335">
      <c r="A5335" s="3" t="s">
        <f>=HYPERLINK("https://mp39851918.megaplan.ua/deals/117766/card/","20028")</f>
      </c>
      <c r="B5335" s="3" t="inlineStr">
        <is>
          <t>111-7150076-2737857</t>
        </is>
      </c>
      <c r="C5335" s="3" t="inlineStr">
        <is>
          <t>TuckerRocky</t>
        </is>
      </c>
    </row>
    <row collapsed="false" customFormat="false" customHeight="false" hidden="false" ht="12.1" outlineLevel="0" r="5336">
      <c r="A5336" s="3" t="s">
        <f>=HYPERLINK("https://mp39851918.megaplan.ua/deals/117770/card/","20030")</f>
      </c>
      <c r="B5336" s="3" t="inlineStr">
        <is>
          <t>113-7110138-5728216</t>
        </is>
      </c>
      <c r="C5336" s="3" t="inlineStr">
        <is>
          <t>TuckerRocky</t>
        </is>
      </c>
    </row>
    <row collapsed="false" customFormat="false" customHeight="false" hidden="false" ht="12.1" outlineLevel="0" r="5337">
      <c r="A5337" s="3" t="s">
        <f>=HYPERLINK("https://mp39851918.megaplan.ua/deals/117771/card/","20031")</f>
      </c>
      <c r="B5337" s="3" t="inlineStr">
        <is>
          <t>111-8817244-9818618</t>
        </is>
      </c>
      <c r="C5337" s="3" t="inlineStr">
        <is>
          <t>TuckerRocky</t>
        </is>
      </c>
    </row>
    <row collapsed="false" customFormat="false" customHeight="false" hidden="false" ht="12.1" outlineLevel="0" r="5338">
      <c r="A5338" s="3" t="s">
        <f>=HYPERLINK("https://mp39851918.megaplan.ua/deals/117772/card/","20032")</f>
      </c>
      <c r="B5338" s="3" t="inlineStr">
        <is>
          <t>113-2637207-8560258</t>
        </is>
      </c>
      <c r="C5338" s="3" t="inlineStr">
        <is>
          <t>RockyMountain</t>
        </is>
      </c>
    </row>
    <row collapsed="false" customFormat="false" customHeight="false" hidden="false" ht="12.1" outlineLevel="0" r="5339">
      <c r="A5339" s="3" t="s">
        <f>=HYPERLINK("https://mp39851918.megaplan.ua/deals/117773/card/","20033")</f>
      </c>
      <c r="B5339" s="3" t="inlineStr">
        <is>
          <t>113-1408333-0709029</t>
        </is>
      </c>
      <c r="C5339" s="3" t="inlineStr">
        <is>
          <t>TuckerRocky</t>
        </is>
      </c>
    </row>
    <row collapsed="false" customFormat="false" customHeight="false" hidden="false" ht="12.1" outlineLevel="0" r="5340">
      <c r="A5340" s="3" t="s">
        <f>=HYPERLINK("https://mp39851918.megaplan.ua/deals/117776/card/","20034")</f>
      </c>
      <c r="B5340" s="3" t="inlineStr">
        <is>
          <t>114-3206647-6120232</t>
        </is>
      </c>
      <c r="C5340" s="3" t="inlineStr">
        <is>
          <t>RockyMountain</t>
        </is>
      </c>
    </row>
    <row collapsed="false" customFormat="false" customHeight="false" hidden="false" ht="12.1" outlineLevel="0" r="5341">
      <c r="A5341" s="3" t="s">
        <f>=HYPERLINK("https://mp39851918.megaplan.ua/deals/117781/card/","20035")</f>
      </c>
      <c r="B5341" s="3" t="inlineStr">
        <is>
          <t>112-2633092-4601856</t>
        </is>
      </c>
      <c r="C5341" s="3" t="inlineStr">
        <is>
          <t>TuckerRocky</t>
        </is>
      </c>
    </row>
    <row collapsed="false" customFormat="false" customHeight="false" hidden="false" ht="12.1" outlineLevel="0" r="5342">
      <c r="A5342" s="3" t="s">
        <f>=HYPERLINK("https://mp39851918.megaplan.ua/deals/117788/card/","20036")</f>
      </c>
      <c r="B5342" s="3" t="inlineStr">
        <is>
          <t>111-7178883-6463404</t>
        </is>
      </c>
      <c r="C5342" s="3" t="inlineStr">
        <is>
          <t>PartsUnlimited</t>
        </is>
      </c>
    </row>
    <row collapsed="false" customFormat="false" customHeight="false" hidden="false" ht="12.1" outlineLevel="0" r="5343">
      <c r="A5343" s="3" t="s">
        <f>=HYPERLINK("https://mp39851918.megaplan.ua/deals/117794/card/","20037")</f>
      </c>
      <c r="B5343" s="3" t="inlineStr">
        <is>
          <t>111-7299946-6318615</t>
        </is>
      </c>
      <c r="C5343" s="3" t="inlineStr">
        <is>
          <t>TuckerRocky</t>
        </is>
      </c>
    </row>
    <row collapsed="false" customFormat="false" customHeight="false" hidden="false" ht="12.1" outlineLevel="0" r="5344">
      <c r="A5344" s="3" t="s">
        <f>=HYPERLINK("https://mp39851918.megaplan.ua/deals/117795/card/","20038")</f>
      </c>
      <c r="B5344" s="3" t="inlineStr">
        <is>
          <t>112-3159454-9775404</t>
        </is>
      </c>
      <c r="C5344" s="3" t="inlineStr">
        <is>
          <t>TuckerRocky</t>
        </is>
      </c>
    </row>
    <row collapsed="false" customFormat="false" customHeight="false" hidden="false" ht="12.1" outlineLevel="0" r="5345">
      <c r="A5345" s="3" t="s">
        <f>=HYPERLINK("https://mp39851918.megaplan.ua/deals/117796/card/","20039")</f>
      </c>
      <c r="B5345" s="3" t="inlineStr">
        <is>
          <t>114-1046024-5937052</t>
        </is>
      </c>
      <c r="C5345" s="3" t="inlineStr">
        <is>
          <t>TuckerRocky</t>
        </is>
      </c>
    </row>
    <row collapsed="false" customFormat="false" customHeight="false" hidden="false" ht="12.1" outlineLevel="0" r="5346">
      <c r="A5346" s="3" t="s">
        <f>=HYPERLINK("https://mp39851918.megaplan.ua/deals/117799/card/","20040")</f>
      </c>
      <c r="B5346" s="3" t="inlineStr">
        <is>
          <t>114-1479952-1433044</t>
        </is>
      </c>
      <c r="C5346" s="3" t="inlineStr">
        <is>
          <t>TuckerRocky</t>
        </is>
      </c>
    </row>
    <row collapsed="false" customFormat="false" customHeight="false" hidden="false" ht="12.1" outlineLevel="0" r="5347">
      <c r="A5347" s="3" t="s">
        <f>=HYPERLINK("https://mp39851918.megaplan.ua/deals/117800/card/","20041")</f>
      </c>
      <c r="B5347" s="3" t="inlineStr">
        <is>
          <t>111-4351392-0958634</t>
        </is>
      </c>
      <c r="C5347" s="3" t="inlineStr">
        <is>
          <t>PartsUnlimited</t>
        </is>
      </c>
    </row>
    <row collapsed="false" customFormat="false" customHeight="false" hidden="false" ht="12.1" outlineLevel="0" r="5348">
      <c r="A5348" s="3" t="s">
        <f>=HYPERLINK("https://mp39851918.megaplan.ua/deals/117809/card/","20042")</f>
      </c>
      <c r="B5348" s="3" t="inlineStr">
        <is>
          <t>113-6269743-3093059</t>
        </is>
      </c>
      <c r="C5348" s="3" t="inlineStr">
        <is>
          <t>TuckerRocky</t>
        </is>
      </c>
    </row>
    <row collapsed="false" customFormat="false" customHeight="false" hidden="false" ht="12.1" outlineLevel="0" r="5349">
      <c r="A5349" s="3" t="s">
        <f>=HYPERLINK("https://mp39851918.megaplan.ua/deals/117813/card/","20043")</f>
      </c>
      <c r="B5349" s="3" t="inlineStr">
        <is>
          <t>111-9284455-5197016</t>
        </is>
      </c>
      <c r="C5349" s="3" t="inlineStr">
        <is>
          <t>RockyMountain</t>
        </is>
      </c>
    </row>
    <row collapsed="false" customFormat="false" customHeight="false" hidden="false" ht="12.1" outlineLevel="0" r="5350">
      <c r="A5350" s="3" t="s">
        <f>=HYPERLINK("https://mp39851918.megaplan.ua/deals/117814/card/","20044")</f>
      </c>
      <c r="B5350" s="3" t="inlineStr">
        <is>
          <t>113-9423587-5279461</t>
        </is>
      </c>
      <c r="C5350" s="3" t="inlineStr">
        <is>
          <t>RockyMountain</t>
        </is>
      </c>
    </row>
    <row collapsed="false" customFormat="false" customHeight="false" hidden="false" ht="12.1" outlineLevel="0" r="5351">
      <c r="A5351" s="3" t="s">
        <f>=HYPERLINK("https://mp39851918.megaplan.ua/deals/117818/card/","20045")</f>
      </c>
      <c r="B5351" s="3" t="inlineStr">
        <is>
          <t>111-4907796-6718633</t>
        </is>
      </c>
      <c r="C5351" s="3" t="inlineStr">
        <is>
          <t>RockyMountain</t>
        </is>
      </c>
    </row>
    <row collapsed="false" customFormat="false" customHeight="false" hidden="false" ht="12.1" outlineLevel="0" r="5352">
      <c r="A5352" s="3" t="s">
        <f>=HYPERLINK("https://mp39851918.megaplan.ua/deals/117837/card/","20047")</f>
      </c>
      <c r="B5352" s="3" t="inlineStr">
        <is>
          <t>111-1329792-9537019</t>
        </is>
      </c>
      <c r="C5352" s="3" t="inlineStr">
        <is>
          <t>TuckerRocky</t>
        </is>
      </c>
    </row>
    <row collapsed="false" customFormat="false" customHeight="false" hidden="false" ht="12.1" outlineLevel="0" r="5353">
      <c r="A5353" s="3" t="s">
        <f>=HYPERLINK("https://mp39851918.megaplan.ua/deals/117838/card/","20048")</f>
      </c>
      <c r="B5353" s="3" t="inlineStr">
        <is>
          <t>113-2081989-0122657</t>
        </is>
      </c>
      <c r="C5353" s="3" t="inlineStr">
        <is>
          <t>Autodist</t>
        </is>
      </c>
    </row>
    <row collapsed="false" customFormat="false" customHeight="false" hidden="false" ht="12.1" outlineLevel="0" r="5354">
      <c r="A5354" s="3" t="s">
        <f>=HYPERLINK("https://mp39851918.megaplan.ua/deals/117842/card/","20049")</f>
      </c>
      <c r="B5354" s="3" t="inlineStr">
        <is>
          <t>113-0105045-6217805</t>
        </is>
      </c>
      <c r="C5354" s="3" t="inlineStr">
        <is>
          <t>TuckerRocky</t>
        </is>
      </c>
    </row>
    <row collapsed="false" customFormat="false" customHeight="false" hidden="false" ht="12.1" outlineLevel="0" r="5355">
      <c r="A5355" s="3" t="s">
        <f>=HYPERLINK("https://mp39851918.megaplan.ua/deals/117843/card/","20050")</f>
      </c>
      <c r="B5355" s="3" t="inlineStr">
        <is>
          <t>111-2841784-0306608</t>
        </is>
      </c>
      <c r="C5355" s="3" t="inlineStr">
        <is>
          <t>TuckerRocky</t>
        </is>
      </c>
    </row>
    <row collapsed="false" customFormat="false" customHeight="false" hidden="false" ht="12.1" outlineLevel="0" r="5356">
      <c r="A5356" s="3" t="s">
        <f>=HYPERLINK("https://mp39851918.megaplan.ua/deals/117853/card/","20052")</f>
      </c>
      <c r="B5356" s="3" t="inlineStr">
        <is>
          <t>111-4501663-2661826</t>
        </is>
      </c>
      <c r="C5356" s="3" t="inlineStr">
        <is>
          <t>RockyMountain</t>
        </is>
      </c>
    </row>
    <row collapsed="false" customFormat="false" customHeight="false" hidden="false" ht="12.1" outlineLevel="0" r="5357">
      <c r="A5357" s="3" t="s">
        <f>=HYPERLINK("https://mp39851918.megaplan.ua/deals/117869/card/","20054")</f>
      </c>
      <c r="B5357" s="3" t="inlineStr">
        <is>
          <t>111-2828946-9416251</t>
        </is>
      </c>
      <c r="C5357" s="3" t="inlineStr">
        <is>
          <t>TuckerRocky</t>
        </is>
      </c>
    </row>
    <row collapsed="false" customFormat="false" customHeight="false" hidden="false" ht="12.1" outlineLevel="0" r="5358">
      <c r="A5358" s="3" t="s">
        <f>=HYPERLINK("https://mp39851918.megaplan.ua/deals/117877/card/","20055")</f>
      </c>
      <c r="B5358" s="3" t="inlineStr">
        <is>
          <t>111-8640431-5820228</t>
        </is>
      </c>
      <c r="C5358" s="3" t="inlineStr">
        <is>
          <t>Autodist</t>
        </is>
      </c>
    </row>
    <row collapsed="false" customFormat="false" customHeight="false" hidden="false" ht="12.1" outlineLevel="0" r="5359">
      <c r="A5359" s="3" t="s">
        <f>=HYPERLINK("https://mp39851918.megaplan.ua/deals/117884/card/","20056")</f>
      </c>
      <c r="B5359" s="3" t="inlineStr">
        <is>
          <t>114-0492525-5381822</t>
        </is>
      </c>
      <c r="C5359" s="3" t="inlineStr">
        <is>
          <t>PartsUnlimited</t>
        </is>
      </c>
    </row>
    <row collapsed="false" customFormat="false" customHeight="false" hidden="false" ht="12.1" outlineLevel="0" r="5360">
      <c r="A5360" s="3" t="s">
        <f>=HYPERLINK("https://mp39851918.megaplan.ua/deals/117886/card/","20057")</f>
      </c>
      <c r="B5360" s="3" t="inlineStr">
        <is>
          <t>113-7019181-8614654</t>
        </is>
      </c>
      <c r="C5360" s="3" t="inlineStr">
        <is>
          <t>RockyMountain</t>
        </is>
      </c>
    </row>
    <row collapsed="false" customFormat="false" customHeight="false" hidden="false" ht="12.1" outlineLevel="0" r="5361">
      <c r="A5361" s="3" t="s">
        <f>=HYPERLINK("https://mp39851918.megaplan.ua/deals/117892/card/","20058")</f>
      </c>
      <c r="B5361" s="3" t="inlineStr">
        <is>
          <t>113-2692369-8329858</t>
        </is>
      </c>
      <c r="C5361" s="3" t="inlineStr">
        <is>
          <t>TuckerRocky</t>
        </is>
      </c>
    </row>
    <row collapsed="false" customFormat="false" customHeight="false" hidden="false" ht="12.1" outlineLevel="0" r="5362">
      <c r="A5362" s="3" t="s">
        <f>=HYPERLINK("https://mp39851918.megaplan.ua/deals/117894/card/","20059")</f>
      </c>
      <c r="B5362" s="3" t="inlineStr">
        <is>
          <t>113-2038879-3283422</t>
        </is>
      </c>
      <c r="C5362" s="3" t="inlineStr">
        <is>
          <t>RockyMountain</t>
        </is>
      </c>
    </row>
    <row collapsed="false" customFormat="false" customHeight="false" hidden="false" ht="12.1" outlineLevel="0" r="5363">
      <c r="A5363" s="3" t="s">
        <f>=HYPERLINK("https://mp39851918.megaplan.ua/deals/117897/card/","20060")</f>
      </c>
      <c r="B5363" s="3" t="inlineStr">
        <is>
          <t>113-6815488-8754641</t>
        </is>
      </c>
      <c r="C5363" s="3" t="inlineStr">
        <is>
          <t>TuckerRocky</t>
        </is>
      </c>
    </row>
    <row collapsed="false" customFormat="false" customHeight="false" hidden="false" ht="12.1" outlineLevel="0" r="5364">
      <c r="A5364" s="3" t="s">
        <f>=HYPERLINK("https://mp39851918.megaplan.ua/deals/117898/card/","20061")</f>
      </c>
      <c r="B5364" s="3" t="inlineStr">
        <is>
          <t>113-9853222-2767453</t>
        </is>
      </c>
      <c r="C5364" s="3" t="inlineStr">
        <is>
          <t>Autodist</t>
        </is>
      </c>
    </row>
    <row collapsed="false" customFormat="false" customHeight="false" hidden="false" ht="12.1" outlineLevel="0" r="5365">
      <c r="A5365" s="3" t="s">
        <f>=HYPERLINK("https://mp39851918.megaplan.ua/deals/117899/card/","20062")</f>
      </c>
      <c r="B5365" s="3" t="inlineStr">
        <is>
          <t>112-5191953-4010655</t>
        </is>
      </c>
      <c r="C5365" s="3" t="inlineStr">
        <is>
          <t>RockyMountain</t>
        </is>
      </c>
    </row>
    <row collapsed="false" customFormat="false" customHeight="false" hidden="false" ht="12.1" outlineLevel="0" r="5366">
      <c r="A5366" s="3" t="s">
        <f>=HYPERLINK("https://mp39851918.megaplan.ua/deals/117931/card/","20063")</f>
      </c>
      <c r="B5366" s="3" t="inlineStr">
        <is>
          <t>111-9189411-6143407</t>
        </is>
      </c>
      <c r="C5366" s="3" t="inlineStr">
        <is>
          <t>RockyMountain</t>
        </is>
      </c>
    </row>
    <row collapsed="false" customFormat="false" customHeight="false" hidden="false" ht="12.1" outlineLevel="0" r="5367">
      <c r="A5367" s="3" t="s">
        <f>=HYPERLINK("https://mp39851918.megaplan.ua/deals/117936/card/","20064")</f>
      </c>
      <c r="B5367" s="3" t="inlineStr">
        <is>
          <t>112-5363603-3021036</t>
        </is>
      </c>
      <c r="C5367" s="3" t="inlineStr">
        <is>
          <t>TuckerRocky</t>
        </is>
      </c>
    </row>
    <row collapsed="false" customFormat="false" customHeight="false" hidden="false" ht="12.1" outlineLevel="0" r="5368">
      <c r="A5368" s="3" t="s">
        <f>=HYPERLINK("https://mp39851918.megaplan.ua/deals/117950/card/","20065")</f>
      </c>
      <c r="B5368" s="3" t="inlineStr">
        <is>
          <t>112-2610077-4320251</t>
        </is>
      </c>
      <c r="C5368" s="3" t="inlineStr">
        <is>
          <t>TuckerRocky</t>
        </is>
      </c>
    </row>
    <row collapsed="false" customFormat="false" customHeight="false" hidden="false" ht="12.1" outlineLevel="0" r="5369">
      <c r="A5369" s="3" t="s">
        <f>=HYPERLINK("https://mp39851918.megaplan.ua/deals/117961/card/","20067")</f>
      </c>
      <c r="B5369" s="3" t="inlineStr">
        <is>
          <t>113-0410843-6208256</t>
        </is>
      </c>
      <c r="C5369" s="3" t="inlineStr">
        <is>
          <t>TuckerRocky</t>
        </is>
      </c>
    </row>
    <row collapsed="false" customFormat="false" customHeight="false" hidden="false" ht="12.1" outlineLevel="0" r="5370">
      <c r="A5370" s="3" t="s">
        <f>=HYPERLINK("https://mp39851918.megaplan.ua/deals/117962/card/","20068")</f>
      </c>
      <c r="B5370" s="3" t="inlineStr">
        <is>
          <t>113-0647322-3408267</t>
        </is>
      </c>
      <c r="C5370" s="3" t="inlineStr">
        <is>
          <t>Autodist</t>
        </is>
      </c>
    </row>
    <row collapsed="false" customFormat="false" customHeight="false" hidden="false" ht="12.1" outlineLevel="0" r="5371">
      <c r="A5371" s="3" t="s">
        <f>=HYPERLINK("https://mp39851918.megaplan.ua/deals/117967/card/","20069")</f>
      </c>
      <c r="B5371" s="3" t="inlineStr">
        <is>
          <t>113-2124074-9633033</t>
        </is>
      </c>
      <c r="C5371" s="3" t="inlineStr">
        <is>
          <t>RockyMountain</t>
        </is>
      </c>
    </row>
    <row collapsed="false" customFormat="false" customHeight="false" hidden="false" ht="12.1" outlineLevel="0" r="5372">
      <c r="A5372" s="3" t="s">
        <f>=HYPERLINK("https://mp39851918.megaplan.ua/deals/117977/card/","20070")</f>
      </c>
      <c r="B5372" s="3" t="inlineStr">
        <is>
          <t>113-7642420-9209853</t>
        </is>
      </c>
      <c r="C5372" s="3" t="inlineStr">
        <is>
          <t>TuckerRocky</t>
        </is>
      </c>
    </row>
    <row collapsed="false" customFormat="false" customHeight="false" hidden="false" ht="12.1" outlineLevel="0" r="5373">
      <c r="A5373" s="3" t="s">
        <f>=HYPERLINK("https://mp39851918.megaplan.ua/deals/117983/card/","20071")</f>
      </c>
      <c r="B5373" s="3" t="inlineStr">
        <is>
          <t>114-6550630-1085020</t>
        </is>
      </c>
      <c r="C5373" s="3" t="inlineStr">
        <is>
          <t>Autodist</t>
        </is>
      </c>
    </row>
    <row collapsed="false" customFormat="false" customHeight="false" hidden="false" ht="12.1" outlineLevel="0" r="5374">
      <c r="A5374" s="3" t="s">
        <f>=HYPERLINK("https://mp39851918.megaplan.ua/deals/117991/card/","20072")</f>
      </c>
      <c r="B5374" s="3" t="inlineStr">
        <is>
          <t>114-8800200-8714650</t>
        </is>
      </c>
      <c r="C5374" s="3" t="inlineStr">
        <is>
          <t>Autodist</t>
        </is>
      </c>
    </row>
    <row collapsed="false" customFormat="false" customHeight="false" hidden="false" ht="12.1" outlineLevel="0" r="5375">
      <c r="A5375" s="3" t="s">
        <f>=HYPERLINK("https://mp39851918.megaplan.ua/deals/118002/card/","20073")</f>
      </c>
      <c r="B5375" s="3" t="inlineStr">
        <is>
          <t>112-9629482-1669049</t>
        </is>
      </c>
      <c r="C5375" s="3" t="inlineStr">
        <is>
          <t>RockyMountain</t>
        </is>
      </c>
    </row>
    <row collapsed="false" customFormat="false" customHeight="false" hidden="false" ht="12.1" outlineLevel="0" r="5376">
      <c r="A5376" s="3" t="s">
        <f>=HYPERLINK("https://mp39851918.megaplan.ua/deals/118010/card/","20074")</f>
      </c>
      <c r="B5376" s="3" t="inlineStr">
        <is>
          <t>111-1920600-1901062</t>
        </is>
      </c>
      <c r="C5376" s="3" t="inlineStr">
        <is>
          <t>TuckerRocky</t>
        </is>
      </c>
    </row>
    <row collapsed="false" customFormat="false" customHeight="false" hidden="false" ht="12.1" outlineLevel="0" r="5377">
      <c r="A5377" s="3" t="s">
        <f>=HYPERLINK("https://mp39851918.megaplan.ua/deals/118015/card/","20075")</f>
      </c>
      <c r="B5377" s="3" t="inlineStr">
        <is>
          <t>111-7967489-4219423</t>
        </is>
      </c>
      <c r="C5377" s="3" t="inlineStr">
        <is>
          <t>PartsUnlimited</t>
        </is>
      </c>
    </row>
    <row collapsed="false" customFormat="false" customHeight="false" hidden="false" ht="12.1" outlineLevel="0" r="5378">
      <c r="A5378" s="3" t="s">
        <f>=HYPERLINK("https://mp39851918.megaplan.ua/deals/118031/card/","20079")</f>
      </c>
      <c r="B5378" s="3" t="inlineStr">
        <is>
          <t>113-4724703-7959445</t>
        </is>
      </c>
      <c r="C5378" s="3" t="inlineStr">
        <is>
          <t>RockyMountain</t>
        </is>
      </c>
    </row>
    <row collapsed="false" customFormat="false" customHeight="false" hidden="false" ht="12.1" outlineLevel="0" r="5379">
      <c r="A5379" s="3" t="s">
        <f>=HYPERLINK("https://mp39851918.megaplan.ua/deals/118033/card/","20080")</f>
      </c>
      <c r="B5379" s="3" t="inlineStr">
        <is>
          <t>114-6726798-1559413</t>
        </is>
      </c>
      <c r="C5379" s="3" t="inlineStr">
        <is>
          <t>TuckerRocky</t>
        </is>
      </c>
    </row>
    <row collapsed="false" customFormat="false" customHeight="false" hidden="false" ht="12.1" outlineLevel="0" r="5380">
      <c r="A5380" s="3" t="s">
        <f>=HYPERLINK("https://mp39851918.megaplan.ua/deals/118038/card/","20082")</f>
      </c>
      <c r="B5380" s="3" t="inlineStr">
        <is>
          <t>112-8527300-1789839</t>
        </is>
      </c>
      <c r="C5380" s="3" t="inlineStr">
        <is>
          <t>PartsUnlimited</t>
        </is>
      </c>
    </row>
    <row collapsed="false" customFormat="false" customHeight="false" hidden="false" ht="12.1" outlineLevel="0" r="5381">
      <c r="A5381" s="3" t="s">
        <f>=HYPERLINK("https://mp39851918.megaplan.ua/deals/118047/card/","20083")</f>
      </c>
      <c r="B5381" s="3" t="inlineStr">
        <is>
          <t>114-7211478-8982654</t>
        </is>
      </c>
      <c r="C5381" s="3" t="inlineStr">
        <is>
          <t>RockyMountain</t>
        </is>
      </c>
    </row>
    <row collapsed="false" customFormat="false" customHeight="false" hidden="false" ht="12.1" outlineLevel="0" r="5382">
      <c r="A5382" s="3" t="s">
        <f>=HYPERLINK("https://mp39851918.megaplan.ua/deals/118057/card/","20084")</f>
      </c>
      <c r="B5382" s="3" t="inlineStr">
        <is>
          <t>111-9359362-6377808</t>
        </is>
      </c>
      <c r="C5382" s="3" t="inlineStr">
        <is>
          <t>PartsUnlimited</t>
        </is>
      </c>
    </row>
    <row collapsed="false" customFormat="false" customHeight="false" hidden="false" ht="12.1" outlineLevel="0" r="5383">
      <c r="A5383" s="3" t="s">
        <f>=HYPERLINK("https://mp39851918.megaplan.ua/deals/118059/card/","20085")</f>
      </c>
      <c r="B5383" s="3" t="inlineStr">
        <is>
          <t>114-4820590-3663462</t>
        </is>
      </c>
      <c r="C5383" s="3" t="inlineStr">
        <is>
          <t>RockyMountain</t>
        </is>
      </c>
    </row>
    <row collapsed="false" customFormat="false" customHeight="false" hidden="false" ht="12.1" outlineLevel="0" r="5384">
      <c r="A5384" s="3" t="s">
        <f>=HYPERLINK("https://mp39851918.megaplan.ua/deals/118062/card/","20086")</f>
      </c>
      <c r="B5384" s="3" t="inlineStr">
        <is>
          <t>113-8870050-9949826</t>
        </is>
      </c>
      <c r="C5384" s="3" t="inlineStr">
        <is>
          <t>RockyMountain</t>
        </is>
      </c>
    </row>
    <row collapsed="false" customFormat="false" customHeight="false" hidden="false" ht="12.1" outlineLevel="0" r="5385">
      <c r="A5385" s="3" t="s">
        <f>=HYPERLINK("https://mp39851918.megaplan.ua/deals/118064/card/","20087")</f>
      </c>
      <c r="B5385" s="3" t="inlineStr">
        <is>
          <t>112-7098476-6652242</t>
        </is>
      </c>
      <c r="C5385" s="3" t="inlineStr">
        <is>
          <t>RockyMountain</t>
        </is>
      </c>
    </row>
    <row collapsed="false" customFormat="false" customHeight="false" hidden="false" ht="12.1" outlineLevel="0" r="5386">
      <c r="A5386" s="3" t="s">
        <f>=HYPERLINK("https://mp39851918.megaplan.ua/deals/118065/card/","20088")</f>
      </c>
      <c r="B5386" s="3" t="inlineStr">
        <is>
          <t>113-7761615-6094616</t>
        </is>
      </c>
      <c r="C5386" s="3" t="inlineStr">
        <is>
          <t>RockyMountain</t>
        </is>
      </c>
    </row>
    <row collapsed="false" customFormat="false" customHeight="false" hidden="false" ht="12.1" outlineLevel="0" r="5387">
      <c r="A5387" s="3" t="s">
        <f>=HYPERLINK("https://mp39851918.megaplan.ua/deals/118069/card/","20089")</f>
      </c>
      <c r="B5387" s="3" t="inlineStr">
        <is>
          <t>112-4350812-4149056</t>
        </is>
      </c>
      <c r="C5387" s="3" t="inlineStr">
        <is>
          <t>TuckerRocky</t>
        </is>
      </c>
    </row>
    <row collapsed="false" customFormat="false" customHeight="false" hidden="false" ht="12.1" outlineLevel="0" r="5388">
      <c r="A5388" s="3" t="s">
        <f>=HYPERLINK("https://mp39851918.megaplan.ua/deals/118084/card/","20091")</f>
      </c>
      <c r="B5388" s="3" t="inlineStr">
        <is>
          <t>114-3996874-5347424</t>
        </is>
      </c>
      <c r="C5388" s="3" t="inlineStr">
        <is>
          <t>RockyMountain</t>
        </is>
      </c>
    </row>
    <row collapsed="false" customFormat="false" customHeight="false" hidden="false" ht="12.1" outlineLevel="0" r="5389">
      <c r="A5389" s="3" t="s">
        <f>=HYPERLINK("https://mp39851918.megaplan.ua/deals/118087/card/","20092")</f>
      </c>
      <c r="B5389" s="3" t="inlineStr">
        <is>
          <t>113-3659236-9689846</t>
        </is>
      </c>
      <c r="C5389" s="3" t="inlineStr">
        <is>
          <t>TuckerRocky</t>
        </is>
      </c>
    </row>
    <row collapsed="false" customFormat="false" customHeight="false" hidden="false" ht="12.1" outlineLevel="0" r="5390">
      <c r="A5390" s="3" t="s">
        <f>=HYPERLINK("https://mp39851918.megaplan.ua/deals/118096/card/","20093")</f>
      </c>
      <c r="B5390" s="3" t="inlineStr">
        <is>
          <t>113-5045319-9479400</t>
        </is>
      </c>
      <c r="C5390" s="3" t="inlineStr">
        <is>
          <t>RockyMountain</t>
        </is>
      </c>
    </row>
    <row collapsed="false" customFormat="false" customHeight="false" hidden="false" ht="12.1" outlineLevel="0" r="5391">
      <c r="A5391" s="3" t="s">
        <f>=HYPERLINK("https://mp39851918.megaplan.ua/deals/118113/card/","20094")</f>
      </c>
      <c r="B5391" s="3" t="inlineStr">
        <is>
          <t>112-1424151-7725809</t>
        </is>
      </c>
      <c r="C5391" s="3" t="inlineStr">
        <is>
          <t>Autodist</t>
        </is>
      </c>
    </row>
    <row collapsed="false" customFormat="false" customHeight="false" hidden="false" ht="12.1" outlineLevel="0" r="5392">
      <c r="A5392" s="3" t="s">
        <f>=HYPERLINK("https://mp39851918.megaplan.ua/deals/118123/card/","20095")</f>
      </c>
      <c r="B5392" s="3" t="inlineStr">
        <is>
          <t>111-8223746-5469857</t>
        </is>
      </c>
      <c r="C5392" s="3" t="inlineStr">
        <is>
          <t>PartsUnlimited</t>
        </is>
      </c>
    </row>
    <row collapsed="false" customFormat="false" customHeight="false" hidden="false" ht="12.1" outlineLevel="0" r="5393">
      <c r="A5393" s="3" t="s">
        <f>=HYPERLINK("https://mp39851918.megaplan.ua/deals/118146/card/","20096")</f>
      </c>
      <c r="B5393" s="3" t="inlineStr">
        <is>
          <t>111-6277860-5548201</t>
        </is>
      </c>
      <c r="C5393" s="3" t="inlineStr">
        <is>
          <t>RockyMountain</t>
        </is>
      </c>
    </row>
    <row collapsed="false" customFormat="false" customHeight="false" hidden="false" ht="12.1" outlineLevel="0" r="5394">
      <c r="A5394" s="3" t="s">
        <f>=HYPERLINK("https://mp39851918.megaplan.ua/deals/118156/card/","20098")</f>
      </c>
      <c r="B5394" s="3" t="inlineStr">
        <is>
          <t>113-0877779-3681851</t>
        </is>
      </c>
      <c r="C5394" s="3" t="inlineStr">
        <is>
          <t>PartsUnlimited</t>
        </is>
      </c>
    </row>
    <row collapsed="false" customFormat="false" customHeight="false" hidden="false" ht="12.1" outlineLevel="0" r="5395">
      <c r="A5395" s="3" t="s">
        <f>=HYPERLINK("https://mp39851918.megaplan.ua/deals/118188/card/","20099")</f>
      </c>
      <c r="B5395" s="3" t="inlineStr">
        <is>
          <t>113-6823597-9569006</t>
        </is>
      </c>
      <c r="C5395" s="3" t="inlineStr">
        <is>
          <t>Autodist</t>
        </is>
      </c>
    </row>
    <row collapsed="false" customFormat="false" customHeight="false" hidden="false" ht="12.1" outlineLevel="0" r="5396">
      <c r="A5396" s="3" t="s">
        <f>=HYPERLINK("https://mp39851918.megaplan.ua/deals/118239/card/","20105")</f>
      </c>
      <c r="B5396" s="3" t="inlineStr">
        <is>
          <t>111-7261978-9235424</t>
        </is>
      </c>
      <c r="C5396" s="3" t="inlineStr">
        <is>
          <t>TuckerRocky</t>
        </is>
      </c>
    </row>
    <row collapsed="false" customFormat="false" customHeight="false" hidden="false" ht="12.1" outlineLevel="0" r="5397">
      <c r="A5397" s="3" t="s">
        <f>=HYPERLINK("https://mp39851918.megaplan.ua/deals/118246/card/","20106")</f>
      </c>
      <c r="B5397" s="3" t="inlineStr">
        <is>
          <t>114-2757729-7608259</t>
        </is>
      </c>
      <c r="C5397" s="3" t="inlineStr">
        <is>
          <t>TuckerRocky</t>
        </is>
      </c>
    </row>
    <row collapsed="false" customFormat="false" customHeight="false" hidden="false" ht="12.1" outlineLevel="0" r="5398">
      <c r="A5398" s="3" t="s">
        <f>=HYPERLINK("https://mp39851918.megaplan.ua/deals/118255/card/","20107")</f>
      </c>
      <c r="B5398" s="3" t="inlineStr">
        <is>
          <t>114-9768665-5169021</t>
        </is>
      </c>
      <c r="C5398" s="3" t="inlineStr">
        <is>
          <t>RockyMountain</t>
        </is>
      </c>
    </row>
    <row collapsed="false" customFormat="false" customHeight="false" hidden="false" ht="12.1" outlineLevel="0" r="5399">
      <c r="A5399" s="3" t="s">
        <f>=HYPERLINK("https://mp39851918.megaplan.ua/deals/118264/card/","20109")</f>
      </c>
      <c r="B5399" s="3" t="inlineStr">
        <is>
          <t>111-3938618-4027405</t>
        </is>
      </c>
      <c r="C5399" s="3" t="inlineStr">
        <is>
          <t>Autodist</t>
        </is>
      </c>
    </row>
    <row collapsed="false" customFormat="false" customHeight="false" hidden="false" ht="12.1" outlineLevel="0" r="5400">
      <c r="A5400" s="3" t="s">
        <f>=HYPERLINK("https://mp39851918.megaplan.ua/deals/118273/card/","20110")</f>
      </c>
      <c r="B5400" s="3" t="inlineStr">
        <is>
          <t>113-8423613-0765060</t>
        </is>
      </c>
      <c r="C5400" s="3" t="inlineStr">
        <is>
          <t>Autodist</t>
        </is>
      </c>
    </row>
    <row collapsed="false" customFormat="false" customHeight="false" hidden="false" ht="12.1" outlineLevel="0" r="5401">
      <c r="A5401" s="3" t="s">
        <f>=HYPERLINK("https://mp39851918.megaplan.ua/deals/118276/card/","20111")</f>
      </c>
      <c r="B5401" s="3" t="inlineStr">
        <is>
          <t>111-4551207-4012229</t>
        </is>
      </c>
      <c r="C5401" s="3" t="inlineStr">
        <is>
          <t>RockyMountain</t>
        </is>
      </c>
    </row>
    <row collapsed="false" customFormat="false" customHeight="false" hidden="false" ht="12.1" outlineLevel="0" r="5402">
      <c r="A5402" s="3" t="s">
        <f>=HYPERLINK("https://mp39851918.megaplan.ua/deals/118278/card/","20112")</f>
      </c>
      <c r="B5402" s="3" t="inlineStr">
        <is>
          <t>112-9779043-8680205</t>
        </is>
      </c>
      <c r="C5402" s="3" t="inlineStr">
        <is>
          <t>RockyMountain</t>
        </is>
      </c>
    </row>
    <row collapsed="false" customFormat="false" customHeight="false" hidden="false" ht="12.1" outlineLevel="0" r="5403">
      <c r="A5403" s="3" t="s">
        <f>=HYPERLINK("https://mp39851918.megaplan.ua/deals/118279/card/","20113")</f>
      </c>
      <c r="B5403" s="3" t="inlineStr">
        <is>
          <t>113-1707355-7525029</t>
        </is>
      </c>
      <c r="C5403" s="3" t="inlineStr">
        <is>
          <t>RockyMountain</t>
        </is>
      </c>
    </row>
    <row collapsed="false" customFormat="false" customHeight="false" hidden="false" ht="12.1" outlineLevel="0" r="5404">
      <c r="A5404" s="3" t="s">
        <f>=HYPERLINK("https://mp39851918.megaplan.ua/deals/118285/card/","20115")</f>
      </c>
      <c r="B5404" s="3" t="inlineStr">
        <is>
          <t>111-7833137-5648265</t>
        </is>
      </c>
      <c r="C5404" s="3" t="inlineStr">
        <is>
          <t>RockyMountain</t>
        </is>
      </c>
    </row>
    <row collapsed="false" customFormat="false" customHeight="false" hidden="false" ht="12.1" outlineLevel="0" r="5405">
      <c r="A5405" s="3" t="s">
        <f>=HYPERLINK("https://mp39851918.megaplan.ua/deals/118298/card/","20116")</f>
      </c>
      <c r="B5405" s="3" t="inlineStr">
        <is>
          <t>114-5744867-6357827</t>
        </is>
      </c>
      <c r="C5405" s="3" t="inlineStr">
        <is>
          <t>TuckerRocky</t>
        </is>
      </c>
    </row>
    <row collapsed="false" customFormat="false" customHeight="false" hidden="false" ht="12.1" outlineLevel="0" r="5406">
      <c r="A5406" s="3" t="s">
        <f>=HYPERLINK("https://mp39851918.megaplan.ua/deals/118299/card/","20117")</f>
      </c>
      <c r="B5406" s="3" t="inlineStr">
        <is>
          <t>114-8686752-9033808</t>
        </is>
      </c>
      <c r="C5406" s="3" t="inlineStr">
        <is>
          <t>RockyMountain</t>
        </is>
      </c>
    </row>
    <row collapsed="false" customFormat="false" customHeight="false" hidden="false" ht="12.1" outlineLevel="0" r="5407">
      <c r="A5407" s="3" t="s">
        <f>=HYPERLINK("https://mp39851918.megaplan.ua/deals/118307/card/","20118")</f>
      </c>
      <c r="B5407" s="3" t="inlineStr">
        <is>
          <t>111-2479358-9457813</t>
        </is>
      </c>
      <c r="C5407" s="3" t="inlineStr">
        <is>
          <t>RockyMountain</t>
        </is>
      </c>
    </row>
    <row collapsed="false" customFormat="false" customHeight="false" hidden="false" ht="12.1" outlineLevel="0" r="5408">
      <c r="A5408" s="3" t="s">
        <f>=HYPERLINK("https://mp39851918.megaplan.ua/deals/118308/card/","20119")</f>
      </c>
      <c r="B5408" s="3" t="inlineStr">
        <is>
          <t>112-3673869-4282603</t>
        </is>
      </c>
      <c r="C5408" s="3" t="inlineStr">
        <is>
          <t>TuckerRocky</t>
        </is>
      </c>
    </row>
    <row collapsed="false" customFormat="false" customHeight="false" hidden="false" ht="12.1" outlineLevel="0" r="5409">
      <c r="A5409" s="3" t="s">
        <f>=HYPERLINK("https://mp39851918.megaplan.ua/deals/118312/card/","20120")</f>
      </c>
      <c r="B5409" s="3" t="inlineStr">
        <is>
          <t>113-1466196-2325833</t>
        </is>
      </c>
      <c r="C5409" s="3" t="inlineStr">
        <is>
          <t>TuckerRocky</t>
        </is>
      </c>
    </row>
    <row collapsed="false" customFormat="false" customHeight="false" hidden="false" ht="12.1" outlineLevel="0" r="5410">
      <c r="A5410" s="3" t="s">
        <f>=HYPERLINK("https://mp39851918.megaplan.ua/deals/118318/card/","20121")</f>
      </c>
      <c r="B5410" s="3" t="inlineStr">
        <is>
          <t>113-4185275-8579462</t>
        </is>
      </c>
      <c r="C5410" s="3" t="inlineStr">
        <is>
          <t>TuckerRocky</t>
        </is>
      </c>
    </row>
    <row collapsed="false" customFormat="false" customHeight="false" hidden="false" ht="12.1" outlineLevel="0" r="5411">
      <c r="A5411" s="3" t="s">
        <f>=HYPERLINK("https://mp39851918.megaplan.ua/deals/118320/card/","20122")</f>
      </c>
      <c r="B5411" s="3" t="inlineStr">
        <is>
          <t>111-8487489-9584234</t>
        </is>
      </c>
      <c r="C5411" s="3" t="inlineStr">
        <is>
          <t>RockyMountain</t>
        </is>
      </c>
    </row>
    <row collapsed="false" customFormat="false" customHeight="false" hidden="false" ht="12.1" outlineLevel="0" r="5412">
      <c r="A5412" s="3" t="s">
        <f>=HYPERLINK("https://mp39851918.megaplan.ua/deals/118325/card/","20123")</f>
      </c>
      <c r="B5412" s="3" t="inlineStr">
        <is>
          <t>114-2449122-0558646</t>
        </is>
      </c>
      <c r="C5412" s="3" t="inlineStr">
        <is>
          <t>PartsUnlimited</t>
        </is>
      </c>
    </row>
    <row collapsed="false" customFormat="false" customHeight="false" hidden="false" ht="12.1" outlineLevel="0" r="5413">
      <c r="A5413" s="3" t="s">
        <f>=HYPERLINK("https://mp39851918.megaplan.ua/deals/118326/card/","20124")</f>
      </c>
      <c r="B5413" s="3" t="inlineStr">
        <is>
          <t>113-5657718-9344254</t>
        </is>
      </c>
      <c r="C5413" s="3" t="inlineStr">
        <is>
          <t>PartsUnlimited</t>
        </is>
      </c>
    </row>
    <row collapsed="false" customFormat="false" customHeight="false" hidden="false" ht="12.1" outlineLevel="0" r="5414">
      <c r="A5414" s="3" t="s">
        <f>=HYPERLINK("https://mp39851918.megaplan.ua/deals/118329/card/","20125")</f>
      </c>
      <c r="B5414" s="3" t="inlineStr">
        <is>
          <t>111-4496106-5136211</t>
        </is>
      </c>
      <c r="C5414" s="3" t="inlineStr">
        <is>
          <t>TuckerRocky</t>
        </is>
      </c>
    </row>
    <row collapsed="false" customFormat="false" customHeight="false" hidden="false" ht="12.1" outlineLevel="0" r="5415">
      <c r="A5415" s="3" t="s">
        <f>=HYPERLINK("https://mp39851918.megaplan.ua/deals/118331/card/","20126")</f>
      </c>
      <c r="B5415" s="3" t="inlineStr">
        <is>
          <t>111-9898296-0957011</t>
        </is>
      </c>
      <c r="C5415" s="3" t="inlineStr">
        <is>
          <t>TuckerRocky</t>
        </is>
      </c>
    </row>
    <row collapsed="false" customFormat="false" customHeight="false" hidden="false" ht="12.1" outlineLevel="0" r="5416">
      <c r="A5416" s="3" t="s">
        <f>=HYPERLINK("https://mp39851918.megaplan.ua/deals/118332/card/","20127")</f>
      </c>
      <c r="B5416" s="3" t="inlineStr">
        <is>
          <t>112-2625062-5297014</t>
        </is>
      </c>
      <c r="C5416" s="3" t="inlineStr">
        <is>
          <t>PartsUnlimited</t>
        </is>
      </c>
    </row>
    <row collapsed="false" customFormat="false" customHeight="false" hidden="false" ht="12.1" outlineLevel="0" r="5417">
      <c r="A5417" s="3" t="s">
        <f>=HYPERLINK("https://mp39851918.megaplan.ua/deals/118333/card/","20128")</f>
      </c>
      <c r="B5417" s="3" t="inlineStr">
        <is>
          <t>112-8264918-1633067</t>
        </is>
      </c>
      <c r="C5417" s="3" t="inlineStr">
        <is>
          <t>TuckerRocky</t>
        </is>
      </c>
    </row>
    <row collapsed="false" customFormat="false" customHeight="false" hidden="false" ht="12.1" outlineLevel="0" r="5418">
      <c r="A5418" s="3" t="s">
        <f>=HYPERLINK("https://mp39851918.megaplan.ua/deals/118335/card/","20129")</f>
      </c>
      <c r="B5418" s="3" t="inlineStr">
        <is>
          <t>111-3910295-8409010</t>
        </is>
      </c>
      <c r="C5418" s="3" t="inlineStr">
        <is>
          <t>TuckerRocky</t>
        </is>
      </c>
    </row>
    <row collapsed="false" customFormat="false" customHeight="false" hidden="false" ht="12.1" outlineLevel="0" r="5419">
      <c r="A5419" s="3" t="s">
        <f>=HYPERLINK("https://mp39851918.megaplan.ua/deals/118336/card/","20130")</f>
      </c>
      <c r="B5419" s="3" t="inlineStr">
        <is>
          <t>111-1200771-6666601</t>
        </is>
      </c>
      <c r="C5419" s="3" t="inlineStr">
        <is>
          <t>TuckerRocky</t>
        </is>
      </c>
    </row>
    <row collapsed="false" customFormat="false" customHeight="false" hidden="false" ht="12.1" outlineLevel="0" r="5420">
      <c r="A5420" s="3" t="s">
        <f>=HYPERLINK("https://mp39851918.megaplan.ua/deals/118348/card/","20131")</f>
      </c>
      <c r="B5420" s="3" t="inlineStr">
        <is>
          <t>114-2898134-6013067</t>
        </is>
      </c>
      <c r="C5420" s="3" t="inlineStr">
        <is>
          <t>RockyMountain</t>
        </is>
      </c>
    </row>
    <row collapsed="false" customFormat="false" customHeight="false" hidden="false" ht="12.1" outlineLevel="0" r="5421">
      <c r="A5421" s="3" t="s">
        <f>=HYPERLINK("https://mp39851918.megaplan.ua/deals/118349/card/","20132")</f>
      </c>
      <c r="B5421" s="3" t="inlineStr">
        <is>
          <t>111-7135057-8277825</t>
        </is>
      </c>
      <c r="C5421" s="3" t="inlineStr">
        <is>
          <t>Autodist</t>
        </is>
      </c>
    </row>
    <row collapsed="false" customFormat="false" customHeight="false" hidden="false" ht="12.1" outlineLevel="0" r="5422">
      <c r="A5422" s="3" t="s">
        <f>=HYPERLINK("https://mp39851918.megaplan.ua/deals/118353/card/","20133")</f>
      </c>
      <c r="B5422" s="3" t="inlineStr">
        <is>
          <t>112-2898092-3677066</t>
        </is>
      </c>
      <c r="C5422" s="3" t="inlineStr">
        <is>
          <t>RockyMountain</t>
        </is>
      </c>
    </row>
    <row collapsed="false" customFormat="false" customHeight="false" hidden="false" ht="12.1" outlineLevel="0" r="5423">
      <c r="A5423" s="3" t="s">
        <f>=HYPERLINK("https://mp39851918.megaplan.ua/deals/118360/card/","20134")</f>
      </c>
      <c r="B5423" s="3" t="inlineStr">
        <is>
          <t>111-0115604-8890628</t>
        </is>
      </c>
      <c r="C5423" s="3" t="inlineStr">
        <is>
          <t>Autodist</t>
        </is>
      </c>
    </row>
    <row collapsed="false" customFormat="false" customHeight="false" hidden="false" ht="12.1" outlineLevel="0" r="5424">
      <c r="A5424" s="3" t="s">
        <f>=HYPERLINK("https://mp39851918.megaplan.ua/deals/118364/card/","20135")</f>
      </c>
      <c r="B5424" s="3" t="inlineStr">
        <is>
          <t>113-2125733-4129044</t>
        </is>
      </c>
      <c r="C5424" s="3" t="inlineStr">
        <is>
          <t>Autodist</t>
        </is>
      </c>
    </row>
    <row collapsed="false" customFormat="false" customHeight="false" hidden="false" ht="12.1" outlineLevel="0" r="5425">
      <c r="A5425" s="3" t="s">
        <f>=HYPERLINK("https://mp39851918.megaplan.ua/deals/118367/card/","20136")</f>
      </c>
      <c r="B5425" s="3" t="inlineStr">
        <is>
          <t>111-3449415-9313028</t>
        </is>
      </c>
      <c r="C5425" s="3" t="inlineStr">
        <is>
          <t>TuckerRocky</t>
        </is>
      </c>
    </row>
    <row collapsed="false" customFormat="false" customHeight="false" hidden="false" ht="12.1" outlineLevel="0" r="5426">
      <c r="A5426" s="3" t="s">
        <f>=HYPERLINK("https://mp39851918.megaplan.ua/deals/118389/card/","20140")</f>
      </c>
      <c r="B5426" s="3" t="inlineStr">
        <is>
          <t>114-4883812-0346669</t>
        </is>
      </c>
      <c r="C5426" s="3" t="inlineStr">
        <is>
          <t>Autodist</t>
        </is>
      </c>
    </row>
    <row collapsed="false" customFormat="false" customHeight="false" hidden="false" ht="12.1" outlineLevel="0" r="5427">
      <c r="A5427" s="3" t="s">
        <f>=HYPERLINK("https://mp39851918.megaplan.ua/deals/118394/card/","20141")</f>
      </c>
      <c r="B5427" s="3" t="inlineStr">
        <is>
          <t>113-1376469-2750610</t>
        </is>
      </c>
      <c r="C5427" s="3" t="inlineStr">
        <is>
          <t>RockyMountain</t>
        </is>
      </c>
    </row>
    <row collapsed="false" customFormat="false" customHeight="false" hidden="false" ht="12.1" outlineLevel="0" r="5428">
      <c r="A5428" s="3" t="s">
        <f>=HYPERLINK("https://mp39851918.megaplan.ua/deals/118406/card/","20142")</f>
      </c>
      <c r="B5428" s="3" t="inlineStr">
        <is>
          <t>111-2014415-7201012</t>
        </is>
      </c>
      <c r="C5428" s="3" t="inlineStr">
        <is>
          <t>RockyMountain</t>
        </is>
      </c>
    </row>
    <row collapsed="false" customFormat="false" customHeight="false" hidden="false" ht="12.1" outlineLevel="0" r="5429">
      <c r="A5429" s="3" t="s">
        <f>=HYPERLINK("https://mp39851918.megaplan.ua/deals/118416/card/","20143")</f>
      </c>
      <c r="B5429" s="3" t="inlineStr">
        <is>
          <t>113-0625970-6829041</t>
        </is>
      </c>
      <c r="C5429" s="3" t="inlineStr">
        <is>
          <t>RockyMountain</t>
        </is>
      </c>
    </row>
    <row collapsed="false" customFormat="false" customHeight="false" hidden="false" ht="12.1" outlineLevel="0" r="5430">
      <c r="A5430" s="3" t="s">
        <f>=HYPERLINK("https://mp39851918.megaplan.ua/deals/118419/card/","20144")</f>
      </c>
      <c r="B5430" s="3" t="inlineStr">
        <is>
          <t>113-9441718-3719447</t>
        </is>
      </c>
      <c r="C5430" s="3" t="inlineStr">
        <is>
          <t>RockyMountain</t>
        </is>
      </c>
    </row>
    <row collapsed="false" customFormat="false" customHeight="false" hidden="false" ht="12.1" outlineLevel="0" r="5431">
      <c r="A5431" s="3" t="s">
        <f>=HYPERLINK("https://mp39851918.megaplan.ua/deals/118435/card/","20146")</f>
      </c>
      <c r="B5431" s="3" t="inlineStr">
        <is>
          <t>111-3446337-4385819</t>
        </is>
      </c>
      <c r="C5431" s="3" t="inlineStr">
        <is>
          <t>RockyMountain</t>
        </is>
      </c>
    </row>
    <row collapsed="false" customFormat="false" customHeight="false" hidden="false" ht="12.1" outlineLevel="0" r="5432">
      <c r="A5432" s="3" t="s">
        <f>=HYPERLINK("https://mp39851918.megaplan.ua/deals/118465/card/","20148")</f>
      </c>
      <c r="B5432" s="3" t="inlineStr">
        <is>
          <t>112-5203483-8477028</t>
        </is>
      </c>
      <c r="C5432" s="3" t="inlineStr">
        <is>
          <t>RockyMountain</t>
        </is>
      </c>
    </row>
    <row collapsed="false" customFormat="false" customHeight="false" hidden="false" ht="12.1" outlineLevel="0" r="5433">
      <c r="A5433" s="3" t="s">
        <f>=HYPERLINK("https://mp39851918.megaplan.ua/deals/118469/card/","20149")</f>
      </c>
      <c r="B5433" s="3" t="inlineStr">
        <is>
          <t>114-3007207-7609815</t>
        </is>
      </c>
      <c r="C5433" s="3" t="inlineStr">
        <is>
          <t>Autodist</t>
        </is>
      </c>
    </row>
    <row collapsed="false" customFormat="false" customHeight="false" hidden="false" ht="12.1" outlineLevel="0" r="5434">
      <c r="A5434" s="3" t="s">
        <f>=HYPERLINK("https://mp39851918.megaplan.ua/deals/118478/card/","20150")</f>
      </c>
      <c r="B5434" s="3" t="inlineStr">
        <is>
          <t>111-4279320-1337844</t>
        </is>
      </c>
      <c r="C5434" s="3" t="inlineStr">
        <is>
          <t>Autodist</t>
        </is>
      </c>
    </row>
    <row collapsed="false" customFormat="false" customHeight="false" hidden="false" ht="12.1" outlineLevel="0" r="5435">
      <c r="A5435" s="3" t="s">
        <f>=HYPERLINK("https://mp39851918.megaplan.ua/deals/118480/card/","20151")</f>
      </c>
      <c r="B5435" s="3" t="inlineStr">
        <is>
          <t>114-6797946-8693060</t>
        </is>
      </c>
      <c r="C5435" s="3" t="inlineStr">
        <is>
          <t>TuckerRocky</t>
        </is>
      </c>
    </row>
    <row collapsed="false" customFormat="false" customHeight="false" hidden="false" ht="12.1" outlineLevel="0" r="5436">
      <c r="A5436" s="3" t="s">
        <f>=HYPERLINK("https://mp39851918.megaplan.ua/deals/118504/card/","20152")</f>
      </c>
      <c r="B5436" s="3" t="inlineStr">
        <is>
          <t>113-3721628-1609059</t>
        </is>
      </c>
      <c r="C5436" s="3" t="inlineStr">
        <is>
          <t>Autodist</t>
        </is>
      </c>
    </row>
    <row collapsed="false" customFormat="false" customHeight="false" hidden="false" ht="12.1" outlineLevel="0" r="5437">
      <c r="A5437" s="3" t="s">
        <f>=HYPERLINK("https://mp39851918.megaplan.ua/deals/118505/card/","20153")</f>
      </c>
      <c r="B5437" s="3" t="inlineStr">
        <is>
          <t>112-2148238-5245056</t>
        </is>
      </c>
      <c r="C5437" s="3" t="inlineStr">
        <is>
          <t>RockyMountain</t>
        </is>
      </c>
    </row>
    <row collapsed="false" customFormat="false" customHeight="false" hidden="false" ht="12.1" outlineLevel="0" r="5438">
      <c r="A5438" s="3" t="s">
        <f>=HYPERLINK("https://mp39851918.megaplan.ua/deals/118522/card/","20154")</f>
      </c>
      <c r="B5438" s="3" t="inlineStr">
        <is>
          <t>111-6311335-8592249</t>
        </is>
      </c>
      <c r="C5438" s="3" t="inlineStr">
        <is>
          <t>Autodist</t>
        </is>
      </c>
    </row>
    <row collapsed="false" customFormat="false" customHeight="false" hidden="false" ht="12.1" outlineLevel="0" r="5439">
      <c r="A5439" s="3" t="s">
        <f>=HYPERLINK("https://mp39851918.megaplan.ua/deals/118546/card/","20159")</f>
      </c>
      <c r="B5439" s="3" t="inlineStr">
        <is>
          <t>114-0280517-8733007</t>
        </is>
      </c>
      <c r="C5439" s="3" t="inlineStr">
        <is>
          <t>TuckerRocky</t>
        </is>
      </c>
    </row>
    <row collapsed="false" customFormat="false" customHeight="false" hidden="false" ht="12.1" outlineLevel="0" r="5440">
      <c r="A5440" s="3" t="s">
        <f>=HYPERLINK("https://mp39851918.megaplan.ua/deals/118549/card/","20160")</f>
      </c>
      <c r="B5440" s="3" t="inlineStr">
        <is>
          <t>111-8062369-6948258</t>
        </is>
      </c>
      <c r="C5440" s="3" t="inlineStr">
        <is>
          <t>RockyMountain</t>
        </is>
      </c>
    </row>
    <row collapsed="false" customFormat="false" customHeight="false" hidden="false" ht="12.1" outlineLevel="0" r="5441">
      <c r="A5441" s="3" t="s">
        <f>=HYPERLINK("https://mp39851918.megaplan.ua/deals/118564/card/","20161")</f>
      </c>
      <c r="B5441" s="3" t="inlineStr">
        <is>
          <t>113-9189672-6607464</t>
        </is>
      </c>
      <c r="C5441" s="3" t="inlineStr">
        <is>
          <t>RockyMountain</t>
        </is>
      </c>
    </row>
    <row collapsed="false" customFormat="false" customHeight="false" hidden="false" ht="12.1" outlineLevel="0" r="5442">
      <c r="A5442" s="3" t="s">
        <f>=HYPERLINK("https://mp39851918.megaplan.ua/deals/118581/card/","20162")</f>
      </c>
      <c r="B5442" s="3" t="inlineStr">
        <is>
          <t>114-5393363-9921024</t>
        </is>
      </c>
      <c r="C5442" s="3" t="inlineStr">
        <is>
          <t>PartsUnlimited</t>
        </is>
      </c>
    </row>
    <row collapsed="false" customFormat="false" customHeight="false" hidden="false" ht="12.1" outlineLevel="0" r="5443">
      <c r="A5443" s="3" t="s">
        <f>=HYPERLINK("https://mp39851918.megaplan.ua/deals/118612/card/","20163")</f>
      </c>
      <c r="B5443" s="3" t="inlineStr">
        <is>
          <t>114-3455105-7814657</t>
        </is>
      </c>
      <c r="C5443" s="3" t="inlineStr">
        <is>
          <t>RockyMountain</t>
        </is>
      </c>
    </row>
    <row collapsed="false" customFormat="false" customHeight="false" hidden="false" ht="12.1" outlineLevel="0" r="5444">
      <c r="A5444" s="3" t="s">
        <f>=HYPERLINK("https://mp39851918.megaplan.ua/deals/118622/card/","20164")</f>
      </c>
      <c r="B5444" s="3" t="inlineStr">
        <is>
          <t>112-2185839-6279420</t>
        </is>
      </c>
      <c r="C5444" s="3" t="inlineStr">
        <is>
          <t>RockyMountain</t>
        </is>
      </c>
    </row>
    <row collapsed="false" customFormat="false" customHeight="false" hidden="false" ht="12.1" outlineLevel="0" r="5445">
      <c r="A5445" s="3" t="s">
        <f>=HYPERLINK("https://mp39851918.megaplan.ua/deals/118632/card/","20165")</f>
      </c>
      <c r="B5445" s="3" t="inlineStr">
        <is>
          <t>112-9699715-8458621</t>
        </is>
      </c>
      <c r="C5445" s="3" t="inlineStr">
        <is>
          <t>TuckerRocky</t>
        </is>
      </c>
    </row>
    <row collapsed="false" customFormat="false" customHeight="false" hidden="false" ht="12.1" outlineLevel="0" r="5446">
      <c r="A5446" s="3" t="s">
        <f>=HYPERLINK("https://mp39851918.megaplan.ua/deals/118636/card/","20166")</f>
      </c>
      <c r="B5446" s="3" t="inlineStr">
        <is>
          <t>112-6128694-4018615</t>
        </is>
      </c>
      <c r="C5446" s="3" t="inlineStr">
        <is>
          <t>RockyMountain</t>
        </is>
      </c>
    </row>
    <row collapsed="false" customFormat="false" customHeight="false" hidden="false" ht="12.1" outlineLevel="0" r="5447">
      <c r="A5447" s="3" t="s">
        <f>=HYPERLINK("https://mp39851918.megaplan.ua/deals/118637/card/","20167")</f>
      </c>
      <c r="B5447" s="3" t="inlineStr">
        <is>
          <t>112-1822640-7835423</t>
        </is>
      </c>
      <c r="C5447" s="3" t="inlineStr">
        <is>
          <t>TuckerRocky</t>
        </is>
      </c>
    </row>
    <row collapsed="false" customFormat="false" customHeight="false" hidden="false" ht="12.1" outlineLevel="0" r="5448">
      <c r="A5448" s="3" t="s">
        <f>=HYPERLINK("https://mp39851918.megaplan.ua/deals/118660/card/","20168")</f>
      </c>
      <c r="B5448" s="3" t="inlineStr">
        <is>
          <t>111-5665734-3313013</t>
        </is>
      </c>
      <c r="C5448" s="3" t="inlineStr">
        <is>
          <t>Autodist</t>
        </is>
      </c>
    </row>
    <row collapsed="false" customFormat="false" customHeight="false" hidden="false" ht="12.1" outlineLevel="0" r="5449">
      <c r="A5449" s="3" t="s">
        <f>=HYPERLINK("https://mp39851918.megaplan.ua/deals/118665/card/","20169")</f>
      </c>
      <c r="B5449" s="3" t="inlineStr">
        <is>
          <t>114-3838628-9591427</t>
        </is>
      </c>
      <c r="C5449" s="3" t="inlineStr">
        <is>
          <t>PartsUnlimited</t>
        </is>
      </c>
    </row>
    <row collapsed="false" customFormat="false" customHeight="false" hidden="false" ht="12.1" outlineLevel="0" r="5450">
      <c r="A5450" s="3" t="s">
        <f>=HYPERLINK("https://mp39851918.megaplan.ua/deals/118681/card/","20170")</f>
      </c>
      <c r="B5450" s="3" t="inlineStr">
        <is>
          <t>114-1889305-6505806</t>
        </is>
      </c>
      <c r="C5450" s="3" t="inlineStr">
        <is>
          <t>RockyMountain</t>
        </is>
      </c>
    </row>
    <row collapsed="false" customFormat="false" customHeight="false" hidden="false" ht="12.1" outlineLevel="0" r="5451">
      <c r="A5451" s="3" t="s">
        <f>=HYPERLINK("https://mp39851918.megaplan.ua/deals/118694/card/","20171")</f>
      </c>
      <c r="B5451" s="3" t="inlineStr">
        <is>
          <t>114-2094280-4202662</t>
        </is>
      </c>
      <c r="C5451" s="3" t="inlineStr">
        <is>
          <t>Autodist</t>
        </is>
      </c>
    </row>
    <row collapsed="false" customFormat="false" customHeight="false" hidden="false" ht="12.1" outlineLevel="0" r="5452">
      <c r="A5452" s="3" t="s">
        <f>=HYPERLINK("https://mp39851918.megaplan.ua/deals/118703/card/","20172")</f>
      </c>
      <c r="B5452" s="3" t="inlineStr">
        <is>
          <t>113-6184178-3545862</t>
        </is>
      </c>
      <c r="C5452" s="3" t="inlineStr">
        <is>
          <t>RockyMountain</t>
        </is>
      </c>
    </row>
    <row collapsed="false" customFormat="false" customHeight="false" hidden="false" ht="12.1" outlineLevel="0" r="5453">
      <c r="A5453" s="3" t="s">
        <f>=HYPERLINK("https://mp39851918.megaplan.ua/deals/118710/card/","20173")</f>
      </c>
      <c r="B5453" s="3" t="inlineStr">
        <is>
          <t>111-7831360-8508257</t>
        </is>
      </c>
      <c r="C5453" s="3" t="inlineStr">
        <is>
          <t>RockyMountain</t>
        </is>
      </c>
    </row>
    <row collapsed="false" customFormat="false" customHeight="false" hidden="false" ht="12.1" outlineLevel="0" r="5454">
      <c r="A5454" s="3" t="s">
        <f>=HYPERLINK("https://mp39851918.megaplan.ua/deals/118717/card/","20174")</f>
      </c>
      <c r="B5454" s="3" t="inlineStr">
        <is>
          <t>114-6588741-3264220</t>
        </is>
      </c>
      <c r="C5454" s="3" t="inlineStr">
        <is>
          <t>RockyMountain</t>
        </is>
      </c>
    </row>
    <row collapsed="false" customFormat="false" customHeight="false" hidden="false" ht="12.1" outlineLevel="0" r="5455">
      <c r="A5455" s="3" t="s">
        <f>=HYPERLINK("https://mp39851918.megaplan.ua/deals/118718/card/","20175")</f>
      </c>
      <c r="B5455" s="3" t="inlineStr">
        <is>
          <t>113-1654811-3145024</t>
        </is>
      </c>
      <c r="C5455" s="3" t="inlineStr">
        <is>
          <t>Autodist</t>
        </is>
      </c>
    </row>
    <row collapsed="false" customFormat="false" customHeight="false" hidden="false" ht="12.1" outlineLevel="0" r="5456">
      <c r="A5456" s="3" t="s">
        <f>=HYPERLINK("https://mp39851918.megaplan.ua/deals/118724/card/","20176")</f>
      </c>
      <c r="B5456" s="3" t="inlineStr">
        <is>
          <t>112-4814941-6615451</t>
        </is>
      </c>
      <c r="C5456" s="3" t="inlineStr">
        <is>
          <t>RockyMountain</t>
        </is>
      </c>
    </row>
    <row collapsed="false" customFormat="false" customHeight="false" hidden="false" ht="12.1" outlineLevel="0" r="5457">
      <c r="A5457" s="3" t="s">
        <f>=HYPERLINK("https://mp39851918.megaplan.ua/deals/118732/card/","20177")</f>
      </c>
      <c r="B5457" s="3" t="inlineStr">
        <is>
          <t>112-4937422-2577815</t>
        </is>
      </c>
      <c r="C5457" s="3" t="inlineStr">
        <is>
          <t>Autodist</t>
        </is>
      </c>
    </row>
    <row collapsed="false" customFormat="false" customHeight="false" hidden="false" ht="12.1" outlineLevel="0" r="5458">
      <c r="A5458" s="3" t="s">
        <f>=HYPERLINK("https://mp39851918.megaplan.ua/deals/118738/card/","20178")</f>
      </c>
      <c r="B5458" s="3" t="inlineStr">
        <is>
          <t>114-8572279-5901049</t>
        </is>
      </c>
      <c r="C5458" s="3" t="inlineStr">
        <is>
          <t>RockyMountain</t>
        </is>
      </c>
    </row>
    <row collapsed="false" customFormat="false" customHeight="false" hidden="false" ht="12.1" outlineLevel="0" r="5459">
      <c r="A5459" s="3" t="s">
        <f>=HYPERLINK("https://mp39851918.megaplan.ua/deals/118751/card/","20179")</f>
      </c>
      <c r="B5459" s="3" t="inlineStr">
        <is>
          <t>111-8695379-0233016</t>
        </is>
      </c>
      <c r="C5459" s="3" t="inlineStr">
        <is>
          <t>RockyMountain</t>
        </is>
      </c>
    </row>
    <row collapsed="false" customFormat="false" customHeight="false" hidden="false" ht="12.1" outlineLevel="0" r="5460">
      <c r="A5460" s="3" t="s">
        <f>=HYPERLINK("https://mp39851918.megaplan.ua/deals/118753/card/","20180")</f>
      </c>
      <c r="B5460" s="3" t="inlineStr">
        <is>
          <t>113-6572032-2155441</t>
        </is>
      </c>
      <c r="C5460" s="3" t="inlineStr">
        <is>
          <t>RockyMountain</t>
        </is>
      </c>
    </row>
    <row collapsed="false" customFormat="false" customHeight="false" hidden="false" ht="12.1" outlineLevel="0" r="5461">
      <c r="A5461" s="3" t="s">
        <f>=HYPERLINK("https://mp39851918.megaplan.ua/deals/118754/card/","20181")</f>
      </c>
      <c r="B5461" s="3" t="inlineStr">
        <is>
          <t>111-4805224-7035446</t>
        </is>
      </c>
      <c r="C5461" s="3" t="inlineStr">
        <is>
          <t>RockyMountain</t>
        </is>
      </c>
    </row>
    <row collapsed="false" customFormat="false" customHeight="false" hidden="false" ht="12.1" outlineLevel="0" r="5462">
      <c r="A5462" s="3" t="s">
        <f>=HYPERLINK("https://mp39851918.megaplan.ua/deals/118757/card/","20182")</f>
      </c>
      <c r="B5462" s="3" t="inlineStr">
        <is>
          <t>111-1278178-9561842</t>
        </is>
      </c>
      <c r="C5462" s="3" t="inlineStr">
        <is>
          <t>RockyMountain</t>
        </is>
      </c>
    </row>
    <row collapsed="false" customFormat="false" customHeight="false" hidden="false" ht="12.1" outlineLevel="0" r="5463">
      <c r="A5463" s="3" t="s">
        <f>=HYPERLINK("https://mp39851918.megaplan.ua/deals/118759/card/","20183")</f>
      </c>
      <c r="B5463" s="3" t="inlineStr">
        <is>
          <t>113-0989823-9193034</t>
        </is>
      </c>
      <c r="C5463" s="3" t="inlineStr">
        <is>
          <t>RockyMountain</t>
        </is>
      </c>
    </row>
    <row collapsed="false" customFormat="false" customHeight="false" hidden="false" ht="12.1" outlineLevel="0" r="5464">
      <c r="A5464" s="3" t="s">
        <f>=HYPERLINK("https://mp39851918.megaplan.ua/deals/118776/card/","20184")</f>
      </c>
      <c r="B5464" s="3" t="inlineStr">
        <is>
          <t>113-7649676-1479417</t>
        </is>
      </c>
      <c r="C5464" s="3" t="inlineStr">
        <is>
          <t>TuckerRocky</t>
        </is>
      </c>
    </row>
    <row collapsed="false" customFormat="false" customHeight="false" hidden="false" ht="12.1" outlineLevel="0" r="5465">
      <c r="A5465" s="3" t="s">
        <f>=HYPERLINK("https://mp39851918.megaplan.ua/deals/118782/card/","20185")</f>
      </c>
      <c r="B5465" s="3" t="inlineStr">
        <is>
          <t>113-9257738-6054667</t>
        </is>
      </c>
      <c r="C5465" s="3" t="inlineStr">
        <is>
          <t>TuckerRocky</t>
        </is>
      </c>
    </row>
    <row collapsed="false" customFormat="false" customHeight="false" hidden="false" ht="12.1" outlineLevel="0" r="5466">
      <c r="A5466" s="3" t="s">
        <f>=HYPERLINK("https://mp39851918.megaplan.ua/deals/118783/card/","20186")</f>
      </c>
      <c r="B5466" s="3" t="inlineStr">
        <is>
          <t>111-8677394-7757813</t>
        </is>
      </c>
      <c r="C5466" s="3" t="inlineStr">
        <is>
          <t>RockyMountain</t>
        </is>
      </c>
    </row>
    <row collapsed="false" customFormat="false" customHeight="false" hidden="false" ht="12.1" outlineLevel="0" r="5467">
      <c r="A5467" s="3" t="s">
        <f>=HYPERLINK("https://mp39851918.megaplan.ua/deals/118793/card/","20187")</f>
      </c>
      <c r="B5467" s="3" t="inlineStr">
        <is>
          <t>114-9835358-8918666</t>
        </is>
      </c>
      <c r="C5467" s="3" t="inlineStr">
        <is>
          <t>Autodist</t>
        </is>
      </c>
    </row>
    <row collapsed="false" customFormat="false" customHeight="false" hidden="false" ht="12.1" outlineLevel="0" r="5468">
      <c r="A5468" s="3" t="s">
        <f>=HYPERLINK("https://mp39851918.megaplan.ua/deals/118796/card/","20188")</f>
      </c>
      <c r="B5468" s="3" t="inlineStr">
        <is>
          <t>111-5150218-4868267</t>
        </is>
      </c>
      <c r="C5468" s="3" t="inlineStr">
        <is>
          <t>RockyMountain</t>
        </is>
      </c>
    </row>
    <row collapsed="false" customFormat="false" customHeight="false" hidden="false" ht="12.1" outlineLevel="0" r="5469">
      <c r="A5469" s="3" t="s">
        <f>=HYPERLINK("https://mp39851918.megaplan.ua/deals/118797/card/","20189")</f>
      </c>
      <c r="B5469" s="3" t="inlineStr">
        <is>
          <t>113-1758912-2277021</t>
        </is>
      </c>
      <c r="C5469" s="3" t="inlineStr">
        <is>
          <t>RockyMountain</t>
        </is>
      </c>
    </row>
    <row collapsed="false" customFormat="false" customHeight="false" hidden="false" ht="12.1" outlineLevel="0" r="5470">
      <c r="A5470" s="3" t="s">
        <f>=HYPERLINK("https://mp39851918.megaplan.ua/deals/118800/card/","20190")</f>
      </c>
      <c r="B5470" s="3" t="inlineStr">
        <is>
          <t>112-3234657-2580237</t>
        </is>
      </c>
      <c r="C5470" s="3" t="inlineStr">
        <is>
          <t>Autodist</t>
        </is>
      </c>
    </row>
    <row collapsed="false" customFormat="false" customHeight="false" hidden="false" ht="12.1" outlineLevel="0" r="5471">
      <c r="A5471" s="3" t="s">
        <f>=HYPERLINK("https://mp39851918.megaplan.ua/deals/118811/card/","20191")</f>
      </c>
      <c r="B5471" s="3" t="inlineStr">
        <is>
          <t>112-2257261-2383457</t>
        </is>
      </c>
      <c r="C5471" s="3" t="inlineStr">
        <is>
          <t>RockyMountain</t>
        </is>
      </c>
    </row>
    <row collapsed="false" customFormat="false" customHeight="false" hidden="false" ht="12.1" outlineLevel="0" r="5472">
      <c r="A5472" s="3" t="s">
        <f>=HYPERLINK("https://mp39851918.megaplan.ua/deals/118824/card/","20192")</f>
      </c>
      <c r="B5472" s="3" t="inlineStr">
        <is>
          <t>111-0894074-8638668</t>
        </is>
      </c>
      <c r="C5472" s="3" t="inlineStr">
        <is>
          <t>Autodist</t>
        </is>
      </c>
    </row>
    <row collapsed="false" customFormat="false" customHeight="false" hidden="false" ht="12.1" outlineLevel="0" r="5473">
      <c r="A5473" s="3" t="s">
        <f>=HYPERLINK("https://mp39851918.megaplan.ua/deals/118827/card/","20193")</f>
      </c>
      <c r="B5473" s="3" t="inlineStr">
        <is>
          <t>112-1413903-4677848</t>
        </is>
      </c>
      <c r="C5473" s="3" t="inlineStr">
        <is>
          <t>TuckerRocky</t>
        </is>
      </c>
    </row>
    <row collapsed="false" customFormat="false" customHeight="false" hidden="false" ht="12.1" outlineLevel="0" r="5474">
      <c r="A5474" s="3" t="s">
        <f>=HYPERLINK("https://mp39851918.megaplan.ua/deals/118829/card/","20194")</f>
      </c>
      <c r="B5474" s="3" t="inlineStr">
        <is>
          <t>113-2988518-8064222</t>
        </is>
      </c>
      <c r="C5474" s="3" t="inlineStr">
        <is>
          <t>RockyMountain</t>
        </is>
      </c>
    </row>
    <row collapsed="false" customFormat="false" customHeight="false" hidden="false" ht="12.1" outlineLevel="0" r="5475">
      <c r="A5475" s="3" t="s">
        <f>=HYPERLINK("https://mp39851918.megaplan.ua/deals/118849/card/","20198")</f>
      </c>
      <c r="B5475" s="3" t="inlineStr">
        <is>
          <t>114-0868979-9296234</t>
        </is>
      </c>
      <c r="C5475" s="3" t="inlineStr">
        <is>
          <t>RockyMountain</t>
        </is>
      </c>
    </row>
    <row collapsed="false" customFormat="false" customHeight="false" hidden="false" ht="12.1" outlineLevel="0" r="5476">
      <c r="A5476" s="3" t="s">
        <f>=HYPERLINK("https://mp39851918.megaplan.ua/deals/118854/card/","20199")</f>
      </c>
      <c r="B5476" s="3" t="inlineStr">
        <is>
          <t>114-9558606-3072232</t>
        </is>
      </c>
      <c r="C5476" s="3" t="inlineStr">
        <is>
          <t>RockyMountain</t>
        </is>
      </c>
    </row>
    <row collapsed="false" customFormat="false" customHeight="false" hidden="false" ht="12.1" outlineLevel="0" r="5477">
      <c r="A5477" s="3" t="s">
        <f>=HYPERLINK("https://mp39851918.megaplan.ua/deals/118859/card/","20200")</f>
      </c>
      <c r="B5477" s="3" t="inlineStr">
        <is>
          <t>112-2760724-7865833</t>
        </is>
      </c>
      <c r="C5477" s="3" t="inlineStr">
        <is>
          <t>TuckerRocky</t>
        </is>
      </c>
    </row>
    <row collapsed="false" customFormat="false" customHeight="false" hidden="false" ht="12.1" outlineLevel="0" r="5478">
      <c r="A5478" s="3" t="s">
        <f>=HYPERLINK("https://mp39851918.megaplan.ua/deals/118862/card/","20201")</f>
      </c>
      <c r="B5478" s="3" t="inlineStr">
        <is>
          <t>114-9976385-2595421</t>
        </is>
      </c>
      <c r="C5478" s="3" t="inlineStr">
        <is>
          <t>TuckerRocky</t>
        </is>
      </c>
    </row>
    <row collapsed="false" customFormat="false" customHeight="false" hidden="false" ht="12.1" outlineLevel="0" r="5479">
      <c r="A5479" s="3" t="s">
        <f>=HYPERLINK("https://mp39851918.megaplan.ua/deals/118876/card/","20203")</f>
      </c>
      <c r="B5479" s="3" t="inlineStr">
        <is>
          <t>114-1498816-5976206</t>
        </is>
      </c>
      <c r="C5479" s="3" t="inlineStr">
        <is>
          <t>RockyMountain</t>
        </is>
      </c>
    </row>
    <row collapsed="false" customFormat="false" customHeight="false" hidden="false" ht="12.1" outlineLevel="0" r="5480">
      <c r="A5480" s="3" t="s">
        <f>=HYPERLINK("https://mp39851918.megaplan.ua/deals/118878/card/","20204")</f>
      </c>
      <c r="B5480" s="3" t="inlineStr">
        <is>
          <t>111-0015706-4086605</t>
        </is>
      </c>
      <c r="C5480" s="3" t="inlineStr">
        <is>
          <t>RockyMountain</t>
        </is>
      </c>
    </row>
    <row collapsed="false" customFormat="false" customHeight="false" hidden="false" ht="12.1" outlineLevel="0" r="5481">
      <c r="A5481" s="3" t="s">
        <f>=HYPERLINK("https://mp39851918.megaplan.ua/deals/118885/card/","20205")</f>
      </c>
      <c r="B5481" s="3" t="inlineStr">
        <is>
          <t>111-6752862-7274646</t>
        </is>
      </c>
      <c r="C5481" s="3" t="inlineStr">
        <is>
          <t>Autodist</t>
        </is>
      </c>
    </row>
    <row collapsed="false" customFormat="false" customHeight="false" hidden="false" ht="12.1" outlineLevel="0" r="5482">
      <c r="A5482" s="3" t="s">
        <f>=HYPERLINK("https://mp39851918.megaplan.ua/deals/118933/card/","20208")</f>
      </c>
      <c r="B5482" s="3" t="inlineStr">
        <is>
          <t>113-3291376-3990667</t>
        </is>
      </c>
      <c r="C5482" s="3" t="inlineStr">
        <is>
          <t>Autodist</t>
        </is>
      </c>
    </row>
    <row collapsed="false" customFormat="false" customHeight="false" hidden="false" ht="12.1" outlineLevel="0" r="5483">
      <c r="A5483" s="3" t="s">
        <f>=HYPERLINK("https://mp39851918.megaplan.ua/deals/118934/card/","20209")</f>
      </c>
      <c r="B5483" s="3" t="inlineStr">
        <is>
          <t>114-6233957-0809024</t>
        </is>
      </c>
      <c r="C5483" s="3" t="inlineStr">
        <is>
          <t>PartsUnlimited</t>
        </is>
      </c>
    </row>
    <row collapsed="false" customFormat="false" customHeight="false" hidden="false" ht="12.1" outlineLevel="0" r="5484">
      <c r="A5484" s="3" t="s">
        <f>=HYPERLINK("https://mp39851918.megaplan.ua/deals/118937/card/","20210")</f>
      </c>
      <c r="B5484" s="3" t="inlineStr">
        <is>
          <t>112-6647333-8725850</t>
        </is>
      </c>
      <c r="C5484" s="3" t="inlineStr">
        <is>
          <t>RockyMountain</t>
        </is>
      </c>
    </row>
    <row collapsed="false" customFormat="false" customHeight="false" hidden="false" ht="12.1" outlineLevel="0" r="5485">
      <c r="A5485" s="3" t="s">
        <f>=HYPERLINK("https://mp39851918.megaplan.ua/deals/118938/card/","20211")</f>
      </c>
      <c r="B5485" s="3" t="inlineStr">
        <is>
          <t>114-1388098-2672259</t>
        </is>
      </c>
      <c r="C5485" s="3" t="inlineStr">
        <is>
          <t>RockyMountain</t>
        </is>
      </c>
    </row>
    <row collapsed="false" customFormat="false" customHeight="false" hidden="false" ht="12.1" outlineLevel="0" r="5486">
      <c r="A5486" s="3" t="s">
        <f>=HYPERLINK("https://mp39851918.megaplan.ua/deals/118939/card/","20212")</f>
      </c>
      <c r="B5486" s="3" t="inlineStr">
        <is>
          <t>113-6726246-9213053</t>
        </is>
      </c>
      <c r="C5486" s="3" t="inlineStr">
        <is>
          <t>Autodist</t>
        </is>
      </c>
    </row>
    <row collapsed="false" customFormat="false" customHeight="false" hidden="false" ht="12.1" outlineLevel="0" r="5487">
      <c r="A5487" s="3" t="s">
        <f>=HYPERLINK("https://mp39851918.megaplan.ua/deals/118947/card/","20213")</f>
      </c>
      <c r="B5487" s="3" t="inlineStr">
        <is>
          <t>114-7299810-8496242</t>
        </is>
      </c>
      <c r="C5487" s="3" t="inlineStr">
        <is>
          <t>Autodist</t>
        </is>
      </c>
    </row>
    <row collapsed="false" customFormat="false" customHeight="false" hidden="false" ht="12.1" outlineLevel="0" r="5488">
      <c r="A5488" s="3" t="s">
        <f>=HYPERLINK("https://mp39851918.megaplan.ua/deals/118950/card/","20214")</f>
      </c>
      <c r="B5488" s="3" t="inlineStr">
        <is>
          <t>111-5538297-1088262</t>
        </is>
      </c>
      <c r="C5488" s="3" t="inlineStr">
        <is>
          <t>PartsUnlimited</t>
        </is>
      </c>
    </row>
    <row collapsed="false" customFormat="false" customHeight="false" hidden="false" ht="12.1" outlineLevel="0" r="5489">
      <c r="A5489" s="3" t="s">
        <f>=HYPERLINK("https://mp39851918.megaplan.ua/deals/118952/card/","20215")</f>
      </c>
      <c r="B5489" s="3" t="inlineStr">
        <is>
          <t>114-7271771-6361013</t>
        </is>
      </c>
      <c r="C5489" s="3" t="inlineStr">
        <is>
          <t>RockyMountain</t>
        </is>
      </c>
    </row>
    <row collapsed="false" customFormat="false" customHeight="false" hidden="false" ht="12.1" outlineLevel="0" r="5490">
      <c r="A5490" s="3" t="s">
        <f>=HYPERLINK("https://mp39851918.megaplan.ua/deals/118964/card/","20216")</f>
      </c>
      <c r="B5490" s="3" t="inlineStr">
        <is>
          <t>111-6744343-3357865</t>
        </is>
      </c>
      <c r="C5490" s="3" t="inlineStr">
        <is>
          <t>RockyMountain</t>
        </is>
      </c>
    </row>
    <row collapsed="false" customFormat="false" customHeight="false" hidden="false" ht="12.1" outlineLevel="0" r="5491">
      <c r="A5491" s="3" t="s">
        <f>=HYPERLINK("https://mp39851918.megaplan.ua/deals/118974/card/","20217")</f>
      </c>
      <c r="B5491" s="3" t="inlineStr">
        <is>
          <t>111-8156120-9725065</t>
        </is>
      </c>
      <c r="C5491" s="3" t="inlineStr">
        <is>
          <t>RockyMountain</t>
        </is>
      </c>
    </row>
    <row collapsed="false" customFormat="false" customHeight="false" hidden="false" ht="12.1" outlineLevel="0" r="5492">
      <c r="A5492" s="3" t="s">
        <f>=HYPERLINK("https://mp39851918.megaplan.ua/deals/118978/card/","20218")</f>
      </c>
      <c r="B5492" s="3" t="inlineStr">
        <is>
          <t>111-3178277-3789869</t>
        </is>
      </c>
      <c r="C5492" s="3" t="inlineStr">
        <is>
          <t>RockyMountain</t>
        </is>
      </c>
    </row>
    <row collapsed="false" customFormat="false" customHeight="false" hidden="false" ht="12.1" outlineLevel="0" r="5493">
      <c r="A5493" s="3" t="s">
        <f>=HYPERLINK("https://mp39851918.megaplan.ua/deals/118979/card/","20219")</f>
      </c>
      <c r="B5493" s="3" t="inlineStr">
        <is>
          <t>113-4278918-3012268</t>
        </is>
      </c>
      <c r="C5493" s="3" t="inlineStr">
        <is>
          <t>PartsUnlimited</t>
        </is>
      </c>
    </row>
    <row collapsed="false" customFormat="false" customHeight="false" hidden="false" ht="12.1" outlineLevel="0" r="5494">
      <c r="A5494" s="3" t="s">
        <f>=HYPERLINK("https://mp39851918.megaplan.ua/deals/118980/card/","20220")</f>
      </c>
      <c r="B5494" s="3" t="inlineStr">
        <is>
          <t>113-6619265-7205010</t>
        </is>
      </c>
      <c r="C5494" s="3" t="inlineStr">
        <is>
          <t>Autodist</t>
        </is>
      </c>
    </row>
    <row collapsed="false" customFormat="false" customHeight="false" hidden="false" ht="12.1" outlineLevel="0" r="5495">
      <c r="A5495" s="3" t="s">
        <f>=HYPERLINK("https://mp39851918.megaplan.ua/deals/118981/card/","20221")</f>
      </c>
      <c r="B5495" s="3" t="inlineStr">
        <is>
          <t>111-6421122-7633036</t>
        </is>
      </c>
      <c r="C5495" s="3" t="inlineStr">
        <is>
          <t>RockyMountain</t>
        </is>
      </c>
    </row>
    <row collapsed="false" customFormat="false" customHeight="false" hidden="false" ht="12.1" outlineLevel="0" r="5496">
      <c r="A5496" s="3" t="s">
        <f>=HYPERLINK("https://mp39851918.megaplan.ua/deals/118983/card/","20222")</f>
      </c>
      <c r="B5496" s="3" t="inlineStr">
        <is>
          <t>114-5410594-0129022</t>
        </is>
      </c>
      <c r="C5496" s="3" t="inlineStr">
        <is>
          <t>RockyMountain</t>
        </is>
      </c>
    </row>
    <row collapsed="false" customFormat="false" customHeight="false" hidden="false" ht="12.1" outlineLevel="0" r="5497">
      <c r="A5497" s="3" t="s">
        <f>=HYPERLINK("https://mp39851918.megaplan.ua/deals/118985/card/","20223")</f>
      </c>
      <c r="B5497" s="3" t="inlineStr">
        <is>
          <t>113-6474237-6847435</t>
        </is>
      </c>
      <c r="C5497" s="3" t="inlineStr">
        <is>
          <t>RockyMountain</t>
        </is>
      </c>
    </row>
    <row collapsed="false" customFormat="false" customHeight="false" hidden="false" ht="12.1" outlineLevel="0" r="5498">
      <c r="A5498" s="3" t="s">
        <f>=HYPERLINK("https://mp39851918.megaplan.ua/deals/118991/card/","20224")</f>
      </c>
      <c r="B5498" s="3" t="inlineStr">
        <is>
          <t>113-5408569-1386632</t>
        </is>
      </c>
      <c r="C5498" s="3" t="inlineStr">
        <is>
          <t>RockyMountain</t>
        </is>
      </c>
    </row>
    <row collapsed="false" customFormat="false" customHeight="false" hidden="false" ht="12.1" outlineLevel="0" r="5499">
      <c r="A5499" s="3" t="s">
        <f>=HYPERLINK("https://mp39851918.megaplan.ua/deals/119011/card/","20225")</f>
      </c>
      <c r="B5499" s="3" t="inlineStr">
        <is>
          <t>112-5023200-2942621</t>
        </is>
      </c>
      <c r="C5499" s="3" t="inlineStr">
        <is>
          <t>RockyMountain</t>
        </is>
      </c>
    </row>
    <row collapsed="false" customFormat="false" customHeight="false" hidden="false" ht="12.1" outlineLevel="0" r="5500">
      <c r="A5500" s="3" t="s">
        <f>=HYPERLINK("https://mp39851918.megaplan.ua/deals/119019/card/","20226")</f>
      </c>
      <c r="B5500" s="3" t="inlineStr">
        <is>
          <t>111-9857928-1278611</t>
        </is>
      </c>
      <c r="C5500" s="3" t="inlineStr">
        <is>
          <t>TuckerRocky</t>
        </is>
      </c>
    </row>
    <row collapsed="false" customFormat="false" customHeight="false" hidden="false" ht="12.1" outlineLevel="0" r="5501">
      <c r="A5501" s="3" t="s">
        <f>=HYPERLINK("https://mp39851918.megaplan.ua/deals/119029/card/","20228")</f>
      </c>
      <c r="B5501" s="3" t="inlineStr">
        <is>
          <t>111-3266431-5348228</t>
        </is>
      </c>
      <c r="C5501" s="3" t="inlineStr">
        <is>
          <t>TuckerRocky</t>
        </is>
      </c>
    </row>
    <row collapsed="false" customFormat="false" customHeight="false" hidden="false" ht="12.1" outlineLevel="0" r="5502">
      <c r="A5502" s="3" t="s">
        <f>=HYPERLINK("https://mp39851918.megaplan.ua/deals/119039/card/","20229")</f>
      </c>
      <c r="B5502" s="3" t="inlineStr">
        <is>
          <t>111-9942371-3686631</t>
        </is>
      </c>
      <c r="C5502" s="3" t="inlineStr">
        <is>
          <t>RockyMountain</t>
        </is>
      </c>
    </row>
    <row collapsed="false" customFormat="false" customHeight="false" hidden="false" ht="12.1" outlineLevel="0" r="5503">
      <c r="A5503" s="3" t="s">
        <f>=HYPERLINK("https://mp39851918.megaplan.ua/deals/119055/card/","20231")</f>
      </c>
      <c r="B5503" s="3" t="inlineStr">
        <is>
          <t>111-6829284-4825834</t>
        </is>
      </c>
      <c r="C5503" s="3" t="inlineStr">
        <is>
          <t>Autodist</t>
        </is>
      </c>
    </row>
    <row collapsed="false" customFormat="false" customHeight="false" hidden="false" ht="12.1" outlineLevel="0" r="5504">
      <c r="A5504" s="3" t="s">
        <f>=HYPERLINK("https://mp39851918.megaplan.ua/deals/119056/card/","20232")</f>
      </c>
      <c r="B5504" s="3" t="inlineStr">
        <is>
          <t>112-4644546-2210636</t>
        </is>
      </c>
      <c r="C5504" s="3" t="inlineStr">
        <is>
          <t>TuckerRocky</t>
        </is>
      </c>
    </row>
    <row collapsed="false" customFormat="false" customHeight="false" hidden="false" ht="12.1" outlineLevel="0" r="5505">
      <c r="A5505" s="3" t="s">
        <f>=HYPERLINK("https://mp39851918.megaplan.ua/deals/119086/card/","20233")</f>
      </c>
      <c r="B5505" s="3" t="inlineStr">
        <is>
          <t>114-2648084-9874627</t>
        </is>
      </c>
      <c r="C5505" s="3" t="inlineStr">
        <is>
          <t>RockyMountain</t>
        </is>
      </c>
    </row>
    <row collapsed="false" customFormat="false" customHeight="false" hidden="false" ht="12.1" outlineLevel="0" r="5506">
      <c r="A5506" s="3" t="s">
        <f>=HYPERLINK("https://mp39851918.megaplan.ua/deals/119098/card/","20234")</f>
      </c>
      <c r="B5506" s="3" t="inlineStr">
        <is>
          <t>112-2885530-2189028</t>
        </is>
      </c>
      <c r="C5506" s="3" t="inlineStr">
        <is>
          <t>TuckerRocky</t>
        </is>
      </c>
    </row>
    <row collapsed="false" customFormat="false" customHeight="false" hidden="false" ht="12.1" outlineLevel="0" r="5507">
      <c r="A5507" s="3" t="s">
        <f>=HYPERLINK("https://mp39851918.megaplan.ua/deals/119116/card/","20236")</f>
      </c>
      <c r="B5507" s="3" t="inlineStr">
        <is>
          <t>113-7653618-8056247</t>
        </is>
      </c>
      <c r="C5507" s="3" t="inlineStr">
        <is>
          <t>RockyMountain</t>
        </is>
      </c>
    </row>
    <row collapsed="false" customFormat="false" customHeight="false" hidden="false" ht="12.1" outlineLevel="0" r="5508">
      <c r="A5508" s="3" t="s">
        <f>=HYPERLINK("https://mp39851918.megaplan.ua/deals/119117/card/","20237")</f>
      </c>
      <c r="B5508" s="3" t="inlineStr">
        <is>
          <t>114-0561437-9085866</t>
        </is>
      </c>
      <c r="C5508" s="3" t="inlineStr">
        <is>
          <t>TuckerRocky</t>
        </is>
      </c>
    </row>
    <row collapsed="false" customFormat="false" customHeight="false" hidden="false" ht="12.1" outlineLevel="0" r="5509">
      <c r="A5509" s="3" t="s">
        <f>=HYPERLINK("https://mp39851918.megaplan.ua/deals/119141/card/","20238")</f>
      </c>
      <c r="B5509" s="3" t="inlineStr">
        <is>
          <t>113-7111054-6037825</t>
        </is>
      </c>
      <c r="C5509" s="3" t="inlineStr">
        <is>
          <t>RockyMountain</t>
        </is>
      </c>
    </row>
    <row collapsed="false" customFormat="false" customHeight="false" hidden="false" ht="12.1" outlineLevel="0" r="5510">
      <c r="A5510" s="3" t="s">
        <f>=HYPERLINK("https://mp39851918.megaplan.ua/deals/119148/card/","20239")</f>
      </c>
      <c r="B5510" s="3" t="inlineStr">
        <is>
          <t>113-3098509-6547420</t>
        </is>
      </c>
      <c r="C5510" s="3" t="inlineStr">
        <is>
          <t>Autodist</t>
        </is>
      </c>
    </row>
    <row collapsed="false" customFormat="false" customHeight="false" hidden="false" ht="12.1" outlineLevel="0" r="5511">
      <c r="A5511" s="3" t="s">
        <f>=HYPERLINK("https://mp39851918.megaplan.ua/deals/119180/card/","20240")</f>
      </c>
      <c r="B5511" s="3" t="inlineStr">
        <is>
          <t>113-7193658-9525861</t>
        </is>
      </c>
      <c r="C5511" s="3" t="inlineStr">
        <is>
          <t>Autodist</t>
        </is>
      </c>
    </row>
    <row collapsed="false" customFormat="false" customHeight="false" hidden="false" ht="12.1" outlineLevel="0" r="5512">
      <c r="A5512" s="3" t="s">
        <f>=HYPERLINK("https://mp39851918.megaplan.ua/deals/119188/card/","20241")</f>
      </c>
      <c r="B5512" s="3" t="inlineStr">
        <is>
          <t>114-0019676-9097048</t>
        </is>
      </c>
      <c r="C5512" s="3" t="inlineStr">
        <is>
          <t>RockyMountain</t>
        </is>
      </c>
    </row>
    <row collapsed="false" customFormat="false" customHeight="false" hidden="false" ht="12.1" outlineLevel="0" r="5513">
      <c r="A5513" s="3" t="s">
        <f>=HYPERLINK("https://mp39851918.megaplan.ua/deals/119196/card/","20243")</f>
      </c>
      <c r="B5513" s="3" t="inlineStr">
        <is>
          <t>113-5167230-2074664</t>
        </is>
      </c>
      <c r="C5513" s="3" t="inlineStr">
        <is>
          <t>Autodist</t>
        </is>
      </c>
    </row>
    <row collapsed="false" customFormat="false" customHeight="false" hidden="false" ht="12.1" outlineLevel="0" r="5514">
      <c r="A5514" s="3" t="s">
        <f>=HYPERLINK("https://mp39851918.megaplan.ua/deals/119202/card/","20244")</f>
      </c>
      <c r="B5514" s="3" t="inlineStr">
        <is>
          <t>111-8202900-0954657</t>
        </is>
      </c>
      <c r="C5514" s="3" t="inlineStr">
        <is>
          <t>PartsUnlimited</t>
        </is>
      </c>
    </row>
    <row collapsed="false" customFormat="false" customHeight="false" hidden="false" ht="12.1" outlineLevel="0" r="5515">
      <c r="A5515" s="3" t="s">
        <f>=HYPERLINK("https://mp39851918.megaplan.ua/deals/119205/card/","20245")</f>
      </c>
      <c r="B5515" s="3" t="inlineStr">
        <is>
          <t>112-8545213-8871410</t>
        </is>
      </c>
      <c r="C5515" s="3" t="inlineStr">
        <is>
          <t>PartsUnlimited</t>
        </is>
      </c>
    </row>
    <row collapsed="false" customFormat="false" customHeight="false" hidden="false" ht="12.1" outlineLevel="0" r="5516">
      <c r="A5516" s="3" t="s">
        <f>=HYPERLINK("https://mp39851918.megaplan.ua/deals/119208/card/","20246")</f>
      </c>
      <c r="B5516" s="3" t="inlineStr">
        <is>
          <t>112-8907035-5580235</t>
        </is>
      </c>
      <c r="C5516" s="3" t="inlineStr">
        <is>
          <t>RockyMountain</t>
        </is>
      </c>
    </row>
    <row collapsed="false" customFormat="false" customHeight="false" hidden="false" ht="12.1" outlineLevel="0" r="5517">
      <c r="A5517" s="3" t="s">
        <f>=HYPERLINK("https://mp39851918.megaplan.ua/deals/119225/card/","20247")</f>
      </c>
      <c r="B5517" s="3" t="inlineStr">
        <is>
          <t>111-3553010-7840262</t>
        </is>
      </c>
      <c r="C5517" s="3" t="inlineStr">
        <is>
          <t>RockyMountain</t>
        </is>
      </c>
    </row>
    <row collapsed="false" customFormat="false" customHeight="false" hidden="false" ht="12.1" outlineLevel="0" r="5518">
      <c r="A5518" s="3" t="s">
        <f>=HYPERLINK("https://mp39851918.megaplan.ua/deals/119226/card/","20248")</f>
      </c>
      <c r="B5518" s="3" t="inlineStr">
        <is>
          <t>112-9655580-6945824</t>
        </is>
      </c>
      <c r="C5518" s="3" t="inlineStr">
        <is>
          <t>RockyMountain</t>
        </is>
      </c>
    </row>
    <row collapsed="false" customFormat="false" customHeight="false" hidden="false" ht="12.1" outlineLevel="0" r="5519">
      <c r="A5519" s="3" t="s">
        <f>=HYPERLINK("https://mp39851918.megaplan.ua/deals/119227/card/","20249")</f>
      </c>
      <c r="B5519" s="3" t="inlineStr">
        <is>
          <t>113-8750054-5589029</t>
        </is>
      </c>
      <c r="C5519" s="3" t="inlineStr">
        <is>
          <t>RockyMountain</t>
        </is>
      </c>
    </row>
    <row collapsed="false" customFormat="false" customHeight="false" hidden="false" ht="12.1" outlineLevel="0" r="5520">
      <c r="A5520" s="3" t="s">
        <f>=HYPERLINK("https://mp39851918.megaplan.ua/deals/119235/card/","20250")</f>
      </c>
      <c r="B5520" s="3" t="inlineStr">
        <is>
          <t>114-2404490-9741019</t>
        </is>
      </c>
      <c r="C5520" s="3" t="inlineStr">
        <is>
          <t>PartsUnlimited</t>
        </is>
      </c>
    </row>
    <row collapsed="false" customFormat="false" customHeight="false" hidden="false" ht="12.1" outlineLevel="0" r="5521">
      <c r="A5521" s="3" t="s">
        <f>=HYPERLINK("https://mp39851918.megaplan.ua/deals/119249/card/","20251")</f>
      </c>
      <c r="B5521" s="3" t="inlineStr">
        <is>
          <t>111-4661267-8045808</t>
        </is>
      </c>
      <c r="C5521" s="3" t="inlineStr">
        <is>
          <t>TuckerRocky</t>
        </is>
      </c>
    </row>
    <row collapsed="false" customFormat="false" customHeight="false" hidden="false" ht="12.1" outlineLevel="0" r="5522">
      <c r="A5522" s="3" t="s">
        <f>=HYPERLINK("https://mp39851918.megaplan.ua/deals/119253/card/","20253")</f>
      </c>
      <c r="B5522" s="3" t="inlineStr">
        <is>
          <t>114-4118238-2647432</t>
        </is>
      </c>
      <c r="C5522" s="3" t="inlineStr">
        <is>
          <t>TuckerRocky</t>
        </is>
      </c>
    </row>
    <row collapsed="false" customFormat="false" customHeight="false" hidden="false" ht="12.1" outlineLevel="0" r="5523">
      <c r="A5523" s="3" t="s">
        <f>=HYPERLINK("https://mp39851918.megaplan.ua/deals/119256/card/","20254")</f>
      </c>
      <c r="B5523" s="3" t="inlineStr">
        <is>
          <t>111-1868558-1964216</t>
        </is>
      </c>
      <c r="C5523" s="3" t="inlineStr">
        <is>
          <t>Autodist</t>
        </is>
      </c>
    </row>
    <row collapsed="false" customFormat="false" customHeight="false" hidden="false" ht="12.1" outlineLevel="0" r="5524">
      <c r="A5524" s="3" t="s">
        <f>=HYPERLINK("https://mp39851918.megaplan.ua/deals/119259/card/","20256")</f>
      </c>
      <c r="B5524" s="3" t="inlineStr">
        <is>
          <t>111-1756005-9109049</t>
        </is>
      </c>
      <c r="C5524" s="3" t="inlineStr">
        <is>
          <t>RockyMountain</t>
        </is>
      </c>
    </row>
    <row collapsed="false" customFormat="false" customHeight="false" hidden="false" ht="12.1" outlineLevel="0" r="5525">
      <c r="A5525" s="3" t="s">
        <f>=HYPERLINK("https://mp39851918.megaplan.ua/deals/119262/card/","20258")</f>
      </c>
      <c r="B5525" s="3" t="inlineStr">
        <is>
          <t>111-0067489-9449024</t>
        </is>
      </c>
      <c r="C5525" s="3" t="inlineStr">
        <is>
          <t>RockyMountain</t>
        </is>
      </c>
    </row>
    <row collapsed="false" customFormat="false" customHeight="false" hidden="false" ht="12.1" outlineLevel="0" r="5526">
      <c r="A5526" s="3" t="s">
        <f>=HYPERLINK("https://mp39851918.megaplan.ua/deals/119263/card/","20259")</f>
      </c>
      <c r="B5526" s="3" t="inlineStr">
        <is>
          <t>112-4537724-2757063</t>
        </is>
      </c>
      <c r="C5526" s="3" t="inlineStr">
        <is>
          <t>Autodist</t>
        </is>
      </c>
    </row>
    <row collapsed="false" customFormat="false" customHeight="false" hidden="false" ht="12.1" outlineLevel="0" r="5527">
      <c r="A5527" s="3" t="s">
        <f>=HYPERLINK("https://mp39851918.megaplan.ua/deals/119273/card/","20260")</f>
      </c>
      <c r="B5527" s="3" t="inlineStr">
        <is>
          <t>112-2209431-1952266</t>
        </is>
      </c>
      <c r="C5527" s="3" t="inlineStr">
        <is>
          <t>TuckerRocky</t>
        </is>
      </c>
    </row>
    <row collapsed="false" customFormat="false" customHeight="false" hidden="false" ht="12.1" outlineLevel="0" r="5528">
      <c r="A5528" s="3" t="s">
        <f>=HYPERLINK("https://mp39851918.megaplan.ua/deals/119274/card/","20261")</f>
      </c>
      <c r="B5528" s="3" t="inlineStr">
        <is>
          <t>112-4461444-4320215</t>
        </is>
      </c>
      <c r="C5528" s="3" t="inlineStr">
        <is>
          <t>TuckerRocky</t>
        </is>
      </c>
    </row>
    <row collapsed="false" customFormat="false" customHeight="false" hidden="false" ht="12.1" outlineLevel="0" r="5529">
      <c r="A5529" s="3" t="s">
        <f>=HYPERLINK("https://mp39851918.megaplan.ua/deals/119275/card/","20262")</f>
      </c>
      <c r="B5529" s="3" t="inlineStr">
        <is>
          <t>111-4077972-5060201</t>
        </is>
      </c>
      <c r="C5529" s="3" t="inlineStr">
        <is>
          <t>RockyMountain</t>
        </is>
      </c>
    </row>
    <row collapsed="false" customFormat="false" customHeight="false" hidden="false" ht="12.1" outlineLevel="0" r="5530">
      <c r="A5530" s="3" t="s">
        <f>=HYPERLINK("https://mp39851918.megaplan.ua/deals/119276/card/","20263")</f>
      </c>
      <c r="B5530" s="3" t="inlineStr">
        <is>
          <t>111-7946340-2454608</t>
        </is>
      </c>
      <c r="C5530" s="3" t="inlineStr">
        <is>
          <t>PartsUnlimited</t>
        </is>
      </c>
    </row>
    <row collapsed="false" customFormat="false" customHeight="false" hidden="false" ht="12.1" outlineLevel="0" r="5531">
      <c r="A5531" s="3" t="s">
        <f>=HYPERLINK("https://mp39851918.megaplan.ua/deals/119282/card/","20264")</f>
      </c>
      <c r="B5531" s="3" t="inlineStr">
        <is>
          <t>111-3941253-0393855</t>
        </is>
      </c>
      <c r="C5531" s="3" t="inlineStr">
        <is>
          <t>TuckerRocky</t>
        </is>
      </c>
    </row>
    <row collapsed="false" customFormat="false" customHeight="false" hidden="false" ht="12.1" outlineLevel="0" r="5532">
      <c r="A5532" s="3" t="s">
        <f>=HYPERLINK("https://mp39851918.megaplan.ua/deals/119283/card/","20265")</f>
      </c>
      <c r="B5532" s="3" t="inlineStr">
        <is>
          <t>112-2731693-1027433</t>
        </is>
      </c>
      <c r="C5532" s="3" t="inlineStr">
        <is>
          <t>RockyMountain</t>
        </is>
      </c>
    </row>
    <row collapsed="false" customFormat="false" customHeight="false" hidden="false" ht="12.1" outlineLevel="0" r="5533">
      <c r="A5533" s="3" t="s">
        <f>=HYPERLINK("https://mp39851918.megaplan.ua/deals/119295/card/","20266")</f>
      </c>
      <c r="B5533" s="3" t="inlineStr">
        <is>
          <t>113-8193438-4785003</t>
        </is>
      </c>
      <c r="C5533" s="3" t="inlineStr">
        <is>
          <t>RockyMountain</t>
        </is>
      </c>
    </row>
    <row collapsed="false" customFormat="false" customHeight="false" hidden="false" ht="12.1" outlineLevel="0" r="5534">
      <c r="A5534" s="3" t="s">
        <f>=HYPERLINK("https://mp39851918.megaplan.ua/deals/119299/card/","20267")</f>
      </c>
      <c r="B5534" s="3" t="inlineStr">
        <is>
          <t>113-2077375-6631456</t>
        </is>
      </c>
      <c r="C5534" s="3" t="inlineStr">
        <is>
          <t>RockyMountain</t>
        </is>
      </c>
    </row>
    <row collapsed="false" customFormat="false" customHeight="false" hidden="false" ht="12.1" outlineLevel="0" r="5535">
      <c r="A5535" s="3" t="s">
        <f>=HYPERLINK("https://mp39851918.megaplan.ua/deals/119302/card/","20268")</f>
      </c>
      <c r="B5535" s="3" t="inlineStr">
        <is>
          <t>114-6412961-5190650</t>
        </is>
      </c>
      <c r="C5535" s="3" t="inlineStr">
        <is>
          <t>TuckerRocky</t>
        </is>
      </c>
    </row>
    <row collapsed="false" customFormat="false" customHeight="false" hidden="false" ht="12.1" outlineLevel="0" r="5536">
      <c r="A5536" s="3" t="s">
        <f>=HYPERLINK("https://mp39851918.megaplan.ua/deals/119307/card/","20269")</f>
      </c>
      <c r="B5536" s="3" t="inlineStr">
        <is>
          <t>111-5852748-8409029</t>
        </is>
      </c>
      <c r="C5536" s="3" t="inlineStr">
        <is>
          <t>RockyMountain</t>
        </is>
      </c>
    </row>
    <row collapsed="false" customFormat="false" customHeight="false" hidden="false" ht="12.1" outlineLevel="0" r="5537">
      <c r="A5537" s="3" t="s">
        <f>=HYPERLINK("https://mp39851918.megaplan.ua/deals/119308/card/","20270")</f>
      </c>
      <c r="B5537" s="3" t="inlineStr">
        <is>
          <t>113-4555415-9162669</t>
        </is>
      </c>
      <c r="C5537" s="3" t="inlineStr">
        <is>
          <t>RockyMountain</t>
        </is>
      </c>
    </row>
    <row collapsed="false" customFormat="false" customHeight="false" hidden="false" ht="12.1" outlineLevel="0" r="5538">
      <c r="A5538" s="3" t="s">
        <f>=HYPERLINK("https://mp39851918.megaplan.ua/deals/119327/card/","20271")</f>
      </c>
      <c r="B5538" s="3" t="inlineStr">
        <is>
          <t>114-0746407-0963451</t>
        </is>
      </c>
      <c r="C5538" s="3" t="inlineStr">
        <is>
          <t>RockyMountain</t>
        </is>
      </c>
    </row>
    <row collapsed="false" customFormat="false" customHeight="false" hidden="false" ht="12.1" outlineLevel="0" r="5539">
      <c r="A5539" s="3" t="s">
        <f>=HYPERLINK("https://mp39851918.megaplan.ua/deals/119331/card/","20272")</f>
      </c>
      <c r="B5539" s="3" t="inlineStr">
        <is>
          <t>111-6966381-9825013</t>
        </is>
      </c>
      <c r="C5539" s="3" t="inlineStr">
        <is>
          <t>RockyMountain</t>
        </is>
      </c>
    </row>
    <row collapsed="false" customFormat="false" customHeight="false" hidden="false" ht="12.1" outlineLevel="0" r="5540">
      <c r="A5540" s="3" t="s">
        <f>=HYPERLINK("https://mp39851918.megaplan.ua/deals/119335/card/","20273")</f>
      </c>
      <c r="B5540" s="3" t="inlineStr">
        <is>
          <t>112-3798503-0371456</t>
        </is>
      </c>
      <c r="C5540" s="3" t="inlineStr">
        <is>
          <t>PartsUnlimited</t>
        </is>
      </c>
    </row>
    <row collapsed="false" customFormat="false" customHeight="false" hidden="false" ht="12.1" outlineLevel="0" r="5541">
      <c r="A5541" s="3" t="s">
        <f>=HYPERLINK("https://mp39851918.megaplan.ua/deals/119336/card/","20274")</f>
      </c>
      <c r="B5541" s="3" t="inlineStr">
        <is>
          <t>111-8652460-3798648</t>
        </is>
      </c>
      <c r="C5541" s="3" t="inlineStr">
        <is>
          <t>RockyMountain</t>
        </is>
      </c>
    </row>
    <row collapsed="false" customFormat="false" customHeight="false" hidden="false" ht="12.1" outlineLevel="0" r="5542">
      <c r="A5542" s="3" t="s">
        <f>=HYPERLINK("https://mp39851918.megaplan.ua/deals/119337/card/","20275")</f>
      </c>
      <c r="B5542" s="3" t="inlineStr">
        <is>
          <t>113-4928752-5181854</t>
        </is>
      </c>
      <c r="C5542" s="3" t="inlineStr">
        <is>
          <t>RockyMountain</t>
        </is>
      </c>
    </row>
    <row collapsed="false" customFormat="false" customHeight="false" hidden="false" ht="12.1" outlineLevel="0" r="5543">
      <c r="A5543" s="3" t="s">
        <f>=HYPERLINK("https://mp39851918.megaplan.ua/deals/119345/card/","20276")</f>
      </c>
      <c r="B5543" s="3" t="inlineStr">
        <is>
          <t>112-1277216-3518664</t>
        </is>
      </c>
      <c r="C5543" s="3" t="inlineStr">
        <is>
          <t>RockyMountain</t>
        </is>
      </c>
    </row>
    <row collapsed="false" customFormat="false" customHeight="false" hidden="false" ht="12.1" outlineLevel="0" r="5544">
      <c r="A5544" s="3" t="s">
        <f>=HYPERLINK("https://mp39851918.megaplan.ua/deals/119348/card/","20277")</f>
      </c>
      <c r="B5544" s="3" t="inlineStr">
        <is>
          <t>113-8283610-1744240</t>
        </is>
      </c>
      <c r="C5544" s="3" t="inlineStr">
        <is>
          <t>PartsUnlimited</t>
        </is>
      </c>
    </row>
    <row collapsed="false" customFormat="false" customHeight="false" hidden="false" ht="12.1" outlineLevel="0" r="5545">
      <c r="A5545" s="3" t="s">
        <f>=HYPERLINK("https://mp39851918.megaplan.ua/deals/119349/card/","20278")</f>
      </c>
      <c r="B5545" s="3" t="inlineStr">
        <is>
          <t>114-2948836-1928205</t>
        </is>
      </c>
      <c r="C5545" s="3" t="inlineStr">
        <is>
          <t>RockyMountain</t>
        </is>
      </c>
    </row>
    <row collapsed="false" customFormat="false" customHeight="false" hidden="false" ht="12.1" outlineLevel="0" r="5546">
      <c r="A5546" s="3" t="s">
        <f>=HYPERLINK("https://mp39851918.megaplan.ua/deals/119352/card/","20279")</f>
      </c>
      <c r="B5546" s="3" t="inlineStr">
        <is>
          <t>113-5371043-7671415</t>
        </is>
      </c>
      <c r="C5546" s="3" t="inlineStr">
        <is>
          <t>RockyMountain</t>
        </is>
      </c>
    </row>
    <row collapsed="false" customFormat="false" customHeight="false" hidden="false" ht="12.1" outlineLevel="0" r="5547">
      <c r="A5547" s="3" t="s">
        <f>=HYPERLINK("https://mp39851918.megaplan.ua/deals/119360/card/","20280")</f>
      </c>
      <c r="B5547" s="3" t="inlineStr">
        <is>
          <t>111-7091407-1930647</t>
        </is>
      </c>
      <c r="C5547" s="3" t="inlineStr">
        <is>
          <t>Autodist</t>
        </is>
      </c>
    </row>
    <row collapsed="false" customFormat="false" customHeight="false" hidden="false" ht="12.1" outlineLevel="0" r="5548">
      <c r="A5548" s="3" t="s">
        <f>=HYPERLINK("https://mp39851918.megaplan.ua/deals/119365/card/","20281")</f>
      </c>
      <c r="B5548" s="3" t="inlineStr">
        <is>
          <t>114-6121521-4825027</t>
        </is>
      </c>
      <c r="C5548" s="3" t="inlineStr">
        <is>
          <t>RockyMountain</t>
        </is>
      </c>
    </row>
    <row collapsed="false" customFormat="false" customHeight="false" hidden="false" ht="12.1" outlineLevel="0" r="5549">
      <c r="A5549" s="3" t="s">
        <f>=HYPERLINK("https://mp39851918.megaplan.ua/deals/119367/card/","20282")</f>
      </c>
      <c r="B5549" s="3" t="inlineStr">
        <is>
          <t>114-2578029-1193031</t>
        </is>
      </c>
      <c r="C5549" s="3" t="inlineStr">
        <is>
          <t>RockyMountain</t>
        </is>
      </c>
    </row>
    <row collapsed="false" customFormat="false" customHeight="false" hidden="false" ht="12.1" outlineLevel="0" r="5550">
      <c r="A5550" s="3" t="s">
        <f>=HYPERLINK("https://mp39851918.megaplan.ua/deals/119380/card/","20283")</f>
      </c>
      <c r="B5550" s="3" t="inlineStr">
        <is>
          <t>111-2796148-7465865</t>
        </is>
      </c>
      <c r="C5550" s="3" t="inlineStr">
        <is>
          <t>RockyMountain</t>
        </is>
      </c>
    </row>
    <row collapsed="false" customFormat="false" customHeight="false" hidden="false" ht="12.1" outlineLevel="0" r="5551">
      <c r="A5551" s="3" t="s">
        <f>=HYPERLINK("https://mp39851918.megaplan.ua/deals/119385/card/","20284")</f>
      </c>
      <c r="B5551" s="3" t="inlineStr">
        <is>
          <t>114-0017514-8549054</t>
        </is>
      </c>
      <c r="C5551" s="3" t="inlineStr">
        <is>
          <t>RockyMountain</t>
        </is>
      </c>
    </row>
    <row collapsed="false" customFormat="false" customHeight="false" hidden="false" ht="12.1" outlineLevel="0" r="5552">
      <c r="A5552" s="3" t="s">
        <f>=HYPERLINK("https://mp39851918.megaplan.ua/deals/119392/card/","20285")</f>
      </c>
      <c r="B5552" s="3" t="inlineStr">
        <is>
          <t>112-4554092-7341859</t>
        </is>
      </c>
      <c r="C5552" s="3" t="inlineStr">
        <is>
          <t>RockyMountain</t>
        </is>
      </c>
    </row>
    <row collapsed="false" customFormat="false" customHeight="false" hidden="false" ht="12.1" outlineLevel="0" r="5553">
      <c r="A5553" s="3" t="s">
        <f>=HYPERLINK("https://mp39851918.megaplan.ua/deals/119396/card/","20286")</f>
      </c>
      <c r="B5553" s="3" t="inlineStr">
        <is>
          <t>112-3635607-2925841</t>
        </is>
      </c>
      <c r="C5553" s="3" t="inlineStr">
        <is>
          <t>RockyMountain</t>
        </is>
      </c>
    </row>
    <row collapsed="false" customFormat="false" customHeight="false" hidden="false" ht="12.1" outlineLevel="0" r="5554">
      <c r="A5554" s="3" t="s">
        <f>=HYPERLINK("https://mp39851918.megaplan.ua/deals/119407/card/","20287")</f>
      </c>
      <c r="B5554" s="3" t="inlineStr">
        <is>
          <t>112-3328630-5521851</t>
        </is>
      </c>
      <c r="C5554" s="3" t="inlineStr">
        <is>
          <t>Autodist</t>
        </is>
      </c>
    </row>
    <row collapsed="false" customFormat="false" customHeight="false" hidden="false" ht="12.1" outlineLevel="0" r="5555">
      <c r="A5555" s="3" t="s">
        <f>=HYPERLINK("https://mp39851918.megaplan.ua/deals/119435/card/","20288")</f>
      </c>
      <c r="B5555" s="3" t="inlineStr">
        <is>
          <t>112-0601219-2939445</t>
        </is>
      </c>
      <c r="C5555" s="3" t="inlineStr">
        <is>
          <t>RockyMountain</t>
        </is>
      </c>
    </row>
    <row collapsed="false" customFormat="false" customHeight="false" hidden="false" ht="12.1" outlineLevel="0" r="5556">
      <c r="A5556" s="3" t="s">
        <f>=HYPERLINK("https://mp39851918.megaplan.ua/deals/119438/card/","20289")</f>
      </c>
      <c r="B5556" s="3" t="inlineStr">
        <is>
          <t>111-9486454-9851433</t>
        </is>
      </c>
      <c r="C5556" s="3" t="inlineStr">
        <is>
          <t>TuckerRocky</t>
        </is>
      </c>
    </row>
    <row collapsed="false" customFormat="false" customHeight="false" hidden="false" ht="12.1" outlineLevel="0" r="5557">
      <c r="A5557" s="3" t="s">
        <f>=HYPERLINK("https://mp39851918.megaplan.ua/deals/119443/card/","20290")</f>
      </c>
      <c r="B5557" s="3" t="inlineStr">
        <is>
          <t>112-5945669-4178643</t>
        </is>
      </c>
      <c r="C5557" s="3" t="inlineStr">
        <is>
          <t>RockyMountain</t>
        </is>
      </c>
    </row>
    <row collapsed="false" customFormat="false" customHeight="false" hidden="false" ht="12.1" outlineLevel="0" r="5558">
      <c r="A5558" s="3" t="s">
        <f>=HYPERLINK("https://mp39851918.megaplan.ua/deals/119463/card/","20292")</f>
      </c>
      <c r="B5558" s="3" t="inlineStr">
        <is>
          <t>112-9838778-5013803</t>
        </is>
      </c>
      <c r="C5558" s="3" t="inlineStr">
        <is>
          <t>PartsUnlimited</t>
        </is>
      </c>
    </row>
    <row collapsed="false" customFormat="false" customHeight="false" hidden="false" ht="12.1" outlineLevel="0" r="5559">
      <c r="A5559" s="3" t="s">
        <f>=HYPERLINK("https://mp39851918.megaplan.ua/deals/119465/card/","20293")</f>
      </c>
      <c r="B5559" s="3" t="inlineStr">
        <is>
          <t>113-1544935-4137060</t>
        </is>
      </c>
      <c r="C5559" s="3" t="inlineStr">
        <is>
          <t>Autodist</t>
        </is>
      </c>
    </row>
    <row collapsed="false" customFormat="false" customHeight="false" hidden="false" ht="12.1" outlineLevel="0" r="5560">
      <c r="A5560" s="3" t="s">
        <f>=HYPERLINK("https://mp39851918.megaplan.ua/deals/119472/card/","20294")</f>
      </c>
      <c r="B5560" s="3" t="inlineStr">
        <is>
          <t>111-2717829-7457030</t>
        </is>
      </c>
      <c r="C5560" s="3" t="inlineStr">
        <is>
          <t>Autodist</t>
        </is>
      </c>
    </row>
    <row collapsed="false" customFormat="false" customHeight="false" hidden="false" ht="12.1" outlineLevel="0" r="5561">
      <c r="A5561" s="3" t="s">
        <f>=HYPERLINK("https://mp39851918.megaplan.ua/deals/119491/card/","20297")</f>
      </c>
      <c r="B5561" s="3" t="inlineStr">
        <is>
          <t>112-6135620-5641829</t>
        </is>
      </c>
      <c r="C5561" s="3" t="inlineStr">
        <is>
          <t>RockyMountain</t>
        </is>
      </c>
    </row>
    <row collapsed="false" customFormat="false" customHeight="false" hidden="false" ht="12.1" outlineLevel="0" r="5562">
      <c r="A5562" s="3" t="s">
        <f>=HYPERLINK("https://mp39851918.megaplan.ua/deals/119496/card/","20299")</f>
      </c>
      <c r="B5562" s="3" t="inlineStr">
        <is>
          <t>112-9955217-2273830</t>
        </is>
      </c>
      <c r="C5562" s="3" t="inlineStr">
        <is>
          <t>RockyMountain</t>
        </is>
      </c>
    </row>
    <row collapsed="false" customFormat="false" customHeight="false" hidden="false" ht="12.1" outlineLevel="0" r="5563">
      <c r="A5563" s="3" t="s">
        <f>=HYPERLINK("https://mp39851918.megaplan.ua/deals/119502/card/","20300")</f>
      </c>
      <c r="B5563" s="3" t="inlineStr">
        <is>
          <t>111-9577013-4211414</t>
        </is>
      </c>
      <c r="C5563" s="3" t="inlineStr">
        <is>
          <t>RockyMountain</t>
        </is>
      </c>
    </row>
    <row collapsed="false" customFormat="false" customHeight="false" hidden="false" ht="12.1" outlineLevel="0" r="5564">
      <c r="A5564" s="3" t="s">
        <f>=HYPERLINK("https://mp39851918.megaplan.ua/deals/119513/card/","20301")</f>
      </c>
      <c r="B5564" s="3" t="inlineStr">
        <is>
          <t>112-9107489-3036222</t>
        </is>
      </c>
      <c r="C5564" s="3" t="inlineStr">
        <is>
          <t>TuckerRocky</t>
        </is>
      </c>
    </row>
    <row collapsed="false" customFormat="false" customHeight="false" hidden="false" ht="12.1" outlineLevel="0" r="5565">
      <c r="A5565" s="3" t="s">
        <f>=HYPERLINK("https://mp39851918.megaplan.ua/deals/119518/card/","20303")</f>
      </c>
      <c r="B5565" s="3" t="inlineStr">
        <is>
          <t>112-6982285-8084220</t>
        </is>
      </c>
      <c r="C5565" s="3" t="inlineStr">
        <is>
          <t>PartsUnlimited</t>
        </is>
      </c>
    </row>
    <row collapsed="false" customFormat="false" customHeight="false" hidden="false" ht="12.1" outlineLevel="0" r="5566">
      <c r="A5566" s="3" t="s">
        <f>=HYPERLINK("https://mp39851918.megaplan.ua/deals/119519/card/","20304")</f>
      </c>
      <c r="B5566" s="3" t="inlineStr">
        <is>
          <t>112-5973409-4185058</t>
        </is>
      </c>
      <c r="C5566" s="3" t="inlineStr">
        <is>
          <t>Autodist</t>
        </is>
      </c>
    </row>
    <row collapsed="false" customFormat="false" customHeight="false" hidden="false" ht="12.1" outlineLevel="0" r="5567">
      <c r="A5567" s="3" t="s">
        <f>=HYPERLINK("https://mp39851918.megaplan.ua/deals/119530/card/","20305")</f>
      </c>
      <c r="B5567" s="3" t="inlineStr">
        <is>
          <t>114-5948263-2216205</t>
        </is>
      </c>
      <c r="C5567" s="3" t="inlineStr">
        <is>
          <t>Autodist</t>
        </is>
      </c>
    </row>
    <row collapsed="false" customFormat="false" customHeight="false" hidden="false" ht="12.1" outlineLevel="0" r="5568">
      <c r="A5568" s="3" t="s">
        <f>=HYPERLINK("https://mp39851918.megaplan.ua/deals/119537/card/","20306")</f>
      </c>
      <c r="B5568" s="3" t="inlineStr">
        <is>
          <t>113-0522733-5039428</t>
        </is>
      </c>
      <c r="C5568" s="3" t="inlineStr">
        <is>
          <t>TuckerRocky</t>
        </is>
      </c>
    </row>
    <row collapsed="false" customFormat="false" customHeight="false" hidden="false" ht="12.1" outlineLevel="0" r="5569">
      <c r="A5569" s="3" t="s">
        <f>=HYPERLINK("https://mp39851918.megaplan.ua/deals/119555/card/","20307")</f>
      </c>
      <c r="B5569" s="3" t="inlineStr">
        <is>
          <t>112-1050781-1113012</t>
        </is>
      </c>
      <c r="C5569" s="3" t="inlineStr">
        <is>
          <t>PartsUnlimited</t>
        </is>
      </c>
    </row>
    <row collapsed="false" customFormat="false" customHeight="false" hidden="false" ht="12.1" outlineLevel="0" r="5570">
      <c r="A5570" s="3" t="s">
        <f>=HYPERLINK("https://mp39851918.megaplan.ua/deals/119558/card/","20308")</f>
      </c>
      <c r="B5570" s="3" t="inlineStr">
        <is>
          <t>112-8200045-4089839</t>
        </is>
      </c>
      <c r="C5570" s="3" t="inlineStr">
        <is>
          <t>RockyMountain</t>
        </is>
      </c>
    </row>
    <row collapsed="false" customFormat="false" customHeight="false" hidden="false" ht="12.1" outlineLevel="0" r="5571">
      <c r="A5571" s="3" t="s">
        <f>=HYPERLINK("https://mp39851918.megaplan.ua/deals/119585/card/","20309")</f>
      </c>
      <c r="B5571" s="3" t="inlineStr">
        <is>
          <t>112-4885131-4385826</t>
        </is>
      </c>
      <c r="C5571" s="3" t="inlineStr">
        <is>
          <t>TuckerRocky</t>
        </is>
      </c>
    </row>
    <row collapsed="false" customFormat="false" customHeight="false" hidden="false" ht="12.1" outlineLevel="0" r="5572">
      <c r="A5572" s="3" t="s">
        <f>=HYPERLINK("https://mp39851918.megaplan.ua/deals/119593/card/","20311")</f>
      </c>
      <c r="B5572" s="3" t="inlineStr">
        <is>
          <t>111-4542987-6888245</t>
        </is>
      </c>
      <c r="C5572" s="3" t="inlineStr">
        <is>
          <t>PartsUnlimited</t>
        </is>
      </c>
    </row>
    <row collapsed="false" customFormat="false" customHeight="false" hidden="false" ht="12.1" outlineLevel="0" r="5573">
      <c r="A5573" s="3" t="s">
        <f>=HYPERLINK("https://mp39851918.megaplan.ua/deals/119620/card/","20313")</f>
      </c>
      <c r="B5573" s="3" t="inlineStr">
        <is>
          <t>111-3243007-7519407</t>
        </is>
      </c>
      <c r="C5573" s="3" t="inlineStr">
        <is>
          <t>RockyMountain</t>
        </is>
      </c>
    </row>
    <row collapsed="false" customFormat="false" customHeight="false" hidden="false" ht="12.1" outlineLevel="0" r="5574">
      <c r="A5574" s="3" t="s">
        <f>=HYPERLINK("https://mp39851918.megaplan.ua/deals/119628/card/","20314")</f>
      </c>
      <c r="B5574" s="3" t="inlineStr">
        <is>
          <t>113-5711666-0790666</t>
        </is>
      </c>
      <c r="C5574" s="3" t="inlineStr">
        <is>
          <t>Autodist</t>
        </is>
      </c>
    </row>
    <row collapsed="false" customFormat="false" customHeight="false" hidden="false" ht="12.1" outlineLevel="0" r="5575">
      <c r="A5575" s="3" t="s">
        <f>=HYPERLINK("https://mp39851918.megaplan.ua/deals/119634/card/","20315")</f>
      </c>
      <c r="B5575" s="3" t="inlineStr">
        <is>
          <t>113-5344018-6570611</t>
        </is>
      </c>
      <c r="C5575" s="3" t="inlineStr">
        <is>
          <t>RockyMountain</t>
        </is>
      </c>
    </row>
    <row collapsed="false" customFormat="false" customHeight="false" hidden="false" ht="12.1" outlineLevel="0" r="5576">
      <c r="A5576" s="3" t="s">
        <f>=HYPERLINK("https://mp39851918.megaplan.ua/deals/119637/card/","20316")</f>
      </c>
      <c r="B5576" s="3" t="inlineStr">
        <is>
          <t>113-7159748-6550634</t>
        </is>
      </c>
      <c r="C5576" s="3" t="inlineStr">
        <is>
          <t>RockyMountain</t>
        </is>
      </c>
    </row>
    <row collapsed="false" customFormat="false" customHeight="false" hidden="false" ht="12.1" outlineLevel="0" r="5577">
      <c r="A5577" s="3" t="s">
        <f>=HYPERLINK("https://mp39851918.megaplan.ua/deals/119642/card/","20319")</f>
      </c>
      <c r="B5577" s="3" t="inlineStr">
        <is>
          <t>112-0094514-9549005</t>
        </is>
      </c>
      <c r="C5577" s="3" t="inlineStr">
        <is>
          <t>RockyMountain</t>
        </is>
      </c>
    </row>
    <row collapsed="false" customFormat="false" customHeight="false" hidden="false" ht="12.1" outlineLevel="0" r="5578">
      <c r="A5578" s="3" t="s">
        <f>=HYPERLINK("https://mp39851918.megaplan.ua/deals/119643/card/","20320")</f>
      </c>
      <c r="B5578" s="3" t="inlineStr">
        <is>
          <t>112-7491326-6917013</t>
        </is>
      </c>
      <c r="C5578" s="3" t="inlineStr">
        <is>
          <t>RockyMountain</t>
        </is>
      </c>
    </row>
    <row collapsed="false" customFormat="false" customHeight="false" hidden="false" ht="12.1" outlineLevel="0" r="5579">
      <c r="A5579" s="3" t="s">
        <f>=HYPERLINK("https://mp39851918.megaplan.ua/deals/119644/card/","20321")</f>
      </c>
      <c r="B5579" s="3" t="inlineStr">
        <is>
          <t>111-2167610-4956255</t>
        </is>
      </c>
      <c r="C5579" s="3" t="inlineStr">
        <is>
          <t>TuckerRocky</t>
        </is>
      </c>
    </row>
    <row collapsed="false" customFormat="false" customHeight="false" hidden="false" ht="12.1" outlineLevel="0" r="5580">
      <c r="A5580" s="3" t="s">
        <f>=HYPERLINK("https://mp39851918.megaplan.ua/deals/119645/card/","20322")</f>
      </c>
      <c r="B5580" s="3" t="inlineStr">
        <is>
          <t>112-7960830-6876222</t>
        </is>
      </c>
      <c r="C5580" s="3" t="inlineStr">
        <is>
          <t>RockyMountain</t>
        </is>
      </c>
    </row>
    <row collapsed="false" customFormat="false" customHeight="false" hidden="false" ht="12.1" outlineLevel="0" r="5581">
      <c r="A5581" s="3" t="s">
        <f>=HYPERLINK("https://mp39851918.megaplan.ua/deals/119662/card/","20323")</f>
      </c>
      <c r="B5581" s="3" t="inlineStr">
        <is>
          <t>114-5827199-4176231</t>
        </is>
      </c>
      <c r="C5581" s="3" t="inlineStr">
        <is>
          <t>RockyMountain</t>
        </is>
      </c>
    </row>
    <row collapsed="false" customFormat="false" customHeight="false" hidden="false" ht="12.1" outlineLevel="0" r="5582">
      <c r="A5582" s="3" t="s">
        <f>=HYPERLINK("https://mp39851918.megaplan.ua/deals/119663/card/","20324")</f>
      </c>
      <c r="B5582" s="3" t="inlineStr">
        <is>
          <t>111-4304805-5129037</t>
        </is>
      </c>
      <c r="C5582" s="3" t="inlineStr">
        <is>
          <t>Autodist</t>
        </is>
      </c>
    </row>
    <row collapsed="false" customFormat="false" customHeight="false" hidden="false" ht="12.1" outlineLevel="0" r="5583">
      <c r="A5583" s="3" t="s">
        <f>=HYPERLINK("https://mp39851918.megaplan.ua/deals/119676/card/","20325")</f>
      </c>
      <c r="B5583" s="3" t="inlineStr">
        <is>
          <t>111-4683171-9913823</t>
        </is>
      </c>
      <c r="C5583" s="3" t="inlineStr">
        <is>
          <t>RockyMountain</t>
        </is>
      </c>
    </row>
    <row collapsed="false" customFormat="false" customHeight="false" hidden="false" ht="12.1" outlineLevel="0" r="5584">
      <c r="A5584" s="3" t="s">
        <f>=HYPERLINK("https://mp39851918.megaplan.ua/deals/119678/card/","20326")</f>
      </c>
      <c r="B5584" s="3" t="inlineStr">
        <is>
          <t>112-3004276-5469816</t>
        </is>
      </c>
      <c r="C5584" s="3" t="inlineStr">
        <is>
          <t>Autodist</t>
        </is>
      </c>
    </row>
    <row collapsed="false" customFormat="false" customHeight="false" hidden="false" ht="12.1" outlineLevel="0" r="5585">
      <c r="A5585" s="3" t="s">
        <f>=HYPERLINK("https://mp39851918.megaplan.ua/deals/119681/card/","20328")</f>
      </c>
      <c r="B5585" s="3" t="inlineStr">
        <is>
          <t>111-9933998-3578613</t>
        </is>
      </c>
      <c r="C5585" s="3" t="inlineStr">
        <is>
          <t>RockyMountain</t>
        </is>
      </c>
    </row>
    <row collapsed="false" customFormat="false" customHeight="false" hidden="false" ht="12.1" outlineLevel="0" r="5586">
      <c r="A5586" s="3" t="s">
        <f>=HYPERLINK("https://mp39851918.megaplan.ua/deals/119688/card/","20329")</f>
      </c>
      <c r="B5586" s="3" t="inlineStr">
        <is>
          <t>113-0991081-2975457</t>
        </is>
      </c>
      <c r="C5586" s="3" t="inlineStr">
        <is>
          <t>Autodist</t>
        </is>
      </c>
    </row>
    <row collapsed="false" customFormat="false" customHeight="false" hidden="false" ht="12.1" outlineLevel="0" r="5587">
      <c r="A5587" s="3" t="s">
        <f>=HYPERLINK("https://mp39851918.megaplan.ua/deals/119692/card/","20330")</f>
      </c>
      <c r="B5587" s="3" t="inlineStr">
        <is>
          <t>111-6176005-2338630</t>
        </is>
      </c>
      <c r="C5587" s="3" t="inlineStr">
        <is>
          <t>TuckerRocky</t>
        </is>
      </c>
    </row>
    <row collapsed="false" customFormat="false" customHeight="false" hidden="false" ht="12.1" outlineLevel="0" r="5588">
      <c r="A5588" s="3" t="s">
        <f>=HYPERLINK("https://mp39851918.megaplan.ua/deals/119700/card/","20332")</f>
      </c>
      <c r="B5588" s="3" t="inlineStr">
        <is>
          <t>114-6893513-2461845</t>
        </is>
      </c>
      <c r="C5588" s="3" t="inlineStr">
        <is>
          <t>RockyMountain</t>
        </is>
      </c>
    </row>
    <row collapsed="false" customFormat="false" customHeight="false" hidden="false" ht="12.1" outlineLevel="0" r="5589">
      <c r="A5589" s="3" t="s">
        <f>=HYPERLINK("https://mp39851918.megaplan.ua/deals/119701/card/","20333")</f>
      </c>
      <c r="B5589" s="3" t="inlineStr">
        <is>
          <t>113-0842042-3586657</t>
        </is>
      </c>
      <c r="C5589" s="3" t="inlineStr">
        <is>
          <t>RockyMountain</t>
        </is>
      </c>
    </row>
    <row collapsed="false" customFormat="false" customHeight="false" hidden="false" ht="12.1" outlineLevel="0" r="5590">
      <c r="A5590" s="3" t="s">
        <f>=HYPERLINK("https://mp39851918.megaplan.ua/deals/119702/card/","20334")</f>
      </c>
      <c r="B5590" s="3" t="inlineStr">
        <is>
          <t>111-4978576-8710619</t>
        </is>
      </c>
      <c r="C5590" s="3" t="inlineStr">
        <is>
          <t>TuckerRocky</t>
        </is>
      </c>
    </row>
    <row collapsed="false" customFormat="false" customHeight="false" hidden="false" ht="12.1" outlineLevel="0" r="5591">
      <c r="A5591" s="3" t="s">
        <f>=HYPERLINK("https://mp39851918.megaplan.ua/deals/119711/card/","20337")</f>
      </c>
      <c r="B5591" s="3" t="inlineStr">
        <is>
          <t>112-4387254-6961822</t>
        </is>
      </c>
      <c r="C5591" s="3" t="inlineStr">
        <is>
          <t>PartsUnlimited</t>
        </is>
      </c>
    </row>
    <row collapsed="false" customFormat="false" customHeight="false" hidden="false" ht="12.1" outlineLevel="0" r="5592">
      <c r="A5592" s="3" t="s">
        <f>=HYPERLINK("https://mp39851918.megaplan.ua/deals/119712/card/","20338")</f>
      </c>
      <c r="B5592" s="3" t="inlineStr">
        <is>
          <t>112-5053849-9087409</t>
        </is>
      </c>
      <c r="C5592" s="3" t="inlineStr">
        <is>
          <t>PartsUnlimited</t>
        </is>
      </c>
    </row>
    <row collapsed="false" customFormat="false" customHeight="false" hidden="false" ht="12.1" outlineLevel="0" r="5593">
      <c r="A5593" s="3" t="s">
        <f>=HYPERLINK("https://mp39851918.megaplan.ua/deals/119735/card/","20339")</f>
      </c>
      <c r="B5593" s="3" t="inlineStr">
        <is>
          <t>113-1558811-9799439</t>
        </is>
      </c>
      <c r="C5593" s="3" t="inlineStr">
        <is>
          <t>RockyMountain</t>
        </is>
      </c>
    </row>
    <row collapsed="false" customFormat="false" customHeight="false" hidden="false" ht="12.1" outlineLevel="0" r="5594">
      <c r="A5594" s="3" t="s">
        <f>=HYPERLINK("https://mp39851918.megaplan.ua/deals/119753/card/","20340")</f>
      </c>
      <c r="B5594" s="3" t="inlineStr">
        <is>
          <t>111-1209814-7921827</t>
        </is>
      </c>
      <c r="C5594" s="3" t="inlineStr">
        <is>
          <t>RockyMountain</t>
        </is>
      </c>
    </row>
    <row collapsed="false" customFormat="false" customHeight="false" hidden="false" ht="12.1" outlineLevel="0" r="5595">
      <c r="A5595" s="3" t="s">
        <f>=HYPERLINK("https://mp39851918.megaplan.ua/deals/119754/card/","20341")</f>
      </c>
      <c r="B5595" s="3" t="inlineStr">
        <is>
          <t>114-1469759-5814629</t>
        </is>
      </c>
      <c r="C5595" s="3" t="inlineStr">
        <is>
          <t>Autodist</t>
        </is>
      </c>
    </row>
    <row collapsed="false" customFormat="false" customHeight="false" hidden="false" ht="12.1" outlineLevel="0" r="5596">
      <c r="A5596" s="3" t="s">
        <f>=HYPERLINK("https://mp39851918.megaplan.ua/deals/119761/card/","20342")</f>
      </c>
      <c r="B5596" s="3" t="inlineStr">
        <is>
          <t>111-8042121-3591449</t>
        </is>
      </c>
      <c r="C5596" s="3" t="inlineStr">
        <is>
          <t>RockyMountain</t>
        </is>
      </c>
    </row>
    <row collapsed="false" customFormat="false" customHeight="false" hidden="false" ht="12.1" outlineLevel="0" r="5597">
      <c r="A5597" s="3" t="s">
        <f>=HYPERLINK("https://mp39851918.megaplan.ua/deals/119769/card/","20343")</f>
      </c>
      <c r="B5597" s="3" t="inlineStr">
        <is>
          <t>114-3177334-2553835</t>
        </is>
      </c>
      <c r="C5597" s="3" t="inlineStr">
        <is>
          <t>RockyMountain</t>
        </is>
      </c>
    </row>
    <row collapsed="false" customFormat="false" customHeight="false" hidden="false" ht="12.1" outlineLevel="0" r="5598">
      <c r="A5598" s="3" t="s">
        <f>=HYPERLINK("https://mp39851918.megaplan.ua/deals/119777/card/","20344")</f>
      </c>
      <c r="B5598" s="3" t="inlineStr">
        <is>
          <t>114-9210340-0919461</t>
        </is>
      </c>
      <c r="C5598" s="3" t="inlineStr">
        <is>
          <t>RockyMountain</t>
        </is>
      </c>
    </row>
    <row collapsed="false" customFormat="false" customHeight="false" hidden="false" ht="12.1" outlineLevel="0" r="5599">
      <c r="A5599" s="3" t="s">
        <f>=HYPERLINK("https://mp39851918.megaplan.ua/deals/119803/card/","20345")</f>
      </c>
      <c r="B5599" s="3" t="inlineStr">
        <is>
          <t>112-1699932-7888264</t>
        </is>
      </c>
      <c r="C5599" s="3" t="inlineStr">
        <is>
          <t>RockyMountain</t>
        </is>
      </c>
    </row>
    <row collapsed="false" customFormat="false" customHeight="false" hidden="false" ht="12.1" outlineLevel="0" r="5600">
      <c r="A5600" s="3" t="s">
        <f>=HYPERLINK("https://mp39851918.megaplan.ua/deals/119804/card/","20346")</f>
      </c>
      <c r="B5600" s="3" t="inlineStr">
        <is>
          <t>113-3907749-7784223</t>
        </is>
      </c>
      <c r="C5600" s="3" t="inlineStr">
        <is>
          <t>Autodist</t>
        </is>
      </c>
    </row>
    <row collapsed="false" customFormat="false" customHeight="false" hidden="false" ht="12.1" outlineLevel="0" r="5601">
      <c r="A5601" s="3" t="s">
        <f>=HYPERLINK("https://mp39851918.megaplan.ua/deals/119812/card/","20347")</f>
      </c>
      <c r="B5601" s="3" t="inlineStr">
        <is>
          <t>114-0780888-5765063</t>
        </is>
      </c>
      <c r="C5601" s="3" t="inlineStr">
        <is>
          <t>RockyMountain</t>
        </is>
      </c>
    </row>
    <row collapsed="false" customFormat="false" customHeight="false" hidden="false" ht="12.1" outlineLevel="0" r="5602">
      <c r="A5602" s="3" t="s">
        <f>=HYPERLINK("https://mp39851918.megaplan.ua/deals/119814/card/","20348")</f>
      </c>
      <c r="B5602" s="3" t="inlineStr">
        <is>
          <t>111-4578796-4768269</t>
        </is>
      </c>
      <c r="C5602" s="3" t="inlineStr">
        <is>
          <t>RockyMountain</t>
        </is>
      </c>
    </row>
    <row collapsed="false" customFormat="false" customHeight="false" hidden="false" ht="12.1" outlineLevel="0" r="5603">
      <c r="A5603" s="3" t="s">
        <f>=HYPERLINK("https://mp39851918.megaplan.ua/deals/119823/card/","20349")</f>
      </c>
      <c r="B5603" s="3" t="inlineStr">
        <is>
          <t>114-0489772-4717069</t>
        </is>
      </c>
      <c r="C5603" s="3" t="inlineStr">
        <is>
          <t>RockyMountain</t>
        </is>
      </c>
    </row>
    <row collapsed="false" customFormat="false" customHeight="false" hidden="false" ht="12.1" outlineLevel="0" r="5604">
      <c r="A5604" s="3" t="s">
        <f>=HYPERLINK("https://mp39851918.megaplan.ua/deals/119841/card/","20351")</f>
      </c>
      <c r="B5604" s="3" t="inlineStr">
        <is>
          <t>111-7521710-9469051</t>
        </is>
      </c>
      <c r="C5604" s="3" t="inlineStr">
        <is>
          <t>PartsUnlimited</t>
        </is>
      </c>
    </row>
    <row collapsed="false" customFormat="false" customHeight="false" hidden="false" ht="12.1" outlineLevel="0" r="5605">
      <c r="A5605" s="3" t="s">
        <f>=HYPERLINK("https://mp39851918.megaplan.ua/deals/119843/card/","20352")</f>
      </c>
      <c r="B5605" s="3" t="inlineStr">
        <is>
          <t>112-7581659-3669026</t>
        </is>
      </c>
      <c r="C5605" s="3" t="inlineStr">
        <is>
          <t>RockyMountain</t>
        </is>
      </c>
    </row>
    <row collapsed="false" customFormat="false" customHeight="false" hidden="false" ht="12.1" outlineLevel="0" r="5606">
      <c r="A5606" s="3" t="s">
        <f>=HYPERLINK("https://mp39851918.megaplan.ua/deals/119844/card/","20353")</f>
      </c>
      <c r="B5606" s="3" t="inlineStr">
        <is>
          <t>112-8105173-6394610</t>
        </is>
      </c>
      <c r="C5606" s="3" t="inlineStr">
        <is>
          <t>TuckerRocky</t>
        </is>
      </c>
    </row>
    <row collapsed="false" customFormat="false" customHeight="false" hidden="false" ht="12.1" outlineLevel="0" r="5607">
      <c r="A5607" s="3" t="s">
        <f>=HYPERLINK("https://mp39851918.megaplan.ua/deals/119849/card/","20354")</f>
      </c>
      <c r="B5607" s="3" t="inlineStr">
        <is>
          <t>113-0049946-6994603</t>
        </is>
      </c>
      <c r="C5607" s="3" t="inlineStr">
        <is>
          <t>TuckerRocky</t>
        </is>
      </c>
    </row>
    <row collapsed="false" customFormat="false" customHeight="false" hidden="false" ht="12.1" outlineLevel="0" r="5608">
      <c r="A5608" s="3" t="s">
        <f>=HYPERLINK("https://mp39851918.megaplan.ua/deals/119851/card/","20355")</f>
      </c>
      <c r="B5608" s="3" t="inlineStr">
        <is>
          <t>111-6705850-5103455</t>
        </is>
      </c>
      <c r="C5608" s="3" t="inlineStr">
        <is>
          <t>RockyMountain</t>
        </is>
      </c>
    </row>
    <row collapsed="false" customFormat="false" customHeight="false" hidden="false" ht="12.1" outlineLevel="0" r="5609">
      <c r="A5609" s="3" t="s">
        <f>=HYPERLINK("https://mp39851918.megaplan.ua/deals/119855/card/","20357")</f>
      </c>
      <c r="B5609" s="3" t="inlineStr">
        <is>
          <t>114-3099616-2329064</t>
        </is>
      </c>
      <c r="C5609" s="3" t="inlineStr">
        <is>
          <t>RockyMountain</t>
        </is>
      </c>
    </row>
    <row collapsed="false" customFormat="false" customHeight="false" hidden="false" ht="12.1" outlineLevel="0" r="5610">
      <c r="A5610" s="3" t="s">
        <f>=HYPERLINK("https://mp39851918.megaplan.ua/deals/119860/card/","20358")</f>
      </c>
      <c r="B5610" s="3" t="inlineStr">
        <is>
          <t>111-1033776-7133015</t>
        </is>
      </c>
      <c r="C5610" s="3" t="inlineStr">
        <is>
          <t>Autodist</t>
        </is>
      </c>
    </row>
    <row collapsed="false" customFormat="false" customHeight="false" hidden="false" ht="12.1" outlineLevel="0" r="5611">
      <c r="A5611" s="3" t="s">
        <f>=HYPERLINK("https://mp39851918.megaplan.ua/deals/119861/card/","20359")</f>
      </c>
      <c r="B5611" s="3" t="inlineStr">
        <is>
          <t>112-4825246-5309853</t>
        </is>
      </c>
      <c r="C5611" s="3" t="inlineStr">
        <is>
          <t>TuckerRocky</t>
        </is>
      </c>
    </row>
    <row collapsed="false" customFormat="false" customHeight="false" hidden="false" ht="12.1" outlineLevel="0" r="5612">
      <c r="A5612" s="3" t="s">
        <f>=HYPERLINK("https://mp39851918.megaplan.ua/deals/119877/card/","20360")</f>
      </c>
      <c r="B5612" s="3" t="inlineStr">
        <is>
          <t>113-7404492-9978660</t>
        </is>
      </c>
      <c r="C5612" s="3" t="inlineStr">
        <is>
          <t>RockyMountain</t>
        </is>
      </c>
    </row>
    <row collapsed="false" customFormat="false" customHeight="false" hidden="false" ht="12.1" outlineLevel="0" r="5613">
      <c r="A5613" s="3" t="s">
        <f>=HYPERLINK("https://mp39851918.megaplan.ua/deals/119884/card/","20361")</f>
      </c>
      <c r="B5613" s="3" t="inlineStr">
        <is>
          <t>112-6113729-0312255</t>
        </is>
      </c>
      <c r="C5613" s="3" t="inlineStr">
        <is>
          <t>PartsUnlimited</t>
        </is>
      </c>
    </row>
    <row collapsed="false" customFormat="false" customHeight="false" hidden="false" ht="12.1" outlineLevel="0" r="5614">
      <c r="A5614" s="3" t="s">
        <f>=HYPERLINK("https://mp39851918.megaplan.ua/deals/119889/card/","20363")</f>
      </c>
      <c r="B5614" s="3" t="inlineStr">
        <is>
          <t>111-2597035-6804251</t>
        </is>
      </c>
      <c r="C5614" s="3" t="inlineStr">
        <is>
          <t>PartsUnlimited</t>
        </is>
      </c>
    </row>
    <row collapsed="false" customFormat="false" customHeight="false" hidden="false" ht="12.1" outlineLevel="0" r="5615">
      <c r="A5615" s="3" t="s">
        <f>=HYPERLINK("https://mp39851918.megaplan.ua/deals/119890/card/","20364")</f>
      </c>
      <c r="B5615" s="3" t="inlineStr">
        <is>
          <t>112-8370354-0879440</t>
        </is>
      </c>
      <c r="C5615" s="3" t="inlineStr">
        <is>
          <t>RockyMountain</t>
        </is>
      </c>
    </row>
    <row collapsed="false" customFormat="false" customHeight="false" hidden="false" ht="12.1" outlineLevel="0" r="5616">
      <c r="A5616" s="3" t="s">
        <f>=HYPERLINK("https://mp39851918.megaplan.ua/deals/119893/card/","20365")</f>
      </c>
      <c r="B5616" s="3" t="inlineStr">
        <is>
          <t>113-2821397-8219420</t>
        </is>
      </c>
      <c r="C5616" s="3" t="inlineStr">
        <is>
          <t>Autodist</t>
        </is>
      </c>
    </row>
    <row collapsed="false" customFormat="false" customHeight="false" hidden="false" ht="12.1" outlineLevel="0" r="5617">
      <c r="A5617" s="3" t="s">
        <f>=HYPERLINK("https://mp39851918.megaplan.ua/deals/119906/card/","20366")</f>
      </c>
      <c r="B5617" s="3" t="inlineStr">
        <is>
          <t>114-1619598-6817868</t>
        </is>
      </c>
      <c r="C5617" s="3" t="inlineStr">
        <is>
          <t>TuckerRocky</t>
        </is>
      </c>
    </row>
    <row collapsed="false" customFormat="false" customHeight="false" hidden="false" ht="12.1" outlineLevel="0" r="5618">
      <c r="A5618" s="3" t="s">
        <f>=HYPERLINK("https://mp39851918.megaplan.ua/deals/119909/card/","20367")</f>
      </c>
      <c r="B5618" s="3" t="inlineStr">
        <is>
          <t>113-0874854-7377064</t>
        </is>
      </c>
      <c r="C5618" s="3" t="inlineStr">
        <is>
          <t>RockyMountain</t>
        </is>
      </c>
    </row>
    <row collapsed="false" customFormat="false" customHeight="false" hidden="false" ht="12.1" outlineLevel="0" r="5619">
      <c r="A5619" s="3" t="s">
        <f>=HYPERLINK("https://mp39851918.megaplan.ua/deals/119917/card/","20368")</f>
      </c>
      <c r="B5619" s="3" t="inlineStr">
        <is>
          <t>113-3560164-6051444</t>
        </is>
      </c>
      <c r="C5619" s="3" t="inlineStr">
        <is>
          <t>TuckerRocky</t>
        </is>
      </c>
    </row>
    <row collapsed="false" customFormat="false" customHeight="false" hidden="false" ht="12.1" outlineLevel="0" r="5620">
      <c r="A5620" s="3" t="s">
        <f>=HYPERLINK("https://mp39851918.megaplan.ua/deals/119928/card/","20370")</f>
      </c>
      <c r="B5620" s="3" t="inlineStr">
        <is>
          <t>113-0742327-0720243</t>
        </is>
      </c>
      <c r="C5620" s="3" t="inlineStr">
        <is>
          <t>TuckerRocky</t>
        </is>
      </c>
    </row>
    <row collapsed="false" customFormat="false" customHeight="false" hidden="false" ht="12.1" outlineLevel="0" r="5621">
      <c r="A5621" s="3" t="s">
        <f>=HYPERLINK("https://mp39851918.megaplan.ua/deals/119934/card/","20371")</f>
      </c>
      <c r="B5621" s="3" t="inlineStr">
        <is>
          <t>114-7003940-1120221</t>
        </is>
      </c>
      <c r="C5621" s="3" t="inlineStr">
        <is>
          <t>Autodist</t>
        </is>
      </c>
    </row>
    <row collapsed="false" customFormat="false" customHeight="false" hidden="false" ht="12.1" outlineLevel="0" r="5622">
      <c r="A5622" s="3" t="s">
        <f>=HYPERLINK("https://mp39851918.megaplan.ua/deals/119962/card/","20373")</f>
      </c>
      <c r="B5622" s="3" t="inlineStr">
        <is>
          <t>113-6538870-2464202</t>
        </is>
      </c>
      <c r="C5622" s="3" t="inlineStr">
        <is>
          <t>Autodist</t>
        </is>
      </c>
    </row>
    <row collapsed="false" customFormat="false" customHeight="false" hidden="false" ht="12.1" outlineLevel="0" r="5623">
      <c r="A5623" s="3" t="s">
        <f>=HYPERLINK("https://mp39851918.megaplan.ua/deals/119963/card/","20374")</f>
      </c>
      <c r="B5623" s="3" t="inlineStr">
        <is>
          <t>112-6298151-6673011</t>
        </is>
      </c>
      <c r="C5623" s="3" t="inlineStr">
        <is>
          <t>RockyMountain</t>
        </is>
      </c>
    </row>
    <row collapsed="false" customFormat="false" customHeight="false" hidden="false" ht="12.1" outlineLevel="0" r="5624">
      <c r="A5624" s="3" t="s">
        <f>=HYPERLINK("https://mp39851918.megaplan.ua/deals/119985/card/","20377")</f>
      </c>
      <c r="B5624" s="3" t="inlineStr">
        <is>
          <t>113-0212999-7053859</t>
        </is>
      </c>
      <c r="C5624" s="3" t="inlineStr">
        <is>
          <t>RockyMountain</t>
        </is>
      </c>
    </row>
    <row collapsed="false" customFormat="false" customHeight="false" hidden="false" ht="12.1" outlineLevel="0" r="5625">
      <c r="A5625" s="3" t="s">
        <f>=HYPERLINK("https://mp39851918.megaplan.ua/deals/119996/card/","20378")</f>
      </c>
      <c r="B5625" s="3" t="inlineStr">
        <is>
          <t>114-7747138-9956256</t>
        </is>
      </c>
      <c r="C5625" s="3" t="inlineStr">
        <is>
          <t>RockyMountain</t>
        </is>
      </c>
    </row>
    <row collapsed="false" customFormat="false" customHeight="false" hidden="false" ht="12.1" outlineLevel="0" r="5626">
      <c r="A5626" s="3" t="s">
        <f>=HYPERLINK("https://mp39851918.megaplan.ua/deals/120013/card/","20380")</f>
      </c>
      <c r="B5626" s="3" t="inlineStr">
        <is>
          <t>112-3963000-0974642</t>
        </is>
      </c>
      <c r="C5626" s="3" t="inlineStr">
        <is>
          <t>TuckerRocky</t>
        </is>
      </c>
    </row>
    <row collapsed="false" customFormat="false" customHeight="false" hidden="false" ht="12.1" outlineLevel="0" r="5627">
      <c r="A5627" s="3" t="s">
        <f>=HYPERLINK("https://mp39851918.megaplan.ua/deals/120041/card/","20382")</f>
      </c>
      <c r="B5627" s="3" t="inlineStr">
        <is>
          <t>111-1928498-5068219</t>
        </is>
      </c>
      <c r="C5627" s="3" t="inlineStr">
        <is>
          <t>Autodist</t>
        </is>
      </c>
    </row>
    <row collapsed="false" customFormat="false" customHeight="false" hidden="false" ht="12.1" outlineLevel="0" r="5628">
      <c r="A5628" s="3" t="s">
        <f>=HYPERLINK("https://mp39851918.megaplan.ua/deals/120043/card/","20383")</f>
      </c>
      <c r="B5628" s="3" t="inlineStr">
        <is>
          <t>111-8932340-3263448</t>
        </is>
      </c>
      <c r="C5628" s="3" t="inlineStr">
        <is>
          <t>Autodist</t>
        </is>
      </c>
    </row>
    <row collapsed="false" customFormat="false" customHeight="false" hidden="false" ht="12.1" outlineLevel="0" r="5629">
      <c r="A5629" s="3" t="s">
        <f>=HYPERLINK("https://mp39851918.megaplan.ua/deals/120047/card/","20384")</f>
      </c>
      <c r="B5629" s="3" t="inlineStr">
        <is>
          <t>114-6488850-2659414</t>
        </is>
      </c>
      <c r="C5629" s="3" t="inlineStr">
        <is>
          <t>RockyMountain</t>
        </is>
      </c>
    </row>
    <row collapsed="false" customFormat="false" customHeight="false" hidden="false" ht="12.1" outlineLevel="0" r="5630">
      <c r="A5630" s="3" t="s">
        <f>=HYPERLINK("https://mp39851918.megaplan.ua/deals/120058/card/","20385")</f>
      </c>
      <c r="B5630" s="3" t="inlineStr">
        <is>
          <t>114-5375382-3037046</t>
        </is>
      </c>
      <c r="C5630" s="3" t="inlineStr">
        <is>
          <t>PartsUnlimited</t>
        </is>
      </c>
    </row>
    <row collapsed="false" customFormat="false" customHeight="false" hidden="false" ht="12.1" outlineLevel="0" r="5631">
      <c r="A5631" s="3" t="s">
        <f>=HYPERLINK("https://mp39851918.megaplan.ua/deals/120075/card/","20386")</f>
      </c>
      <c r="B5631" s="3" t="inlineStr">
        <is>
          <t>112-5935128-9096253</t>
        </is>
      </c>
      <c r="C5631" s="3" t="inlineStr">
        <is>
          <t>RockyMountain</t>
        </is>
      </c>
    </row>
    <row collapsed="false" customFormat="false" customHeight="false" hidden="false" ht="12.1" outlineLevel="0" r="5632">
      <c r="A5632" s="3" t="s">
        <f>=HYPERLINK("https://mp39851918.megaplan.ua/deals/120076/card/","20387")</f>
      </c>
      <c r="B5632" s="3" t="inlineStr">
        <is>
          <t>114-7623165-6029827</t>
        </is>
      </c>
      <c r="C5632" s="3" t="inlineStr">
        <is>
          <t>Autodist</t>
        </is>
      </c>
    </row>
    <row collapsed="false" customFormat="false" customHeight="false" hidden="false" ht="12.1" outlineLevel="0" r="5633">
      <c r="A5633" s="3" t="s">
        <f>=HYPERLINK("https://mp39851918.megaplan.ua/deals/120079/card/","20388")</f>
      </c>
      <c r="B5633" s="3" t="inlineStr">
        <is>
          <t>113-2586831-3676254</t>
        </is>
      </c>
      <c r="C5633" s="3" t="inlineStr">
        <is>
          <t>RockyMountain</t>
        </is>
      </c>
    </row>
    <row collapsed="false" customFormat="false" customHeight="false" hidden="false" ht="12.1" outlineLevel="0" r="5634">
      <c r="A5634" s="3" t="s">
        <f>=HYPERLINK("https://mp39851918.megaplan.ua/deals/120084/card/","20389")</f>
      </c>
      <c r="B5634" s="3" t="inlineStr">
        <is>
          <t>114-6006433-1530601</t>
        </is>
      </c>
      <c r="C5634" s="3" t="inlineStr">
        <is>
          <t>RockyMountain</t>
        </is>
      </c>
    </row>
    <row collapsed="false" customFormat="false" customHeight="false" hidden="false" ht="12.1" outlineLevel="0" r="5635">
      <c r="A5635" s="3" t="s">
        <f>=HYPERLINK("https://mp39851918.megaplan.ua/deals/120087/card/","20390")</f>
      </c>
      <c r="B5635" s="3" t="inlineStr">
        <is>
          <t>112-5784550-6923406</t>
        </is>
      </c>
      <c r="C5635" s="3" t="inlineStr">
        <is>
          <t>RockyMountain</t>
        </is>
      </c>
    </row>
    <row collapsed="false" customFormat="false" customHeight="false" hidden="false" ht="12.1" outlineLevel="0" r="5636">
      <c r="A5636" s="3" t="s">
        <f>=HYPERLINK("https://mp39851918.megaplan.ua/deals/120088/card/","20391")</f>
      </c>
      <c r="B5636" s="3" t="inlineStr">
        <is>
          <t>112-5162299-4681051</t>
        </is>
      </c>
      <c r="C5636" s="3" t="inlineStr">
        <is>
          <t>PartsUnlimited</t>
        </is>
      </c>
    </row>
    <row collapsed="false" customFormat="false" customHeight="false" hidden="false" ht="12.1" outlineLevel="0" r="5637">
      <c r="A5637" s="3" t="s">
        <f>=HYPERLINK("https://mp39851918.megaplan.ua/deals/120090/card/","20392")</f>
      </c>
      <c r="B5637" s="3" t="inlineStr">
        <is>
          <t>112-3538085-2018620</t>
        </is>
      </c>
      <c r="C5637" s="3" t="inlineStr">
        <is>
          <t>RockyMountain</t>
        </is>
      </c>
    </row>
    <row collapsed="false" customFormat="false" customHeight="false" hidden="false" ht="12.1" outlineLevel="0" r="5638">
      <c r="A5638" s="3" t="s">
        <f>=HYPERLINK("https://mp39851918.megaplan.ua/deals/120097/card/","20393")</f>
      </c>
      <c r="B5638" s="3" t="inlineStr">
        <is>
          <t>112-9348914-4145031</t>
        </is>
      </c>
      <c r="C5638" s="3" t="inlineStr">
        <is>
          <t>PartsUnlimited</t>
        </is>
      </c>
    </row>
    <row collapsed="false" customFormat="false" customHeight="false" hidden="false" ht="12.1" outlineLevel="0" r="5639">
      <c r="A5639" s="3" t="s">
        <f>=HYPERLINK("https://mp39851918.megaplan.ua/deals/120108/card/","20394")</f>
      </c>
      <c r="B5639" s="3" t="inlineStr">
        <is>
          <t>112-5800113-3692222</t>
        </is>
      </c>
      <c r="C5639" s="3" t="inlineStr">
        <is>
          <t>PartsUnlimited</t>
        </is>
      </c>
    </row>
    <row collapsed="false" customFormat="false" customHeight="false" hidden="false" ht="12.1" outlineLevel="0" r="5640">
      <c r="A5640" s="3" t="s">
        <f>=HYPERLINK("https://mp39851918.megaplan.ua/deals/120112/card/","20395")</f>
      </c>
      <c r="B5640" s="3" t="inlineStr">
        <is>
          <t>111-9936951-4137842</t>
        </is>
      </c>
      <c r="C5640" s="3" t="inlineStr">
        <is>
          <t>RockyMountain</t>
        </is>
      </c>
    </row>
    <row collapsed="false" customFormat="false" customHeight="false" hidden="false" ht="12.1" outlineLevel="0" r="5641">
      <c r="A5641" s="3" t="s">
        <f>=HYPERLINK("https://mp39851918.megaplan.ua/deals/120113/card/","20396")</f>
      </c>
      <c r="B5641" s="3" t="inlineStr">
        <is>
          <t>114-6048495-3437806</t>
        </is>
      </c>
      <c r="C5641" s="3" t="inlineStr">
        <is>
          <t>RockyMountain</t>
        </is>
      </c>
    </row>
    <row collapsed="false" customFormat="false" customHeight="false" hidden="false" ht="12.1" outlineLevel="0" r="5642">
      <c r="A5642" s="3" t="s">
        <f>=HYPERLINK("https://mp39851918.megaplan.ua/deals/120114/card/","20397")</f>
      </c>
      <c r="B5642" s="3" t="inlineStr">
        <is>
          <t>111-7220055-7681825</t>
        </is>
      </c>
      <c r="C5642" s="3" t="inlineStr">
        <is>
          <t>RockyMountain</t>
        </is>
      </c>
    </row>
    <row collapsed="false" customFormat="false" customHeight="false" hidden="false" ht="12.1" outlineLevel="0" r="5643">
      <c r="A5643" s="3" t="s">
        <f>=HYPERLINK("https://mp39851918.megaplan.ua/deals/120116/card/","20398")</f>
      </c>
      <c r="B5643" s="3" t="inlineStr">
        <is>
          <t>112-7167631-7293015</t>
        </is>
      </c>
      <c r="C5643" s="3" t="inlineStr">
        <is>
          <t>RockyMountain</t>
        </is>
      </c>
    </row>
    <row collapsed="false" customFormat="false" customHeight="false" hidden="false" ht="12.1" outlineLevel="0" r="5644">
      <c r="A5644" s="3" t="s">
        <f>=HYPERLINK("https://mp39851918.megaplan.ua/deals/120117/card/","20399")</f>
      </c>
      <c r="B5644" s="3" t="inlineStr">
        <is>
          <t>111-3921865-9815421</t>
        </is>
      </c>
      <c r="C5644" s="3" t="inlineStr">
        <is>
          <t>TuckerRocky</t>
        </is>
      </c>
    </row>
    <row collapsed="false" customFormat="false" customHeight="false" hidden="false" ht="12.1" outlineLevel="0" r="5645">
      <c r="A5645" s="3" t="s">
        <f>=HYPERLINK("https://mp39851918.megaplan.ua/deals/120118/card/","20400")</f>
      </c>
      <c r="B5645" s="3" t="inlineStr">
        <is>
          <t>114-0835663-1138621</t>
        </is>
      </c>
      <c r="C5645" s="3" t="inlineStr">
        <is>
          <t>TuckerRocky</t>
        </is>
      </c>
    </row>
    <row collapsed="false" customFormat="false" customHeight="false" hidden="false" ht="12.1" outlineLevel="0" r="5646">
      <c r="A5646" s="3" t="s">
        <f>=HYPERLINK("https://mp39851918.megaplan.ua/deals/120119/card/","20401")</f>
      </c>
      <c r="B5646" s="3" t="inlineStr">
        <is>
          <t>114-5202555-3140255</t>
        </is>
      </c>
      <c r="C5646" s="3" t="inlineStr">
        <is>
          <t>RockyMountain</t>
        </is>
      </c>
    </row>
    <row collapsed="false" customFormat="false" customHeight="false" hidden="false" ht="12.1" outlineLevel="0" r="5647">
      <c r="A5647" s="3" t="s">
        <f>=HYPERLINK("https://mp39851918.megaplan.ua/deals/120122/card/","20402")</f>
      </c>
      <c r="B5647" s="3" t="inlineStr">
        <is>
          <t>111-0372912-4819420</t>
        </is>
      </c>
      <c r="C5647" s="3" t="inlineStr">
        <is>
          <t>RockyMountain</t>
        </is>
      </c>
    </row>
    <row collapsed="false" customFormat="false" customHeight="false" hidden="false" ht="12.1" outlineLevel="0" r="5648">
      <c r="A5648" s="3" t="s">
        <f>=HYPERLINK("https://mp39851918.megaplan.ua/deals/120124/card/","20403")</f>
      </c>
      <c r="B5648" s="3" t="inlineStr">
        <is>
          <t>112-9011007-4714612</t>
        </is>
      </c>
      <c r="C5648" s="3" t="inlineStr">
        <is>
          <t>RockyMountain</t>
        </is>
      </c>
    </row>
    <row collapsed="false" customFormat="false" customHeight="false" hidden="false" ht="12.1" outlineLevel="0" r="5649">
      <c r="A5649" s="3" t="s">
        <f>=HYPERLINK("https://mp39851918.megaplan.ua/deals/120126/card/","20404")</f>
      </c>
      <c r="B5649" s="3" t="inlineStr">
        <is>
          <t>112-6478549-2109839</t>
        </is>
      </c>
      <c r="C5649" s="3" t="inlineStr">
        <is>
          <t>RockyMountain</t>
        </is>
      </c>
    </row>
    <row collapsed="false" customFormat="false" customHeight="false" hidden="false" ht="12.1" outlineLevel="0" r="5650">
      <c r="A5650" s="3" t="s">
        <f>=HYPERLINK("https://mp39851918.megaplan.ua/deals/120129/card/","20405")</f>
      </c>
      <c r="B5650" s="3" t="inlineStr">
        <is>
          <t>114-9516823-6637862</t>
        </is>
      </c>
      <c r="C5650" s="3" t="inlineStr">
        <is>
          <t>RockyMountain</t>
        </is>
      </c>
    </row>
    <row collapsed="false" customFormat="false" customHeight="false" hidden="false" ht="12.1" outlineLevel="0" r="5651">
      <c r="A5651" s="3" t="s">
        <f>=HYPERLINK("https://mp39851918.megaplan.ua/deals/120133/card/","20407")</f>
      </c>
      <c r="B5651" s="3" t="inlineStr">
        <is>
          <t>114-7125565-3096242</t>
        </is>
      </c>
      <c r="C5651" s="3" t="inlineStr">
        <is>
          <t>Autodist</t>
        </is>
      </c>
    </row>
    <row collapsed="false" customFormat="false" customHeight="false" hidden="false" ht="12.1" outlineLevel="0" r="5652">
      <c r="A5652" s="3" t="s">
        <f>=HYPERLINK("https://mp39851918.megaplan.ua/deals/120141/card/","20408")</f>
      </c>
      <c r="B5652" s="3" t="inlineStr">
        <is>
          <t>113-1247160-0316240</t>
        </is>
      </c>
      <c r="C5652" s="3" t="inlineStr">
        <is>
          <t>TuckerRocky</t>
        </is>
      </c>
    </row>
    <row collapsed="false" customFormat="false" customHeight="false" hidden="false" ht="12.1" outlineLevel="0" r="5653">
      <c r="A5653" s="3" t="s">
        <f>=HYPERLINK("https://mp39851918.megaplan.ua/deals/120145/card/","20409")</f>
      </c>
      <c r="B5653" s="3" t="inlineStr">
        <is>
          <t>114-9752409-3483449</t>
        </is>
      </c>
      <c r="C5653" s="3" t="inlineStr">
        <is>
          <t>RockyMountain</t>
        </is>
      </c>
    </row>
    <row collapsed="false" customFormat="false" customHeight="false" hidden="false" ht="12.1" outlineLevel="0" r="5654">
      <c r="A5654" s="3" t="s">
        <f>=HYPERLINK("https://mp39851918.megaplan.ua/deals/120151/card/","20410")</f>
      </c>
      <c r="B5654" s="3" t="inlineStr">
        <is>
          <t>113-0139957-4465876</t>
        </is>
      </c>
      <c r="C5654" s="3" t="inlineStr">
        <is>
          <t>RockyMountain</t>
        </is>
      </c>
    </row>
    <row collapsed="false" customFormat="false" customHeight="false" hidden="false" ht="12.1" outlineLevel="0" r="5655">
      <c r="A5655" s="3" t="s">
        <f>=HYPERLINK("https://mp39851918.megaplan.ua/deals/120172/card/","20411")</f>
      </c>
      <c r="B5655" s="3" t="inlineStr">
        <is>
          <t>114-9689917-9504265</t>
        </is>
      </c>
      <c r="C5655" s="3" t="inlineStr">
        <is>
          <t>TuckerRocky</t>
        </is>
      </c>
    </row>
    <row collapsed="false" customFormat="false" customHeight="false" hidden="false" ht="12.1" outlineLevel="0" r="5656">
      <c r="A5656" s="3" t="s">
        <f>=HYPERLINK("https://mp39851918.megaplan.ua/deals/120177/card/","20412")</f>
      </c>
      <c r="B5656" s="3" t="inlineStr">
        <is>
          <t>114-7716659-1383453</t>
        </is>
      </c>
      <c r="C5656" s="3" t="inlineStr">
        <is>
          <t>Autodist</t>
        </is>
      </c>
    </row>
    <row collapsed="false" customFormat="false" customHeight="false" hidden="false" ht="12.1" outlineLevel="0" r="5657">
      <c r="A5657" s="3" t="s">
        <f>=HYPERLINK("https://mp39851918.megaplan.ua/deals/120191/card/","20413")</f>
      </c>
      <c r="B5657" s="3" t="inlineStr">
        <is>
          <t>113-3285091-8984269</t>
        </is>
      </c>
      <c r="C5657" s="3" t="inlineStr">
        <is>
          <t>Autodist</t>
        </is>
      </c>
    </row>
    <row collapsed="false" customFormat="false" customHeight="false" hidden="false" ht="12.1" outlineLevel="0" r="5658">
      <c r="A5658" s="3" t="s">
        <f>=HYPERLINK("https://mp39851918.megaplan.ua/deals/120201/card/","20414")</f>
      </c>
      <c r="B5658" s="3" t="inlineStr">
        <is>
          <t>111-3667931-4265807</t>
        </is>
      </c>
      <c r="C5658" s="3" t="inlineStr">
        <is>
          <t>TuckerRocky</t>
        </is>
      </c>
    </row>
    <row collapsed="false" customFormat="false" customHeight="false" hidden="false" ht="12.1" outlineLevel="0" r="5659">
      <c r="A5659" s="3" t="s">
        <f>=HYPERLINK("https://mp39851918.megaplan.ua/deals/120211/card/","20415")</f>
      </c>
      <c r="B5659" s="3" t="inlineStr">
        <is>
          <t>111-4776940-4025860</t>
        </is>
      </c>
      <c r="C5659" s="3" t="inlineStr">
        <is>
          <t>PartsUnlimited</t>
        </is>
      </c>
    </row>
    <row collapsed="false" customFormat="false" customHeight="false" hidden="false" ht="12.1" outlineLevel="0" r="5660">
      <c r="A5660" s="3" t="s">
        <f>=HYPERLINK("https://mp39851918.megaplan.ua/deals/120223/card/","20416")</f>
      </c>
      <c r="B5660" s="3" t="inlineStr">
        <is>
          <t>112-5073789-9986645</t>
        </is>
      </c>
      <c r="C5660" s="3" t="inlineStr">
        <is>
          <t>RockyMountain</t>
        </is>
      </c>
    </row>
    <row collapsed="false" customFormat="false" customHeight="false" hidden="false" ht="12.1" outlineLevel="0" r="5661">
      <c r="A5661" s="3" t="s">
        <f>=HYPERLINK("https://mp39851918.megaplan.ua/deals/120226/card/","20417")</f>
      </c>
      <c r="B5661" s="3" t="inlineStr">
        <is>
          <t>114-6228603-0499439</t>
        </is>
      </c>
      <c r="C5661" s="3" t="inlineStr">
        <is>
          <t>Autodist</t>
        </is>
      </c>
    </row>
    <row collapsed="false" customFormat="false" customHeight="false" hidden="false" ht="12.1" outlineLevel="0" r="5662">
      <c r="A5662" s="3" t="s">
        <f>=HYPERLINK("https://mp39851918.megaplan.ua/deals/120244/card/","20418")</f>
      </c>
      <c r="B5662" s="3" t="inlineStr">
        <is>
          <t>112-3524816-4403414</t>
        </is>
      </c>
      <c r="C5662" s="3" t="inlineStr">
        <is>
          <t>RockyMountain</t>
        </is>
      </c>
    </row>
    <row collapsed="false" customFormat="false" customHeight="false" hidden="false" ht="12.1" outlineLevel="0" r="5663">
      <c r="A5663" s="3" t="s">
        <f>=HYPERLINK("https://mp39851918.megaplan.ua/deals/120245/card/","20419")</f>
      </c>
      <c r="B5663" s="3" t="inlineStr">
        <is>
          <t>113-8271143-5748244</t>
        </is>
      </c>
      <c r="C5663" s="3" t="inlineStr">
        <is>
          <t>RockyMountain</t>
        </is>
      </c>
    </row>
    <row collapsed="false" customFormat="false" customHeight="false" hidden="false" ht="12.1" outlineLevel="0" r="5664">
      <c r="A5664" s="3" t="s">
        <f>=HYPERLINK("https://mp39851918.megaplan.ua/deals/120253/card/","20420")</f>
      </c>
      <c r="B5664" s="3" t="inlineStr">
        <is>
          <t>114-2626819-4678662</t>
        </is>
      </c>
      <c r="C5664" s="3" t="inlineStr">
        <is>
          <t>RockyMountain</t>
        </is>
      </c>
    </row>
    <row collapsed="false" customFormat="false" customHeight="false" hidden="false" ht="12.1" outlineLevel="0" r="5665">
      <c r="A5665" s="3" t="s">
        <f>=HYPERLINK("https://mp39851918.megaplan.ua/deals/120263/card/","20422")</f>
      </c>
      <c r="B5665" s="3" t="inlineStr">
        <is>
          <t>113-0688732-0483409</t>
        </is>
      </c>
      <c r="C5665" s="3" t="inlineStr">
        <is>
          <t>RockyMountain</t>
        </is>
      </c>
    </row>
    <row collapsed="false" customFormat="false" customHeight="false" hidden="false" ht="12.1" outlineLevel="0" r="5666">
      <c r="A5666" s="3" t="s">
        <f>=HYPERLINK("https://mp39851918.megaplan.ua/deals/120290/card/","20424")</f>
      </c>
      <c r="B5666" s="3" t="inlineStr">
        <is>
          <t>112-3662067-4535431</t>
        </is>
      </c>
      <c r="C5666" s="3" t="inlineStr">
        <is>
          <t>RockyMountain</t>
        </is>
      </c>
    </row>
    <row collapsed="false" customFormat="false" customHeight="false" hidden="false" ht="12.1" outlineLevel="0" r="5667">
      <c r="A5667" s="3" t="s">
        <f>=HYPERLINK("https://mp39851918.megaplan.ua/deals/120292/card/","20425")</f>
      </c>
      <c r="B5667" s="3" t="inlineStr">
        <is>
          <t>114-0737608-4955405</t>
        </is>
      </c>
      <c r="C5667" s="3" t="inlineStr">
        <is>
          <t>RockyMountain</t>
        </is>
      </c>
    </row>
    <row collapsed="false" customFormat="false" customHeight="false" hidden="false" ht="12.1" outlineLevel="0" r="5668">
      <c r="A5668" s="3" t="s">
        <f>=HYPERLINK("https://mp39851918.megaplan.ua/deals/120300/card/","20426")</f>
      </c>
      <c r="B5668" s="3" t="inlineStr">
        <is>
          <t>113-1280715-1569026</t>
        </is>
      </c>
      <c r="C5668" s="3" t="inlineStr">
        <is>
          <t>RockyMountain</t>
        </is>
      </c>
    </row>
    <row collapsed="false" customFormat="false" customHeight="false" hidden="false" ht="12.1" outlineLevel="0" r="5669">
      <c r="A5669" s="3" t="s">
        <f>=HYPERLINK("https://mp39851918.megaplan.ua/deals/120301/card/","20427")</f>
      </c>
      <c r="B5669" s="3" t="inlineStr">
        <is>
          <t>114-7264784-4753836</t>
        </is>
      </c>
      <c r="C5669" s="3" t="inlineStr">
        <is>
          <t>TuckerRocky</t>
        </is>
      </c>
    </row>
    <row collapsed="false" customFormat="false" customHeight="false" hidden="false" ht="12.1" outlineLevel="0" r="5670">
      <c r="A5670" s="3" t="s">
        <f>=HYPERLINK("https://mp39851918.megaplan.ua/deals/120303/card/","20428")</f>
      </c>
      <c r="B5670" s="3" t="inlineStr">
        <is>
          <t>113-5040155-0847432</t>
        </is>
      </c>
      <c r="C5670" s="3" t="inlineStr">
        <is>
          <t>RockyMountain</t>
        </is>
      </c>
    </row>
    <row collapsed="false" customFormat="false" customHeight="false" hidden="false" ht="12.1" outlineLevel="0" r="5671">
      <c r="A5671" s="3" t="s">
        <f>=HYPERLINK("https://mp39851918.megaplan.ua/deals/120309/card/","20429")</f>
      </c>
      <c r="B5671" s="3" t="inlineStr">
        <is>
          <t>111-6891278-3177800</t>
        </is>
      </c>
      <c r="C5671" s="3" t="inlineStr">
        <is>
          <t>PartsUnlimited</t>
        </is>
      </c>
    </row>
    <row collapsed="false" customFormat="false" customHeight="false" hidden="false" ht="12.1" outlineLevel="0" r="5672">
      <c r="A5672" s="3" t="s">
        <f>=HYPERLINK("https://mp39851918.megaplan.ua/deals/120324/card/","20430")</f>
      </c>
      <c r="B5672" s="3" t="inlineStr">
        <is>
          <t>114-1156059-6717053</t>
        </is>
      </c>
      <c r="C5672" s="3" t="inlineStr">
        <is>
          <t>RockyMountain</t>
        </is>
      </c>
    </row>
    <row collapsed="false" customFormat="false" customHeight="false" hidden="false" ht="12.1" outlineLevel="0" r="5673">
      <c r="A5673" s="3" t="s">
        <f>=HYPERLINK("https://mp39851918.megaplan.ua/deals/120325/card/","20431")</f>
      </c>
      <c r="B5673" s="3" t="inlineStr">
        <is>
          <t>111-8959607-6119418</t>
        </is>
      </c>
      <c r="C5673" s="3" t="inlineStr">
        <is>
          <t>Autodist</t>
        </is>
      </c>
    </row>
    <row collapsed="false" customFormat="false" customHeight="false" hidden="false" ht="12.1" outlineLevel="0" r="5674">
      <c r="A5674" s="3" t="s">
        <f>=HYPERLINK("https://mp39851918.megaplan.ua/deals/120329/card/","20432")</f>
      </c>
      <c r="B5674" s="3" t="inlineStr">
        <is>
          <t>113-2697479-8789056</t>
        </is>
      </c>
      <c r="C5674" s="3" t="inlineStr">
        <is>
          <t>TuckerRocky</t>
        </is>
      </c>
    </row>
    <row collapsed="false" customFormat="false" customHeight="false" hidden="false" ht="12.1" outlineLevel="0" r="5675">
      <c r="A5675" s="3" t="s">
        <f>=HYPERLINK("https://mp39851918.megaplan.ua/deals/120349/card/","20434")</f>
      </c>
      <c r="B5675" s="3" t="inlineStr">
        <is>
          <t>114-0299614-9056241</t>
        </is>
      </c>
      <c r="C5675" s="3" t="inlineStr">
        <is>
          <t>RockyMountain</t>
        </is>
      </c>
    </row>
    <row collapsed="false" customFormat="false" customHeight="false" hidden="false" ht="12.1" outlineLevel="0" r="5676">
      <c r="A5676" s="3" t="s">
        <f>=HYPERLINK("https://mp39851918.megaplan.ua/deals/120361/card/","20435")</f>
      </c>
      <c r="B5676" s="3" t="inlineStr">
        <is>
          <t>112-1993918-9433029</t>
        </is>
      </c>
      <c r="C5676" s="3" t="inlineStr">
        <is>
          <t>TuckerRocky</t>
        </is>
      </c>
    </row>
    <row collapsed="false" customFormat="false" customHeight="false" hidden="false" ht="12.1" outlineLevel="0" r="5677">
      <c r="A5677" s="3" t="s">
        <f>=HYPERLINK("https://mp39851918.megaplan.ua/deals/120370/card/","20436")</f>
      </c>
      <c r="B5677" s="3" t="inlineStr">
        <is>
          <t>114-2554555-0500234</t>
        </is>
      </c>
      <c r="C5677" s="3" t="inlineStr">
        <is>
          <t>PartsUnlimited</t>
        </is>
      </c>
    </row>
    <row collapsed="false" customFormat="false" customHeight="false" hidden="false" ht="12.1" outlineLevel="0" r="5678">
      <c r="A5678" s="3" t="s">
        <f>=HYPERLINK("https://mp39851918.megaplan.ua/deals/120372/card/","20437")</f>
      </c>
      <c r="B5678" s="3" t="inlineStr">
        <is>
          <t>112-1305220-9198635</t>
        </is>
      </c>
      <c r="C5678" s="3" t="inlineStr">
        <is>
          <t>RockyMountain</t>
        </is>
      </c>
    </row>
    <row collapsed="false" customFormat="false" customHeight="false" hidden="false" ht="12.1" outlineLevel="0" r="5679">
      <c r="A5679" s="3" t="s">
        <f>=HYPERLINK("https://mp39851918.megaplan.ua/deals/120378/card/","20438")</f>
      </c>
      <c r="B5679" s="3" t="inlineStr">
        <is>
          <t>112-1105951-4457864</t>
        </is>
      </c>
      <c r="C5679" s="3" t="inlineStr">
        <is>
          <t>Autodist</t>
        </is>
      </c>
    </row>
    <row collapsed="false" customFormat="false" customHeight="false" hidden="false" ht="12.1" outlineLevel="0" r="5680">
      <c r="A5680" s="3" t="s">
        <f>=HYPERLINK("https://mp39851918.megaplan.ua/deals/120382/card/","20439")</f>
      </c>
      <c r="B5680" s="3" t="inlineStr">
        <is>
          <t>112-9390851-7479455</t>
        </is>
      </c>
      <c r="C5680" s="3" t="inlineStr">
        <is>
          <t>Autodist</t>
        </is>
      </c>
    </row>
    <row collapsed="false" customFormat="false" customHeight="false" hidden="false" ht="12.1" outlineLevel="0" r="5681">
      <c r="A5681" s="3" t="s">
        <f>=HYPERLINK("https://mp39851918.megaplan.ua/deals/120387/card/","20440")</f>
      </c>
      <c r="B5681" s="3" t="inlineStr">
        <is>
          <t>114-3442462-0014605</t>
        </is>
      </c>
      <c r="C5681" s="3" t="inlineStr">
        <is>
          <t>RockyMountain</t>
        </is>
      </c>
    </row>
    <row collapsed="false" customFormat="false" customHeight="false" hidden="false" ht="12.1" outlineLevel="0" r="5682">
      <c r="A5682" s="3" t="s">
        <f>=HYPERLINK("https://mp39851918.megaplan.ua/deals/120408/card/","20442")</f>
      </c>
      <c r="B5682" s="3" t="inlineStr">
        <is>
          <t>114-0442259-4363455</t>
        </is>
      </c>
      <c r="C5682" s="3" t="inlineStr">
        <is>
          <t>TuckerRocky</t>
        </is>
      </c>
    </row>
    <row collapsed="false" customFormat="false" customHeight="false" hidden="false" ht="12.1" outlineLevel="0" r="5683">
      <c r="A5683" s="3" t="s">
        <f>=HYPERLINK("https://mp39851918.megaplan.ua/deals/120411/card/","20443")</f>
      </c>
      <c r="B5683" s="3" t="inlineStr">
        <is>
          <t>113-1440719-2631400</t>
        </is>
      </c>
      <c r="C5683" s="3" t="inlineStr">
        <is>
          <t>RockyMountain</t>
        </is>
      </c>
    </row>
    <row collapsed="false" customFormat="false" customHeight="false" hidden="false" ht="12.1" outlineLevel="0" r="5684">
      <c r="A5684" s="3" t="s">
        <f>=HYPERLINK("https://mp39851918.megaplan.ua/deals/120426/card/","20444")</f>
      </c>
      <c r="B5684" s="3" t="inlineStr">
        <is>
          <t>113-8925306-5837031</t>
        </is>
      </c>
      <c r="C5684" s="3" t="inlineStr">
        <is>
          <t>RockyMountain</t>
        </is>
      </c>
    </row>
    <row collapsed="false" customFormat="false" customHeight="false" hidden="false" ht="12.1" outlineLevel="0" r="5685">
      <c r="A5685" s="3" t="s">
        <f>=HYPERLINK("https://mp39851918.megaplan.ua/deals/120427/card/","20445")</f>
      </c>
      <c r="B5685" s="3" t="inlineStr">
        <is>
          <t>114-4612041-2357804</t>
        </is>
      </c>
      <c r="C5685" s="3" t="inlineStr">
        <is>
          <t>RockyMountain</t>
        </is>
      </c>
    </row>
    <row collapsed="false" customFormat="false" customHeight="false" hidden="false" ht="12.1" outlineLevel="0" r="5686">
      <c r="A5686" s="3" t="s">
        <f>=HYPERLINK("https://mp39851918.megaplan.ua/deals/120431/card/","20446")</f>
      </c>
      <c r="B5686" s="3" t="inlineStr">
        <is>
          <t>111-5611022-0134631</t>
        </is>
      </c>
      <c r="C5686" s="3" t="inlineStr">
        <is>
          <t>RockyMountain</t>
        </is>
      </c>
    </row>
    <row collapsed="false" customFormat="false" customHeight="false" hidden="false" ht="12.1" outlineLevel="0" r="5687">
      <c r="A5687" s="3" t="s">
        <f>=HYPERLINK("https://mp39851918.megaplan.ua/deals/120432/card/","20447")</f>
      </c>
      <c r="B5687" s="3" t="inlineStr">
        <is>
          <t>112-8023411-3386650</t>
        </is>
      </c>
      <c r="C5687" s="3" t="inlineStr">
        <is>
          <t>TuckerRocky</t>
        </is>
      </c>
    </row>
    <row collapsed="false" customFormat="false" customHeight="false" hidden="false" ht="12.1" outlineLevel="0" r="5688">
      <c r="A5688" s="3" t="s">
        <f>=HYPERLINK("https://mp39851918.megaplan.ua/deals/120443/card/","20449")</f>
      </c>
      <c r="B5688" s="3" t="inlineStr">
        <is>
          <t>111-8502429-4386620</t>
        </is>
      </c>
      <c r="C5688" s="3" t="inlineStr">
        <is>
          <t>Autodist</t>
        </is>
      </c>
    </row>
    <row collapsed="false" customFormat="false" customHeight="false" hidden="false" ht="12.1" outlineLevel="0" r="5689">
      <c r="A5689" s="3" t="s">
        <f>=HYPERLINK("https://mp39851918.megaplan.ua/deals/120445/card/","20450")</f>
      </c>
      <c r="B5689" s="3" t="inlineStr">
        <is>
          <t>111-8675343-6100238</t>
        </is>
      </c>
      <c r="C5689" s="3" t="inlineStr">
        <is>
          <t>RockyMountain</t>
        </is>
      </c>
    </row>
    <row collapsed="false" customFormat="false" customHeight="false" hidden="false" ht="12.1" outlineLevel="0" r="5690">
      <c r="A5690" s="3" t="s">
        <f>=HYPERLINK("https://mp39851918.megaplan.ua/deals/120454/card/","20451")</f>
      </c>
      <c r="B5690" s="3" t="inlineStr">
        <is>
          <t>111-3084952-3855437</t>
        </is>
      </c>
      <c r="C5690" s="3" t="inlineStr">
        <is>
          <t>Autodist</t>
        </is>
      </c>
    </row>
    <row collapsed="false" customFormat="false" customHeight="false" hidden="false" ht="12.1" outlineLevel="0" r="5691">
      <c r="A5691" s="3" t="s">
        <f>=HYPERLINK("https://mp39851918.megaplan.ua/deals/120458/card/","20452")</f>
      </c>
      <c r="B5691" s="3" t="inlineStr">
        <is>
          <t>113-3524938-2541010</t>
        </is>
      </c>
      <c r="C5691" s="3" t="inlineStr">
        <is>
          <t>RockyMountain</t>
        </is>
      </c>
    </row>
    <row collapsed="false" customFormat="false" customHeight="false" hidden="false" ht="12.1" outlineLevel="0" r="5692">
      <c r="A5692" s="3" t="s">
        <f>=HYPERLINK("https://mp39851918.megaplan.ua/deals/120459/card/","20453")</f>
      </c>
      <c r="B5692" s="3" t="inlineStr">
        <is>
          <t>114-0366722-4285067</t>
        </is>
      </c>
      <c r="C5692" s="3" t="inlineStr">
        <is>
          <t>RockyMountain</t>
        </is>
      </c>
    </row>
    <row collapsed="false" customFormat="false" customHeight="false" hidden="false" ht="12.1" outlineLevel="0" r="5693">
      <c r="A5693" s="3" t="s">
        <f>=HYPERLINK("https://mp39851918.megaplan.ua/deals/120468/card/","20454")</f>
      </c>
      <c r="B5693" s="3" t="inlineStr">
        <is>
          <t>114-4807388-2302626</t>
        </is>
      </c>
      <c r="C5693" s="3" t="inlineStr">
        <is>
          <t>Autodist</t>
        </is>
      </c>
    </row>
    <row collapsed="false" customFormat="false" customHeight="false" hidden="false" ht="12.1" outlineLevel="0" r="5694">
      <c r="A5694" s="3" t="s">
        <f>=HYPERLINK("https://mp39851918.megaplan.ua/deals/120481/card/","20455")</f>
      </c>
      <c r="B5694" s="3" t="inlineStr">
        <is>
          <t>113-0888886-9106616</t>
        </is>
      </c>
      <c r="C5694" s="3" t="inlineStr">
        <is>
          <t>PartsUnlimited</t>
        </is>
      </c>
    </row>
    <row collapsed="false" customFormat="false" customHeight="false" hidden="false" ht="12.1" outlineLevel="0" r="5695">
      <c r="A5695" s="3" t="s">
        <f>=HYPERLINK("https://mp39851918.megaplan.ua/deals/120485/card/","20456")</f>
      </c>
      <c r="B5695" s="3" t="inlineStr">
        <is>
          <t>111-2419249-8003429</t>
        </is>
      </c>
      <c r="C5695" s="3" t="inlineStr">
        <is>
          <t>PartsUnlimited</t>
        </is>
      </c>
    </row>
    <row collapsed="false" customFormat="false" customHeight="false" hidden="false" ht="12.1" outlineLevel="0" r="5696">
      <c r="A5696" s="3" t="s">
        <f>=HYPERLINK("https://mp39851918.megaplan.ua/deals/120489/card/","20457")</f>
      </c>
      <c r="B5696" s="3" t="inlineStr">
        <is>
          <t>113-2606043-0717017</t>
        </is>
      </c>
      <c r="C5696" s="3" t="inlineStr">
        <is>
          <t>RockyMountain</t>
        </is>
      </c>
    </row>
    <row collapsed="false" customFormat="false" customHeight="false" hidden="false" ht="12.1" outlineLevel="0" r="5697">
      <c r="A5697" s="3" t="s">
        <f>=HYPERLINK("https://mp39851918.megaplan.ua/deals/120521/card/","20459")</f>
      </c>
      <c r="B5697" s="3" t="inlineStr">
        <is>
          <t>112-5804860-4055432</t>
        </is>
      </c>
      <c r="C5697" s="3" t="inlineStr">
        <is>
          <t>Autodist</t>
        </is>
      </c>
    </row>
    <row collapsed="false" customFormat="false" customHeight="false" hidden="false" ht="12.1" outlineLevel="0" r="5698">
      <c r="A5698" s="3" t="s">
        <f>=HYPERLINK("https://mp39851918.megaplan.ua/deals/120546/card/","20461")</f>
      </c>
      <c r="B5698" s="3" t="inlineStr">
        <is>
          <t>111-6088802-9617860</t>
        </is>
      </c>
      <c r="C5698" s="3" t="inlineStr">
        <is>
          <t>TuckerRocky</t>
        </is>
      </c>
    </row>
    <row collapsed="false" customFormat="false" customHeight="false" hidden="false" ht="12.1" outlineLevel="0" r="5699">
      <c r="A5699" s="3" t="s">
        <f>=HYPERLINK("https://mp39851918.megaplan.ua/deals/120548/card/","20462")</f>
      </c>
      <c r="B5699" s="3" t="inlineStr">
        <is>
          <t>114-1113592-4830611</t>
        </is>
      </c>
      <c r="C5699" s="3" t="inlineStr">
        <is>
          <t>Autodist</t>
        </is>
      </c>
    </row>
    <row collapsed="false" customFormat="false" customHeight="false" hidden="false" ht="12.1" outlineLevel="0" r="5700">
      <c r="A5700" s="3" t="s">
        <f>=HYPERLINK("https://mp39851918.megaplan.ua/deals/120554/card/","20463")</f>
      </c>
      <c r="B5700" s="3" t="inlineStr">
        <is>
          <t>113-3344480-4494611</t>
        </is>
      </c>
      <c r="C5700" s="3" t="inlineStr">
        <is>
          <t>RockyMountain</t>
        </is>
      </c>
    </row>
    <row collapsed="false" customFormat="false" customHeight="false" hidden="false" ht="12.1" outlineLevel="0" r="5701">
      <c r="A5701" s="3" t="s">
        <f>=HYPERLINK("https://mp39851918.megaplan.ua/deals/120555/card/","20464")</f>
      </c>
      <c r="B5701" s="3" t="inlineStr">
        <is>
          <t>114-9709251-7533019</t>
        </is>
      </c>
      <c r="C5701" s="3" t="inlineStr">
        <is>
          <t>Autodist</t>
        </is>
      </c>
    </row>
    <row collapsed="false" customFormat="false" customHeight="false" hidden="false" ht="12.1" outlineLevel="0" r="5702">
      <c r="A5702" s="3" t="s">
        <f>=HYPERLINK("https://mp39851918.megaplan.ua/deals/120562/card/","20465")</f>
      </c>
      <c r="B5702" s="3" t="inlineStr">
        <is>
          <t>112-3718973-9018613</t>
        </is>
      </c>
      <c r="C5702" s="3" t="inlineStr">
        <is>
          <t>RockyMountain</t>
        </is>
      </c>
    </row>
    <row collapsed="false" customFormat="false" customHeight="false" hidden="false" ht="12.1" outlineLevel="0" r="5703">
      <c r="A5703" s="3" t="s">
        <f>=HYPERLINK("https://mp39851918.megaplan.ua/deals/120566/card/","20466")</f>
      </c>
      <c r="B5703" s="3" t="inlineStr">
        <is>
          <t>114-5343680-3338651</t>
        </is>
      </c>
      <c r="C5703" s="3" t="inlineStr">
        <is>
          <t>RockyMountain</t>
        </is>
      </c>
    </row>
    <row collapsed="false" customFormat="false" customHeight="false" hidden="false" ht="12.1" outlineLevel="0" r="5704">
      <c r="A5704" s="3" t="s">
        <f>=HYPERLINK("https://mp39851918.megaplan.ua/deals/120580/card/","20467")</f>
      </c>
      <c r="B5704" s="3" t="inlineStr">
        <is>
          <t>113-5396340-4754643</t>
        </is>
      </c>
      <c r="C5704" s="3" t="inlineStr">
        <is>
          <t>Autodist</t>
        </is>
      </c>
    </row>
    <row collapsed="false" customFormat="false" customHeight="false" hidden="false" ht="12.1" outlineLevel="0" r="5705">
      <c r="A5705" s="3" t="s">
        <f>=HYPERLINK("https://mp39851918.megaplan.ua/deals/120595/card/","20468")</f>
      </c>
      <c r="B5705" s="3" t="inlineStr">
        <is>
          <t>113-8781299-3593002</t>
        </is>
      </c>
      <c r="C5705" s="3" t="inlineStr">
        <is>
          <t>RockyMountain</t>
        </is>
      </c>
    </row>
    <row collapsed="false" customFormat="false" customHeight="false" hidden="false" ht="12.1" outlineLevel="0" r="5706">
      <c r="A5706" s="3" t="s">
        <f>=HYPERLINK("https://mp39851918.megaplan.ua/deals/120599/card/","20469")</f>
      </c>
      <c r="B5706" s="3" t="inlineStr">
        <is>
          <t>114-3540969-1655413</t>
        </is>
      </c>
      <c r="C5706" s="3" t="inlineStr">
        <is>
          <t>Autodist</t>
        </is>
      </c>
    </row>
    <row collapsed="false" customFormat="false" customHeight="false" hidden="false" ht="12.1" outlineLevel="0" r="5707">
      <c r="A5707" s="3" t="s">
        <f>=HYPERLINK("https://mp39851918.megaplan.ua/deals/120611/card/","20470")</f>
      </c>
      <c r="B5707" s="3" t="inlineStr">
        <is>
          <t>114-7214057-6413063</t>
        </is>
      </c>
      <c r="C5707" s="3" t="inlineStr">
        <is>
          <t>RockyMountain</t>
        </is>
      </c>
    </row>
    <row collapsed="false" customFormat="false" customHeight="false" hidden="false" ht="12.1" outlineLevel="0" r="5708">
      <c r="A5708" s="3" t="s">
        <f>=HYPERLINK("https://mp39851918.megaplan.ua/deals/120617/card/","20471")</f>
      </c>
      <c r="B5708" s="3" t="inlineStr">
        <is>
          <t>114-4545603-1092246</t>
        </is>
      </c>
      <c r="C5708" s="3" t="inlineStr">
        <is>
          <t>RockyMountain</t>
        </is>
      </c>
    </row>
    <row collapsed="false" customFormat="false" customHeight="false" hidden="false" ht="12.1" outlineLevel="0" r="5709">
      <c r="A5709" s="3" t="s">
        <f>=HYPERLINK("https://mp39851918.megaplan.ua/deals/120630/card/","20473")</f>
      </c>
      <c r="B5709" s="3" t="inlineStr">
        <is>
          <t>114-0477608-4406645</t>
        </is>
      </c>
      <c r="C5709" s="3" t="inlineStr">
        <is>
          <t>Autodist</t>
        </is>
      </c>
    </row>
    <row collapsed="false" customFormat="false" customHeight="false" hidden="false" ht="12.1" outlineLevel="0" r="5710">
      <c r="A5710" s="3" t="s">
        <f>=HYPERLINK("https://mp39851918.megaplan.ua/deals/120662/card/","20476")</f>
      </c>
      <c r="B5710" s="3" t="inlineStr">
        <is>
          <t>114-2595568-2713854</t>
        </is>
      </c>
      <c r="C5710" s="3" t="inlineStr">
        <is>
          <t>TuckerRocky</t>
        </is>
      </c>
    </row>
    <row collapsed="false" customFormat="false" customHeight="false" hidden="false" ht="12.1" outlineLevel="0" r="5711">
      <c r="A5711" s="3" t="s">
        <f>=HYPERLINK("https://mp39851918.megaplan.ua/deals/120683/card/","20477")</f>
      </c>
      <c r="B5711" s="3" t="inlineStr">
        <is>
          <t>113-3938501-7056255</t>
        </is>
      </c>
      <c r="C5711" s="3" t="inlineStr">
        <is>
          <t>Autodist</t>
        </is>
      </c>
    </row>
    <row collapsed="false" customFormat="false" customHeight="false" hidden="false" ht="12.1" outlineLevel="0" r="5712">
      <c r="A5712" s="3" t="s">
        <f>=HYPERLINK("https://mp39851918.megaplan.ua/deals/120685/card/","20478")</f>
      </c>
      <c r="B5712" s="3" t="inlineStr">
        <is>
          <t>112-1298172-6103432</t>
        </is>
      </c>
      <c r="C5712" s="3" t="inlineStr">
        <is>
          <t>Autodist</t>
        </is>
      </c>
    </row>
    <row collapsed="false" customFormat="false" customHeight="false" hidden="false" ht="12.1" outlineLevel="0" r="5713">
      <c r="A5713" s="3" t="s">
        <f>=HYPERLINK("https://mp39851918.megaplan.ua/deals/120703/card/","20480")</f>
      </c>
      <c r="B5713" s="3" t="inlineStr">
        <is>
          <t>112-3498763-6068253</t>
        </is>
      </c>
      <c r="C5713" s="3" t="inlineStr">
        <is>
          <t>RockyMountain</t>
        </is>
      </c>
    </row>
    <row collapsed="false" customFormat="false" customHeight="false" hidden="false" ht="12.1" outlineLevel="0" r="5714">
      <c r="A5714" s="3" t="s">
        <f>=HYPERLINK("https://mp39851918.megaplan.ua/deals/120704/card/","20481")</f>
      </c>
      <c r="B5714" s="3" t="inlineStr">
        <is>
          <t>112-7381231-7800241</t>
        </is>
      </c>
      <c r="C5714" s="3" t="inlineStr">
        <is>
          <t>RockyMountain</t>
        </is>
      </c>
    </row>
    <row collapsed="false" customFormat="false" customHeight="false" hidden="false" ht="12.1" outlineLevel="0" r="5715">
      <c r="A5715" s="3" t="s">
        <f>=HYPERLINK("https://mp39851918.megaplan.ua/deals/120712/card/","20482")</f>
      </c>
      <c r="B5715" s="3" t="inlineStr">
        <is>
          <t>114-7622047-2121054</t>
        </is>
      </c>
      <c r="C5715" s="3" t="inlineStr">
        <is>
          <t>RockyMountain</t>
        </is>
      </c>
    </row>
    <row collapsed="false" customFormat="false" customHeight="false" hidden="false" ht="12.1" outlineLevel="0" r="5716">
      <c r="A5716" s="3" t="s">
        <f>=HYPERLINK("https://mp39851918.megaplan.ua/deals/120718/card/","20483")</f>
      </c>
      <c r="B5716" s="3" t="inlineStr">
        <is>
          <t>113-5748432-2115446</t>
        </is>
      </c>
      <c r="C5716" s="3" t="inlineStr">
        <is>
          <t>RockyMountain</t>
        </is>
      </c>
    </row>
    <row collapsed="false" customFormat="false" customHeight="false" hidden="false" ht="12.1" outlineLevel="0" r="5717">
      <c r="A5717" s="3" t="s">
        <f>=HYPERLINK("https://mp39851918.megaplan.ua/deals/120719/card/","20484")</f>
      </c>
      <c r="B5717" s="3" t="inlineStr">
        <is>
          <t>113-6807058-3196220</t>
        </is>
      </c>
      <c r="C5717" s="3" t="inlineStr">
        <is>
          <t>RockyMountain</t>
        </is>
      </c>
    </row>
    <row collapsed="false" customFormat="false" customHeight="false" hidden="false" ht="12.1" outlineLevel="0" r="5718">
      <c r="A5718" s="3" t="s">
        <f>=HYPERLINK("https://mp39851918.megaplan.ua/deals/120724/card/","20485")</f>
      </c>
      <c r="B5718" s="3" t="inlineStr">
        <is>
          <t>112-9786744-0078664</t>
        </is>
      </c>
      <c r="C5718" s="3" t="inlineStr">
        <is>
          <t>RockyMountain</t>
        </is>
      </c>
    </row>
    <row collapsed="false" customFormat="false" customHeight="false" hidden="false" ht="12.1" outlineLevel="0" r="5719">
      <c r="A5719" s="3" t="s">
        <f>=HYPERLINK("https://mp39851918.megaplan.ua/deals/120734/card/","20486")</f>
      </c>
      <c r="B5719" s="3" t="inlineStr">
        <is>
          <t>112-1571235-5285022</t>
        </is>
      </c>
      <c r="C5719" s="3" t="inlineStr">
        <is>
          <t>Autodist</t>
        </is>
      </c>
    </row>
    <row collapsed="false" customFormat="false" customHeight="false" hidden="false" ht="12.1" outlineLevel="0" r="5720">
      <c r="A5720" s="3" t="s">
        <f>=HYPERLINK("https://mp39851918.megaplan.ua/deals/120758/card/","20487")</f>
      </c>
      <c r="B5720" s="3" t="inlineStr">
        <is>
          <t>112-1194899-9441061</t>
        </is>
      </c>
      <c r="C5720" s="3" t="inlineStr">
        <is>
          <t>Autodist</t>
        </is>
      </c>
    </row>
    <row collapsed="false" customFormat="false" customHeight="false" hidden="false" ht="12.1" outlineLevel="0" r="5721">
      <c r="A5721" s="3" t="s">
        <f>=HYPERLINK("https://mp39851918.megaplan.ua/deals/120759/card/","20488")</f>
      </c>
      <c r="B5721" s="3" t="inlineStr">
        <is>
          <t>111-7094198-1331444</t>
        </is>
      </c>
      <c r="C5721" s="3" t="inlineStr">
        <is>
          <t>RockyMountain</t>
        </is>
      </c>
    </row>
    <row collapsed="false" customFormat="false" customHeight="false" hidden="false" ht="12.1" outlineLevel="0" r="5722">
      <c r="A5722" s="3" t="s">
        <f>=HYPERLINK("https://mp39851918.megaplan.ua/deals/120761/card/","20489")</f>
      </c>
      <c r="B5722" s="3" t="inlineStr">
        <is>
          <t>112-5902107-0189040</t>
        </is>
      </c>
      <c r="C5722" s="3" t="inlineStr">
        <is>
          <t>TuckerRocky</t>
        </is>
      </c>
    </row>
    <row collapsed="false" customFormat="false" customHeight="false" hidden="false" ht="12.1" outlineLevel="0" r="5723">
      <c r="A5723" s="3" t="s">
        <f>=HYPERLINK("https://mp39851918.megaplan.ua/deals/120781/card/","20491")</f>
      </c>
      <c r="B5723" s="3" t="inlineStr">
        <is>
          <t>111-3760457-3411415</t>
        </is>
      </c>
      <c r="C5723" s="3" t="inlineStr">
        <is>
          <t>RockyMountain</t>
        </is>
      </c>
    </row>
    <row collapsed="false" customFormat="false" customHeight="false" hidden="false" ht="12.1" outlineLevel="0" r="5724">
      <c r="A5724" s="3" t="s">
        <f>=HYPERLINK("https://mp39851918.megaplan.ua/deals/120782/card/","20492")</f>
      </c>
      <c r="B5724" s="3" t="inlineStr">
        <is>
          <t>112-0839289-3992241</t>
        </is>
      </c>
      <c r="C5724" s="3" t="inlineStr">
        <is>
          <t>RockyMountain</t>
        </is>
      </c>
    </row>
    <row collapsed="false" customFormat="false" customHeight="false" hidden="false" ht="12.1" outlineLevel="0" r="5725">
      <c r="A5725" s="3" t="s">
        <f>=HYPERLINK("https://mp39851918.megaplan.ua/deals/120803/card/","20494")</f>
      </c>
      <c r="B5725" s="3" t="inlineStr">
        <is>
          <t>112-5781411-9206605</t>
        </is>
      </c>
      <c r="C5725" s="3" t="inlineStr">
        <is>
          <t>Autodist</t>
        </is>
      </c>
    </row>
    <row collapsed="false" customFormat="false" customHeight="false" hidden="false" ht="12.1" outlineLevel="0" r="5726">
      <c r="A5726" s="3" t="s">
        <f>=HYPERLINK("https://mp39851918.megaplan.ua/deals/120804/card/","20495")</f>
      </c>
      <c r="B5726" s="3" t="inlineStr">
        <is>
          <t>113-3215094-8927455</t>
        </is>
      </c>
      <c r="C5726" s="3" t="inlineStr">
        <is>
          <t>Autodist</t>
        </is>
      </c>
    </row>
    <row collapsed="false" customFormat="false" customHeight="false" hidden="false" ht="12.1" outlineLevel="0" r="5727">
      <c r="A5727" s="3" t="s">
        <f>=HYPERLINK("https://mp39851918.megaplan.ua/deals/120807/card/","20496")</f>
      </c>
      <c r="B5727" s="3" t="inlineStr">
        <is>
          <t>113-4905337-8213010</t>
        </is>
      </c>
      <c r="C5727" s="3" t="inlineStr">
        <is>
          <t>RockyMountain</t>
        </is>
      </c>
    </row>
    <row collapsed="false" customFormat="false" customHeight="false" hidden="false" ht="12.1" outlineLevel="0" r="5728">
      <c r="A5728" s="3" t="s">
        <f>=HYPERLINK("https://mp39851918.megaplan.ua/deals/120829/card/","20497")</f>
      </c>
      <c r="B5728" s="3" t="inlineStr">
        <is>
          <t>113-1353970-6446629</t>
        </is>
      </c>
      <c r="C5728" s="3" t="inlineStr">
        <is>
          <t>RockyMountain</t>
        </is>
      </c>
    </row>
    <row collapsed="false" customFormat="false" customHeight="false" hidden="false" ht="12.1" outlineLevel="0" r="5729">
      <c r="A5729" s="3" t="s">
        <f>=HYPERLINK("https://mp39851918.megaplan.ua/deals/120835/card/","20498")</f>
      </c>
      <c r="B5729" s="3" t="inlineStr">
        <is>
          <t>111-7696238-6428251</t>
        </is>
      </c>
      <c r="C5729" s="3" t="inlineStr">
        <is>
          <t>RockyMountain</t>
        </is>
      </c>
    </row>
    <row collapsed="false" customFormat="false" customHeight="false" hidden="false" ht="12.1" outlineLevel="0" r="5730">
      <c r="A5730" s="3" t="s">
        <f>=HYPERLINK("https://mp39851918.megaplan.ua/deals/120845/card/","20499")</f>
      </c>
      <c r="B5730" s="3" t="inlineStr">
        <is>
          <t>111-9098770-4446639</t>
        </is>
      </c>
      <c r="C5730" s="3" t="inlineStr">
        <is>
          <t>RockyMountain</t>
        </is>
      </c>
    </row>
    <row collapsed="false" customFormat="false" customHeight="false" hidden="false" ht="12.1" outlineLevel="0" r="5731">
      <c r="A5731" s="3" t="s">
        <f>=HYPERLINK("https://mp39851918.megaplan.ua/deals/120847/card/","20500")</f>
      </c>
      <c r="B5731" s="3" t="inlineStr">
        <is>
          <t>113-2053196-7371459</t>
        </is>
      </c>
      <c r="C5731" s="3" t="inlineStr">
        <is>
          <t>TuckerRocky</t>
        </is>
      </c>
    </row>
    <row collapsed="false" customFormat="false" customHeight="false" hidden="false" ht="12.1" outlineLevel="0" r="5732">
      <c r="A5732" s="3" t="s">
        <f>=HYPERLINK("https://mp39851918.megaplan.ua/deals/120851/card/","20501")</f>
      </c>
      <c r="B5732" s="3" t="inlineStr">
        <is>
          <t>111-9752473-8096254</t>
        </is>
      </c>
      <c r="C5732" s="3" t="inlineStr">
        <is>
          <t>RockyMountain</t>
        </is>
      </c>
    </row>
    <row collapsed="false" customFormat="false" customHeight="false" hidden="false" ht="12.1" outlineLevel="0" r="5733">
      <c r="A5733" s="3" t="s">
        <f>=HYPERLINK("https://mp39851918.megaplan.ua/deals/120853/card/","20502")</f>
      </c>
      <c r="B5733" s="3" t="inlineStr">
        <is>
          <t>114-7196475-0936206</t>
        </is>
      </c>
      <c r="C5733" s="3" t="inlineStr">
        <is>
          <t>Autodist</t>
        </is>
      </c>
    </row>
    <row collapsed="false" customFormat="false" customHeight="false" hidden="false" ht="12.1" outlineLevel="0" r="5734">
      <c r="A5734" s="3" t="s">
        <f>=HYPERLINK("https://mp39851918.megaplan.ua/deals/120871/card/","20505")</f>
      </c>
      <c r="B5734" s="3" t="inlineStr">
        <is>
          <t>113-7014500-4474639</t>
        </is>
      </c>
      <c r="C5734" s="3" t="inlineStr">
        <is>
          <t>TuckerRocky</t>
        </is>
      </c>
    </row>
    <row collapsed="false" customFormat="false" customHeight="false" hidden="false" ht="12.1" outlineLevel="0" r="5735">
      <c r="A5735" s="3" t="s">
        <f>=HYPERLINK("https://mp39851918.megaplan.ua/deals/120880/card/","20506")</f>
      </c>
      <c r="B5735" s="3" t="inlineStr">
        <is>
          <t>112-9773922-3538656</t>
        </is>
      </c>
      <c r="C5735" s="3" t="inlineStr">
        <is>
          <t>RockyMountain</t>
        </is>
      </c>
    </row>
    <row collapsed="false" customFormat="false" customHeight="false" hidden="false" ht="12.1" outlineLevel="0" r="5736">
      <c r="A5736" s="3" t="s">
        <f>=HYPERLINK("https://mp39851918.megaplan.ua/deals/120885/card/","20507")</f>
      </c>
      <c r="B5736" s="3" t="inlineStr">
        <is>
          <t>114-6918883-9914629</t>
        </is>
      </c>
      <c r="C5736" s="3" t="inlineStr">
        <is>
          <t>Autodist</t>
        </is>
      </c>
    </row>
    <row collapsed="false" customFormat="false" customHeight="false" hidden="false" ht="12.1" outlineLevel="0" r="5737">
      <c r="A5737" s="3" t="s">
        <f>=HYPERLINK("https://mp39851918.megaplan.ua/deals/120905/card/","20509")</f>
      </c>
      <c r="B5737" s="3" t="inlineStr">
        <is>
          <t>112-5855042-3401804</t>
        </is>
      </c>
      <c r="C5737" s="3" t="inlineStr">
        <is>
          <t>RockyMountain</t>
        </is>
      </c>
    </row>
    <row collapsed="false" customFormat="false" customHeight="false" hidden="false" ht="12.1" outlineLevel="0" r="5738">
      <c r="A5738" s="3" t="s">
        <f>=HYPERLINK("https://mp39851918.megaplan.ua/deals/120912/card/","20510")</f>
      </c>
      <c r="B5738" s="3" t="inlineStr">
        <is>
          <t>114-2597162-3141814</t>
        </is>
      </c>
      <c r="C5738" s="3" t="inlineStr">
        <is>
          <t>TuckerRocky</t>
        </is>
      </c>
    </row>
    <row collapsed="false" customFormat="false" customHeight="false" hidden="false" ht="12.1" outlineLevel="0" r="5739">
      <c r="A5739" s="3" t="s">
        <f>=HYPERLINK("https://mp39851918.megaplan.ua/deals/120913/card/","20511")</f>
      </c>
      <c r="B5739" s="3" t="inlineStr">
        <is>
          <t>114-7827558-6929025</t>
        </is>
      </c>
      <c r="C5739" s="3" t="inlineStr">
        <is>
          <t>TuckerRocky</t>
        </is>
      </c>
    </row>
    <row collapsed="false" customFormat="false" customHeight="false" hidden="false" ht="12.1" outlineLevel="0" r="5740">
      <c r="A5740" s="3" t="s">
        <f>=HYPERLINK("https://mp39851918.megaplan.ua/deals/120920/card/","20512")</f>
      </c>
      <c r="B5740" s="3" t="inlineStr">
        <is>
          <t>112-1341431-8449810</t>
        </is>
      </c>
      <c r="C5740" s="3" t="inlineStr">
        <is>
          <t>Autodist</t>
        </is>
      </c>
    </row>
    <row collapsed="false" customFormat="false" customHeight="false" hidden="false" ht="12.1" outlineLevel="0" r="5741">
      <c r="A5741" s="3" t="s">
        <f>=HYPERLINK("https://mp39851918.megaplan.ua/deals/120921/card/","20513")</f>
      </c>
      <c r="B5741" s="3" t="inlineStr">
        <is>
          <t>113-0957609-7229815</t>
        </is>
      </c>
      <c r="C5741" s="3" t="inlineStr">
        <is>
          <t>RockyMountain</t>
        </is>
      </c>
    </row>
    <row collapsed="false" customFormat="false" customHeight="false" hidden="false" ht="12.1" outlineLevel="0" r="5742">
      <c r="A5742" s="3" t="s">
        <f>=HYPERLINK("https://mp39851918.megaplan.ua/deals/120922/card/","20514")</f>
      </c>
      <c r="B5742" s="3" t="inlineStr">
        <is>
          <t>113-0673947-5796253</t>
        </is>
      </c>
      <c r="C5742" s="3" t="inlineStr">
        <is>
          <t>TuckerRocky</t>
        </is>
      </c>
    </row>
    <row collapsed="false" customFormat="false" customHeight="false" hidden="false" ht="12.1" outlineLevel="0" r="5743">
      <c r="A5743" s="3" t="s">
        <f>=HYPERLINK("https://mp39851918.megaplan.ua/deals/120923/card/","20515")</f>
      </c>
      <c r="B5743" s="3" t="inlineStr">
        <is>
          <t>112-6895208-6562616</t>
        </is>
      </c>
      <c r="C5743" s="3" t="inlineStr">
        <is>
          <t>PartsUnlimited</t>
        </is>
      </c>
    </row>
    <row collapsed="false" customFormat="false" customHeight="false" hidden="false" ht="12.1" outlineLevel="0" r="5744">
      <c r="A5744" s="3" t="s">
        <f>=HYPERLINK("https://mp39851918.megaplan.ua/deals/120924/card/","20516")</f>
      </c>
      <c r="B5744" s="3" t="inlineStr">
        <is>
          <t>114-5468078-9073002</t>
        </is>
      </c>
      <c r="C5744" s="3" t="inlineStr">
        <is>
          <t>RockyMountain</t>
        </is>
      </c>
    </row>
    <row collapsed="false" customFormat="false" customHeight="false" hidden="false" ht="12.1" outlineLevel="0" r="5745">
      <c r="A5745" s="3" t="s">
        <f>=HYPERLINK("https://mp39851918.megaplan.ua/deals/120925/card/","20517")</f>
      </c>
      <c r="B5745" s="3" t="inlineStr">
        <is>
          <t>112-6895208-6562616</t>
        </is>
      </c>
      <c r="C5745" s="3" t="inlineStr">
        <is>
          <t>TuckerRocky</t>
        </is>
      </c>
    </row>
    <row collapsed="false" customFormat="false" customHeight="false" hidden="false" ht="12.1" outlineLevel="0" r="5746">
      <c r="A5746" s="3" t="s">
        <f>=HYPERLINK("https://mp39851918.megaplan.ua/deals/120927/card/","20518")</f>
      </c>
      <c r="B5746" s="3" t="inlineStr">
        <is>
          <t>114-0180512-7869075</t>
        </is>
      </c>
      <c r="C5746" s="3" t="inlineStr">
        <is>
          <t>TuckerRocky</t>
        </is>
      </c>
    </row>
    <row collapsed="false" customFormat="false" customHeight="false" hidden="false" ht="12.1" outlineLevel="0" r="5747">
      <c r="A5747" s="3" t="s">
        <f>=HYPERLINK("https://mp39851918.megaplan.ua/deals/120929/card/","20519")</f>
      </c>
      <c r="B5747" s="3" t="inlineStr">
        <is>
          <t>114-8155338-2696222</t>
        </is>
      </c>
      <c r="C5747" s="3" t="inlineStr">
        <is>
          <t>Autodist</t>
        </is>
      </c>
    </row>
    <row collapsed="false" customFormat="false" customHeight="false" hidden="false" ht="12.1" outlineLevel="0" r="5748">
      <c r="A5748" s="3" t="s">
        <f>=HYPERLINK("https://mp39851918.megaplan.ua/deals/120930/card/","20520")</f>
      </c>
      <c r="B5748" s="3" t="inlineStr">
        <is>
          <t>114-8155338-2696222</t>
        </is>
      </c>
      <c r="C5748" s="3" t="inlineStr">
        <is>
          <t>RockyMountain</t>
        </is>
      </c>
    </row>
    <row collapsed="false" customFormat="false" customHeight="false" hidden="false" ht="12.1" outlineLevel="0" r="5749">
      <c r="A5749" s="3" t="s">
        <f>=HYPERLINK("https://mp39851918.megaplan.ua/deals/120939/card/","20521")</f>
      </c>
      <c r="B5749" s="3" t="inlineStr">
        <is>
          <t>112-4229191-4755407</t>
        </is>
      </c>
      <c r="C5749" s="3" t="inlineStr">
        <is>
          <t>TuckerRocky</t>
        </is>
      </c>
    </row>
    <row collapsed="false" customFormat="false" customHeight="false" hidden="false" ht="12.1" outlineLevel="0" r="5750">
      <c r="A5750" s="3" t="s">
        <f>=HYPERLINK("https://mp39851918.megaplan.ua/deals/120941/card/","20522")</f>
      </c>
      <c r="B5750" s="3" t="inlineStr">
        <is>
          <t>111-1439611-6904224</t>
        </is>
      </c>
      <c r="C5750" s="3" t="inlineStr">
        <is>
          <t>TuckerRocky</t>
        </is>
      </c>
    </row>
    <row collapsed="false" customFormat="false" customHeight="false" hidden="false" ht="12.1" outlineLevel="0" r="5751">
      <c r="A5751" s="3" t="s">
        <f>=HYPERLINK("https://mp39851918.megaplan.ua/deals/120942/card/","20523")</f>
      </c>
      <c r="B5751" s="3" t="inlineStr">
        <is>
          <t>112-9586003-7670642</t>
        </is>
      </c>
      <c r="C5751" s="3" t="inlineStr">
        <is>
          <t>TuckerRocky</t>
        </is>
      </c>
    </row>
    <row collapsed="false" customFormat="false" customHeight="false" hidden="false" ht="12.1" outlineLevel="0" r="5752">
      <c r="A5752" s="3" t="s">
        <f>=HYPERLINK("https://mp39851918.megaplan.ua/deals/120943/card/","20524")</f>
      </c>
      <c r="B5752" s="3" t="inlineStr">
        <is>
          <t>114-0070597-3535477</t>
        </is>
      </c>
      <c r="C5752" s="3" t="inlineStr">
        <is>
          <t>TuckerRocky</t>
        </is>
      </c>
    </row>
    <row collapsed="false" customFormat="false" customHeight="false" hidden="false" ht="12.1" outlineLevel="0" r="5753">
      <c r="A5753" s="3" t="s">
        <f>=HYPERLINK("https://mp39851918.megaplan.ua/deals/120944/card/","20525")</f>
      </c>
      <c r="B5753" s="3" t="inlineStr">
        <is>
          <t>114-7544747-2770662</t>
        </is>
      </c>
      <c r="C5753" s="3" t="inlineStr">
        <is>
          <t>TuckerRocky</t>
        </is>
      </c>
    </row>
    <row collapsed="false" customFormat="false" customHeight="false" hidden="false" ht="12.1" outlineLevel="0" r="5754">
      <c r="A5754" s="3" t="s">
        <f>=HYPERLINK("https://mp39851918.megaplan.ua/deals/120950/card/","20526")</f>
      </c>
      <c r="B5754" s="3" t="inlineStr">
        <is>
          <t>114-8390533-9407463</t>
        </is>
      </c>
      <c r="C5754" s="3" t="inlineStr">
        <is>
          <t>TuckerRocky</t>
        </is>
      </c>
    </row>
    <row collapsed="false" customFormat="false" customHeight="false" hidden="false" ht="12.1" outlineLevel="0" r="5755">
      <c r="A5755" s="3" t="s">
        <f>=HYPERLINK("https://mp39851918.megaplan.ua/deals/120951/card/","20527")</f>
      </c>
      <c r="B5755" s="3" t="inlineStr">
        <is>
          <t>114-6153127-2076252</t>
        </is>
      </c>
      <c r="C5755" s="3" t="inlineStr">
        <is>
          <t>RockyMountain</t>
        </is>
      </c>
    </row>
    <row collapsed="false" customFormat="false" customHeight="false" hidden="false" ht="12.1" outlineLevel="0" r="5756">
      <c r="A5756" s="3" t="s">
        <f>=HYPERLINK("https://mp39851918.megaplan.ua/deals/120957/card/","20528")</f>
      </c>
      <c r="B5756" s="3" t="inlineStr">
        <is>
          <t>111-2417585-5701064</t>
        </is>
      </c>
      <c r="C5756" s="3" t="inlineStr">
        <is>
          <t>RockyMountain</t>
        </is>
      </c>
    </row>
    <row collapsed="false" customFormat="false" customHeight="false" hidden="false" ht="12.1" outlineLevel="0" r="5757">
      <c r="A5757" s="3" t="s">
        <f>=HYPERLINK("https://mp39851918.megaplan.ua/deals/120961/card/","20529")</f>
      </c>
      <c r="B5757" s="3" t="inlineStr">
        <is>
          <t>111-8270811-7812244</t>
        </is>
      </c>
      <c r="C5757" s="3" t="inlineStr">
        <is>
          <t>TuckerRocky</t>
        </is>
      </c>
    </row>
    <row collapsed="false" customFormat="false" customHeight="false" hidden="false" ht="12.1" outlineLevel="0" r="5758">
      <c r="A5758" s="3" t="s">
        <f>=HYPERLINK("https://mp39851918.megaplan.ua/deals/120963/card/","20530")</f>
      </c>
      <c r="B5758" s="3" t="inlineStr">
        <is>
          <t>111-1396050-5474611</t>
        </is>
      </c>
      <c r="C5758" s="3" t="inlineStr">
        <is>
          <t>Autodist</t>
        </is>
      </c>
    </row>
    <row collapsed="false" customFormat="false" customHeight="false" hidden="false" ht="12.1" outlineLevel="0" r="5759">
      <c r="A5759" s="3" t="s">
        <f>=HYPERLINK("https://mp39851918.megaplan.ua/deals/120969/card/","20531")</f>
      </c>
      <c r="B5759" s="3" t="inlineStr">
        <is>
          <t>113-4858471-6719465</t>
        </is>
      </c>
      <c r="C5759" s="3" t="inlineStr">
        <is>
          <t>TuckerRocky</t>
        </is>
      </c>
    </row>
    <row collapsed="false" customFormat="false" customHeight="false" hidden="false" ht="12.1" outlineLevel="0" r="5760">
      <c r="A5760" s="3" t="s">
        <f>=HYPERLINK("https://mp39851918.megaplan.ua/deals/120971/card/","20532")</f>
      </c>
      <c r="B5760" s="3" t="inlineStr">
        <is>
          <t>114-2998446-0030623</t>
        </is>
      </c>
      <c r="C5760" s="3" t="inlineStr">
        <is>
          <t>TuckerRocky</t>
        </is>
      </c>
    </row>
    <row collapsed="false" customFormat="false" customHeight="false" hidden="false" ht="12.1" outlineLevel="0" r="5761">
      <c r="A5761" s="3" t="s">
        <f>=HYPERLINK("https://mp39851918.megaplan.ua/deals/120973/card/","20533")</f>
      </c>
      <c r="B5761" s="3" t="inlineStr">
        <is>
          <t>111-7972739-8958659</t>
        </is>
      </c>
      <c r="C5761" s="3" t="inlineStr">
        <is>
          <t>RockyMountain</t>
        </is>
      </c>
    </row>
    <row collapsed="false" customFormat="false" customHeight="false" hidden="false" ht="12.1" outlineLevel="0" r="5762">
      <c r="A5762" s="3" t="s">
        <f>=HYPERLINK("https://mp39851918.megaplan.ua/deals/120985/card/","20536")</f>
      </c>
      <c r="B5762" s="3" t="inlineStr">
        <is>
          <t>114-9816471-0466632</t>
        </is>
      </c>
      <c r="C5762" s="3" t="inlineStr">
        <is>
          <t>RockyMountain</t>
        </is>
      </c>
    </row>
    <row collapsed="false" customFormat="false" customHeight="false" hidden="false" ht="12.1" outlineLevel="0" r="5763">
      <c r="A5763" s="3" t="s">
        <f>=HYPERLINK("https://mp39851918.megaplan.ua/deals/121014/card/","20537")</f>
      </c>
      <c r="B5763" s="3" t="inlineStr">
        <is>
          <t>114-5153983-6949052</t>
        </is>
      </c>
      <c r="C5763" s="3" t="inlineStr">
        <is>
          <t>TuckerRocky</t>
        </is>
      </c>
    </row>
    <row collapsed="false" customFormat="false" customHeight="false" hidden="false" ht="12.1" outlineLevel="0" r="5764">
      <c r="A5764" s="3" t="s">
        <f>=HYPERLINK("https://mp39851918.megaplan.ua/deals/121021/card/","20538")</f>
      </c>
      <c r="B5764" s="3" t="inlineStr">
        <is>
          <t>114-3926956-6053841</t>
        </is>
      </c>
      <c r="C5764" s="3" t="inlineStr">
        <is>
          <t>RockyMountain</t>
        </is>
      </c>
    </row>
    <row collapsed="false" customFormat="false" customHeight="false" hidden="false" ht="12.1" outlineLevel="0" r="5765">
      <c r="A5765" s="3" t="s">
        <f>=HYPERLINK("https://mp39851918.megaplan.ua/deals/121028/card/","20539")</f>
      </c>
      <c r="B5765" s="3" t="inlineStr">
        <is>
          <t>113-0544324-6521021</t>
        </is>
      </c>
      <c r="C5765" s="3" t="inlineStr">
        <is>
          <t>RockyMountain</t>
        </is>
      </c>
    </row>
    <row collapsed="false" customFormat="false" customHeight="false" hidden="false" ht="12.1" outlineLevel="0" r="5766">
      <c r="A5766" s="3" t="s">
        <f>=HYPERLINK("https://mp39851918.megaplan.ua/deals/121029/card/","20540")</f>
      </c>
      <c r="B5766" s="3" t="inlineStr">
        <is>
          <t>111-9597707-6560242</t>
        </is>
      </c>
      <c r="C5766" s="3" t="inlineStr">
        <is>
          <t>Autodist</t>
        </is>
      </c>
    </row>
    <row collapsed="false" customFormat="false" customHeight="false" hidden="false" ht="12.1" outlineLevel="0" r="5767">
      <c r="A5767" s="3" t="s">
        <f>=HYPERLINK("https://mp39851918.megaplan.ua/deals/121039/card/","20542")</f>
      </c>
      <c r="B5767" s="3" t="inlineStr">
        <is>
          <t>112-5450483-5754626</t>
        </is>
      </c>
      <c r="C5767" s="3" t="inlineStr">
        <is>
          <t>RockyMountain</t>
        </is>
      </c>
    </row>
    <row collapsed="false" customFormat="false" customHeight="false" hidden="false" ht="12.1" outlineLevel="0" r="5768">
      <c r="A5768" s="3" t="s">
        <f>=HYPERLINK("https://mp39851918.megaplan.ua/deals/121046/card/","20543")</f>
      </c>
      <c r="B5768" s="3" t="inlineStr">
        <is>
          <t>114-0411832-8046649</t>
        </is>
      </c>
      <c r="C5768" s="3" t="inlineStr">
        <is>
          <t>TuckerRocky</t>
        </is>
      </c>
    </row>
    <row collapsed="false" customFormat="false" customHeight="false" hidden="false" ht="12.1" outlineLevel="0" r="5769">
      <c r="A5769" s="3" t="s">
        <f>=HYPERLINK("https://mp39851918.megaplan.ua/deals/121072/card/","20545")</f>
      </c>
      <c r="B5769" s="3" t="inlineStr">
        <is>
          <t>113-0139736-5687425</t>
        </is>
      </c>
      <c r="C5769" s="3" t="inlineStr">
        <is>
          <t>RockyMountain</t>
        </is>
      </c>
    </row>
    <row collapsed="false" customFormat="false" customHeight="false" hidden="false" ht="12.1" outlineLevel="0" r="5770">
      <c r="A5770" s="3" t="s">
        <f>=HYPERLINK("https://mp39851918.megaplan.ua/deals/121081/card/","20546")</f>
      </c>
      <c r="B5770" s="3" t="inlineStr">
        <is>
          <t>114-0922646-0041038</t>
        </is>
      </c>
      <c r="C5770" s="3" t="inlineStr">
        <is>
          <t>TuckerRocky</t>
        </is>
      </c>
    </row>
    <row collapsed="false" customFormat="false" customHeight="false" hidden="false" ht="12.1" outlineLevel="0" r="5771">
      <c r="A5771" s="3" t="s">
        <f>=HYPERLINK("https://mp39851918.megaplan.ua/deals/121088/card/","20548")</f>
      </c>
      <c r="B5771" s="3" t="inlineStr">
        <is>
          <t>113-5136896-7261028</t>
        </is>
      </c>
      <c r="C5771" s="3" t="inlineStr">
        <is>
          <t>Autodist</t>
        </is>
      </c>
    </row>
    <row collapsed="false" customFormat="false" customHeight="false" hidden="false" ht="12.1" outlineLevel="0" r="5772">
      <c r="A5772" s="3" t="s">
        <f>=HYPERLINK("https://mp39851918.megaplan.ua/deals/121089/card/","20549")</f>
      </c>
      <c r="B5772" s="3" t="inlineStr">
        <is>
          <t>114-8809424-7637036</t>
        </is>
      </c>
      <c r="C5772" s="3" t="inlineStr">
        <is>
          <t>PartsUnlimited</t>
        </is>
      </c>
    </row>
    <row collapsed="false" customFormat="false" customHeight="false" hidden="false" ht="12.1" outlineLevel="0" r="5773">
      <c r="A5773" s="3" t="s">
        <f>=HYPERLINK("https://mp39851918.megaplan.ua/deals/121105/card/","20550")</f>
      </c>
      <c r="B5773" s="3" t="inlineStr">
        <is>
          <t>111-2850217-9637036</t>
        </is>
      </c>
      <c r="C5773" s="3" t="inlineStr">
        <is>
          <t>Autodist</t>
        </is>
      </c>
    </row>
    <row collapsed="false" customFormat="false" customHeight="false" hidden="false" ht="12.1" outlineLevel="0" r="5774">
      <c r="A5774" s="3" t="s">
        <f>=HYPERLINK("https://mp39851918.megaplan.ua/deals/121107/card/","20551")</f>
      </c>
      <c r="B5774" s="3" t="inlineStr">
        <is>
          <t>113-1273616-2764240</t>
        </is>
      </c>
      <c r="C5774" s="3" t="inlineStr">
        <is>
          <t>Autodist</t>
        </is>
      </c>
    </row>
    <row collapsed="false" customFormat="false" customHeight="false" hidden="false" ht="12.1" outlineLevel="0" r="5775">
      <c r="A5775" s="3" t="s">
        <f>=HYPERLINK("https://mp39851918.megaplan.ua/deals/121112/card/","20552")</f>
      </c>
      <c r="B5775" s="3" t="inlineStr">
        <is>
          <t>111-1447467-2509028</t>
        </is>
      </c>
      <c r="C5775" s="3" t="inlineStr">
        <is>
          <t>TuckerRocky</t>
        </is>
      </c>
    </row>
    <row collapsed="false" customFormat="false" customHeight="false" hidden="false" ht="12.1" outlineLevel="0" r="5776">
      <c r="A5776" s="3" t="s">
        <f>=HYPERLINK("https://mp39851918.megaplan.ua/deals/121122/card/","20553")</f>
      </c>
      <c r="B5776" s="3" t="inlineStr">
        <is>
          <t>114-4161079-9585065</t>
        </is>
      </c>
      <c r="C5776" s="3" t="inlineStr">
        <is>
          <t>RockyMountain</t>
        </is>
      </c>
    </row>
    <row collapsed="false" customFormat="false" customHeight="false" hidden="false" ht="12.1" outlineLevel="0" r="5777">
      <c r="A5777" s="3" t="s">
        <f>=HYPERLINK("https://mp39851918.megaplan.ua/deals/121123/card/","20554")</f>
      </c>
      <c r="B5777" s="3" t="inlineStr">
        <is>
          <t>113-8303269-9679416</t>
        </is>
      </c>
      <c r="C5777" s="3" t="inlineStr">
        <is>
          <t>RockyMountain</t>
        </is>
      </c>
    </row>
    <row collapsed="false" customFormat="false" customHeight="false" hidden="false" ht="12.1" outlineLevel="0" r="5778">
      <c r="A5778" s="3" t="s">
        <f>=HYPERLINK("https://mp39851918.megaplan.ua/deals/121129/card/","20555")</f>
      </c>
      <c r="B5778" s="3" t="inlineStr">
        <is>
          <t>111-9116914-4049838</t>
        </is>
      </c>
      <c r="C5778" s="3" t="inlineStr">
        <is>
          <t>TuckerRocky</t>
        </is>
      </c>
    </row>
    <row collapsed="false" customFormat="false" customHeight="false" hidden="false" ht="12.1" outlineLevel="0" r="5779">
      <c r="A5779" s="3" t="s">
        <f>=HYPERLINK("https://mp39851918.megaplan.ua/deals/121142/card/","20557")</f>
      </c>
      <c r="B5779" s="3" t="inlineStr">
        <is>
          <t>113-0228705-4729023</t>
        </is>
      </c>
      <c r="C5779" s="3" t="inlineStr">
        <is>
          <t>RockyMountain</t>
        </is>
      </c>
    </row>
    <row collapsed="false" customFormat="false" customHeight="false" hidden="false" ht="12.1" outlineLevel="0" r="5780">
      <c r="A5780" s="3" t="s">
        <f>=HYPERLINK("https://mp39851918.megaplan.ua/deals/121148/card/","20558")</f>
      </c>
      <c r="B5780" s="3" t="inlineStr">
        <is>
          <t>112-6377462-8233865</t>
        </is>
      </c>
      <c r="C5780" s="3" t="inlineStr">
        <is>
          <t>RockyMountain</t>
        </is>
      </c>
    </row>
    <row collapsed="false" customFormat="false" customHeight="false" hidden="false" ht="12.1" outlineLevel="0" r="5781">
      <c r="A5781" s="3" t="s">
        <f>=HYPERLINK("https://mp39851918.megaplan.ua/deals/121152/card/","20559")</f>
      </c>
      <c r="B5781" s="3" t="inlineStr">
        <is>
          <t>112-7739356-8306617</t>
        </is>
      </c>
      <c r="C5781" s="3" t="inlineStr">
        <is>
          <t>RockyMountain</t>
        </is>
      </c>
    </row>
    <row collapsed="false" customFormat="false" customHeight="false" hidden="false" ht="12.1" outlineLevel="0" r="5782">
      <c r="A5782" s="3" t="s">
        <f>=HYPERLINK("https://mp39851918.megaplan.ua/deals/121161/card/","20560")</f>
      </c>
      <c r="B5782" s="3" t="inlineStr">
        <is>
          <t>113-1901823-4833865</t>
        </is>
      </c>
      <c r="C5782" s="3" t="inlineStr">
        <is>
          <t>TuckerRocky</t>
        </is>
      </c>
    </row>
    <row collapsed="false" customFormat="false" customHeight="false" hidden="false" ht="12.1" outlineLevel="0" r="5783">
      <c r="A5783" s="3" t="s">
        <f>=HYPERLINK("https://mp39851918.megaplan.ua/deals/121164/card/","20562")</f>
      </c>
      <c r="B5783" s="3" t="inlineStr">
        <is>
          <t>114-1767248-6362661</t>
        </is>
      </c>
      <c r="C5783" s="3" t="inlineStr">
        <is>
          <t>TuckerRocky</t>
        </is>
      </c>
    </row>
    <row collapsed="false" customFormat="false" customHeight="false" hidden="false" ht="12.1" outlineLevel="0" r="5784">
      <c r="A5784" s="3" t="s">
        <f>=HYPERLINK("https://mp39851918.megaplan.ua/deals/121171/card/","20563")</f>
      </c>
      <c r="B5784" s="3" t="inlineStr">
        <is>
          <t>112-4232410-7702667</t>
        </is>
      </c>
      <c r="C5784" s="3" t="inlineStr">
        <is>
          <t>RockyMountain</t>
        </is>
      </c>
    </row>
    <row collapsed="false" customFormat="false" customHeight="false" hidden="false" ht="12.1" outlineLevel="0" r="5785">
      <c r="A5785" s="3" t="s">
        <f>=HYPERLINK("https://mp39851918.megaplan.ua/deals/121172/card/","20564")</f>
      </c>
      <c r="B5785" s="3" t="inlineStr">
        <is>
          <t>114-0380979-5229046</t>
        </is>
      </c>
      <c r="C5785" s="3" t="inlineStr">
        <is>
          <t>TuckerRocky</t>
        </is>
      </c>
    </row>
    <row collapsed="false" customFormat="false" customHeight="false" hidden="false" ht="12.1" outlineLevel="0" r="5786">
      <c r="A5786" s="3" t="s">
        <f>=HYPERLINK("https://mp39851918.megaplan.ua/deals/121200/card/","20566")</f>
      </c>
      <c r="B5786" s="3" t="inlineStr">
        <is>
          <t>113-4743252-5358609</t>
        </is>
      </c>
      <c r="C5786" s="3" t="inlineStr">
        <is>
          <t>RockyMountain</t>
        </is>
      </c>
    </row>
    <row collapsed="false" customFormat="false" customHeight="false" hidden="false" ht="12.1" outlineLevel="0" r="5787">
      <c r="A5787" s="3" t="s">
        <f>=HYPERLINK("https://mp39851918.megaplan.ua/deals/121204/card/","20567")</f>
      </c>
      <c r="B5787" s="3" t="inlineStr">
        <is>
          <t>111-4190965-8177836</t>
        </is>
      </c>
      <c r="C5787" s="3" t="inlineStr">
        <is>
          <t>RockyMountain</t>
        </is>
      </c>
    </row>
    <row collapsed="false" customFormat="false" customHeight="false" hidden="false" ht="12.1" outlineLevel="0" r="5788">
      <c r="A5788" s="3" t="s">
        <f>=HYPERLINK("https://mp39851918.megaplan.ua/deals/121205/card/","20568")</f>
      </c>
      <c r="B5788" s="3" t="inlineStr">
        <is>
          <t>113-9904408-7943405</t>
        </is>
      </c>
      <c r="C5788" s="3" t="inlineStr">
        <is>
          <t>RockyMountain</t>
        </is>
      </c>
    </row>
    <row collapsed="false" customFormat="false" customHeight="false" hidden="false" ht="12.1" outlineLevel="0" r="5789">
      <c r="A5789" s="3" t="s">
        <f>=HYPERLINK("https://mp39851918.megaplan.ua/deals/121218/card/","20569")</f>
      </c>
      <c r="B5789" s="3" t="inlineStr">
        <is>
          <t>112-0315169-1261054</t>
        </is>
      </c>
      <c r="C5789" s="3" t="inlineStr">
        <is>
          <t>PartsUnlimited</t>
        </is>
      </c>
    </row>
    <row collapsed="false" customFormat="false" customHeight="false" hidden="false" ht="12.1" outlineLevel="0" r="5790">
      <c r="A5790" s="3" t="s">
        <f>=HYPERLINK("https://mp39851918.megaplan.ua/deals/121221/card/","20570")</f>
      </c>
      <c r="B5790" s="3" t="inlineStr">
        <is>
          <t>113-6901279-9380228</t>
        </is>
      </c>
      <c r="C5790" s="3" t="inlineStr">
        <is>
          <t>Autodist</t>
        </is>
      </c>
    </row>
    <row collapsed="false" customFormat="false" customHeight="false" hidden="false" ht="12.1" outlineLevel="0" r="5791">
      <c r="A5791" s="3" t="s">
        <f>=HYPERLINK("https://mp39851918.megaplan.ua/deals/121238/card/","20571")</f>
      </c>
      <c r="B5791" s="3" t="inlineStr">
        <is>
          <t>114-3962669-0748215</t>
        </is>
      </c>
      <c r="C5791" s="3" t="inlineStr">
        <is>
          <t>RockyMountain</t>
        </is>
      </c>
    </row>
    <row collapsed="false" customFormat="false" customHeight="false" hidden="false" ht="12.1" outlineLevel="0" r="5792">
      <c r="A5792" s="3" t="s">
        <f>=HYPERLINK("https://mp39851918.megaplan.ua/deals/121241/card/","20572")</f>
      </c>
      <c r="B5792" s="3" t="inlineStr">
        <is>
          <t>113-5139756-6591466</t>
        </is>
      </c>
      <c r="C5792" s="3" t="inlineStr">
        <is>
          <t>RockyMountain</t>
        </is>
      </c>
    </row>
    <row collapsed="false" customFormat="false" customHeight="false" hidden="false" ht="12.1" outlineLevel="0" r="5793">
      <c r="A5793" s="3" t="s">
        <f>=HYPERLINK("https://mp39851918.megaplan.ua/deals/121257/card/","20575")</f>
      </c>
      <c r="B5793" s="3" t="inlineStr">
        <is>
          <t>111-7327032-9391409</t>
        </is>
      </c>
      <c r="C5793" s="3" t="inlineStr">
        <is>
          <t>TuckerRocky</t>
        </is>
      </c>
    </row>
    <row collapsed="false" customFormat="false" customHeight="false" hidden="false" ht="12.1" outlineLevel="0" r="5794">
      <c r="A5794" s="3" t="s">
        <f>=HYPERLINK("https://mp39851918.megaplan.ua/deals/121265/card/","20576")</f>
      </c>
      <c r="B5794" s="3" t="inlineStr">
        <is>
          <t>112-9160304-4881031</t>
        </is>
      </c>
      <c r="C5794" s="3" t="inlineStr">
        <is>
          <t>TuckerRocky</t>
        </is>
      </c>
    </row>
    <row collapsed="false" customFormat="false" customHeight="false" hidden="false" ht="12.1" outlineLevel="0" r="5795">
      <c r="A5795" s="3" t="s">
        <f>=HYPERLINK("https://mp39851918.megaplan.ua/deals/121267/card/","20577")</f>
      </c>
      <c r="B5795" s="3" t="inlineStr">
        <is>
          <t>114-2117796-5910628</t>
        </is>
      </c>
      <c r="C5795" s="3" t="inlineStr">
        <is>
          <t>Autodist</t>
        </is>
      </c>
    </row>
    <row collapsed="false" customFormat="false" customHeight="false" hidden="false" ht="12.1" outlineLevel="0" r="5796">
      <c r="A5796" s="3" t="s">
        <f>=HYPERLINK("https://mp39851918.megaplan.ua/deals/121273/card/","20579")</f>
      </c>
      <c r="B5796" s="3" t="inlineStr">
        <is>
          <t>112-5469111-9457809</t>
        </is>
      </c>
      <c r="C5796" s="3" t="inlineStr">
        <is>
          <t>RockyMountain</t>
        </is>
      </c>
    </row>
    <row collapsed="false" customFormat="false" customHeight="false" hidden="false" ht="12.1" outlineLevel="0" r="5797">
      <c r="A5797" s="3" t="s">
        <f>=HYPERLINK("https://mp39851918.megaplan.ua/deals/121274/card/","20580")</f>
      </c>
      <c r="B5797" s="3" t="inlineStr">
        <is>
          <t>112-5826952-1343450</t>
        </is>
      </c>
      <c r="C5797" s="3" t="inlineStr">
        <is>
          <t>RockyMountain</t>
        </is>
      </c>
    </row>
    <row collapsed="false" customFormat="false" customHeight="false" hidden="false" ht="12.1" outlineLevel="0" r="5798">
      <c r="A5798" s="3" t="s">
        <f>=HYPERLINK("https://mp39851918.megaplan.ua/deals/121290/card/","20581")</f>
      </c>
      <c r="B5798" s="3" t="inlineStr">
        <is>
          <t>114-2582025-5641034</t>
        </is>
      </c>
      <c r="C5798" s="3" t="inlineStr">
        <is>
          <t>TuckerRocky</t>
        </is>
      </c>
    </row>
    <row collapsed="false" customFormat="false" customHeight="false" hidden="false" ht="12.1" outlineLevel="0" r="5799">
      <c r="A5799" s="3" t="s">
        <f>=HYPERLINK("https://mp39851918.megaplan.ua/deals/121291/card/","20582")</f>
      </c>
      <c r="B5799" s="3" t="inlineStr">
        <is>
          <t>113-7738982-5353031</t>
        </is>
      </c>
      <c r="C5799" s="3" t="inlineStr">
        <is>
          <t>RockyMountain</t>
        </is>
      </c>
    </row>
    <row collapsed="false" customFormat="false" customHeight="false" hidden="false" ht="12.1" outlineLevel="0" r="5800">
      <c r="A5800" s="3" t="s">
        <f>=HYPERLINK("https://mp39851918.megaplan.ua/deals/121293/card/","20583")</f>
      </c>
      <c r="B5800" s="3" t="inlineStr">
        <is>
          <t>111-7167470-8924249</t>
        </is>
      </c>
      <c r="C5800" s="3" t="inlineStr">
        <is>
          <t>Autodist</t>
        </is>
      </c>
    </row>
    <row collapsed="false" customFormat="false" customHeight="false" hidden="false" ht="12.1" outlineLevel="0" r="5801">
      <c r="A5801" s="3" t="s">
        <f>=HYPERLINK("https://mp39851918.megaplan.ua/deals/121313/card/","20584")</f>
      </c>
      <c r="B5801" s="3" t="inlineStr">
        <is>
          <t>113-9365512-9176227</t>
        </is>
      </c>
      <c r="C5801" s="3" t="inlineStr">
        <is>
          <t>Autodist</t>
        </is>
      </c>
    </row>
    <row collapsed="false" customFormat="false" customHeight="false" hidden="false" ht="12.1" outlineLevel="0" r="5802">
      <c r="A5802" s="3" t="s">
        <f>=HYPERLINK("https://mp39851918.megaplan.ua/deals/121323/card/","20585")</f>
      </c>
      <c r="B5802" s="3" t="inlineStr">
        <is>
          <t>114-6253538-2664264</t>
        </is>
      </c>
      <c r="C5802" s="3" t="inlineStr">
        <is>
          <t>RockyMountain</t>
        </is>
      </c>
    </row>
    <row collapsed="false" customFormat="false" customHeight="false" hidden="false" ht="12.1" outlineLevel="0" r="5803">
      <c r="A5803" s="3" t="s">
        <f>=HYPERLINK("https://mp39851918.megaplan.ua/deals/121333/card/","20586")</f>
      </c>
      <c r="B5803" s="3" t="inlineStr">
        <is>
          <t>112-4505242-4507414</t>
        </is>
      </c>
      <c r="C5803" s="3" t="inlineStr">
        <is>
          <t>Autodist</t>
        </is>
      </c>
    </row>
    <row collapsed="false" customFormat="false" customHeight="false" hidden="false" ht="12.1" outlineLevel="0" r="5804">
      <c r="A5804" s="3" t="s">
        <f>=HYPERLINK("https://mp39851918.megaplan.ua/deals/121346/card/","20588")</f>
      </c>
      <c r="B5804" s="3" t="inlineStr">
        <is>
          <t>113-2448388-3417039</t>
        </is>
      </c>
      <c r="C5804" s="3" t="inlineStr">
        <is>
          <t>TuckerRocky</t>
        </is>
      </c>
    </row>
    <row collapsed="false" customFormat="false" customHeight="false" hidden="false" ht="12.1" outlineLevel="0" r="5805">
      <c r="A5805" s="3" t="s">
        <f>=HYPERLINK("https://mp39851918.megaplan.ua/deals/121365/card/","20591")</f>
      </c>
      <c r="B5805" s="3" t="inlineStr">
        <is>
          <t>114-0381358-6585012</t>
        </is>
      </c>
      <c r="C5805" s="3" t="inlineStr">
        <is>
          <t>RockyMountain</t>
        </is>
      </c>
    </row>
    <row collapsed="false" customFormat="false" customHeight="false" hidden="false" ht="12.1" outlineLevel="0" r="5806">
      <c r="A5806" s="3" t="s">
        <f>=HYPERLINK("https://mp39851918.megaplan.ua/deals/121376/card/","20592")</f>
      </c>
      <c r="B5806" s="3" t="inlineStr">
        <is>
          <t>114-3861211-0073813</t>
        </is>
      </c>
      <c r="C5806" s="3" t="inlineStr">
        <is>
          <t>TuckerRocky</t>
        </is>
      </c>
    </row>
    <row collapsed="false" customFormat="false" customHeight="false" hidden="false" ht="12.1" outlineLevel="0" r="5807">
      <c r="A5807" s="3" t="s">
        <f>=HYPERLINK("https://mp39851918.megaplan.ua/deals/121377/card/","20593")</f>
      </c>
      <c r="B5807" s="3" t="inlineStr">
        <is>
          <t>111-4595774-0672243</t>
        </is>
      </c>
      <c r="C5807" s="3" t="inlineStr">
        <is>
          <t>Autodist</t>
        </is>
      </c>
    </row>
    <row collapsed="false" customFormat="false" customHeight="false" hidden="false" ht="12.1" outlineLevel="0" r="5808">
      <c r="A5808" s="3" t="s">
        <f>=HYPERLINK("https://mp39851918.megaplan.ua/deals/121379/card/","20594")</f>
      </c>
      <c r="B5808" s="3" t="inlineStr">
        <is>
          <t>114-4356302-7703445</t>
        </is>
      </c>
      <c r="C5808" s="3" t="inlineStr">
        <is>
          <t>RockyMountain</t>
        </is>
      </c>
    </row>
    <row collapsed="false" customFormat="false" customHeight="false" hidden="false" ht="12.1" outlineLevel="0" r="5809">
      <c r="A5809" s="3" t="s">
        <f>=HYPERLINK("https://mp39851918.megaplan.ua/deals/121380/card/","20595")</f>
      </c>
      <c r="B5809" s="3" t="inlineStr">
        <is>
          <t>111-7029534-7997031</t>
        </is>
      </c>
      <c r="C5809" s="3" t="inlineStr">
        <is>
          <t>PartsUnlimited</t>
        </is>
      </c>
    </row>
    <row collapsed="false" customFormat="false" customHeight="false" hidden="false" ht="12.1" outlineLevel="0" r="5810">
      <c r="A5810" s="3" t="s">
        <f>=HYPERLINK("https://mp39851918.megaplan.ua/deals/121382/card/","20596")</f>
      </c>
      <c r="B5810" s="3" t="inlineStr">
        <is>
          <t>114-2029964-7308225</t>
        </is>
      </c>
      <c r="C5810" s="3" t="inlineStr">
        <is>
          <t>TuckerRocky</t>
        </is>
      </c>
    </row>
    <row collapsed="false" customFormat="false" customHeight="false" hidden="false" ht="12.1" outlineLevel="0" r="5811">
      <c r="A5811" s="3" t="s">
        <f>=HYPERLINK("https://mp39851918.megaplan.ua/deals/121401/card/","20597")</f>
      </c>
      <c r="B5811" s="3" t="inlineStr">
        <is>
          <t>114-4786217-6115441</t>
        </is>
      </c>
      <c r="C5811" s="3" t="inlineStr">
        <is>
          <t>RockyMountain</t>
        </is>
      </c>
    </row>
    <row collapsed="false" customFormat="false" customHeight="false" hidden="false" ht="12.1" outlineLevel="0" r="5812">
      <c r="A5812" s="3" t="s">
        <f>=HYPERLINK("https://mp39851918.megaplan.ua/deals/121408/card/","20598")</f>
      </c>
      <c r="B5812" s="3" t="inlineStr">
        <is>
          <t>111-5966569-1012266</t>
        </is>
      </c>
      <c r="C5812" s="3" t="inlineStr">
        <is>
          <t>RockyMountain</t>
        </is>
      </c>
    </row>
    <row collapsed="false" customFormat="false" customHeight="false" hidden="false" ht="12.1" outlineLevel="0" r="5813">
      <c r="A5813" s="3" t="s">
        <f>=HYPERLINK("https://mp39851918.megaplan.ua/deals/121409/card/","20599")</f>
      </c>
      <c r="B5813" s="3" t="inlineStr">
        <is>
          <t>111-2109674-5226653</t>
        </is>
      </c>
      <c r="C5813" s="3" t="inlineStr">
        <is>
          <t>TuckerRocky</t>
        </is>
      </c>
    </row>
    <row collapsed="false" customFormat="false" customHeight="false" hidden="false" ht="12.1" outlineLevel="0" r="5814">
      <c r="A5814" s="3" t="s">
        <f>=HYPERLINK("https://mp39851918.megaplan.ua/deals/121412/card/","20600")</f>
      </c>
      <c r="B5814" s="3" t="inlineStr">
        <is>
          <t>114-2722896-7034656</t>
        </is>
      </c>
      <c r="C5814" s="3" t="inlineStr">
        <is>
          <t>TuckerRocky</t>
        </is>
      </c>
    </row>
    <row collapsed="false" customFormat="false" customHeight="false" hidden="false" ht="12.1" outlineLevel="0" r="5815">
      <c r="A5815" s="3" t="s">
        <f>=HYPERLINK("https://mp39851918.megaplan.ua/deals/121415/card/","20601")</f>
      </c>
      <c r="B5815" s="3" t="inlineStr">
        <is>
          <t>114-7162989-8825003</t>
        </is>
      </c>
      <c r="C5815" s="3" t="inlineStr">
        <is>
          <t>RockyMountain</t>
        </is>
      </c>
    </row>
    <row collapsed="false" customFormat="false" customHeight="false" hidden="false" ht="12.1" outlineLevel="0" r="5816">
      <c r="A5816" s="3" t="s">
        <f>=HYPERLINK("https://mp39851918.megaplan.ua/deals/121418/card/","20602")</f>
      </c>
      <c r="B5816" s="3" t="inlineStr">
        <is>
          <t>113-6115887-7512229</t>
        </is>
      </c>
      <c r="C5816" s="3" t="inlineStr">
        <is>
          <t>TuckerRocky</t>
        </is>
      </c>
    </row>
    <row collapsed="false" customFormat="false" customHeight="false" hidden="false" ht="12.1" outlineLevel="0" r="5817">
      <c r="A5817" s="3" t="s">
        <f>=HYPERLINK("https://mp39851918.megaplan.ua/deals/121426/card/","20603")</f>
      </c>
      <c r="B5817" s="3" t="inlineStr">
        <is>
          <t>114-6660223-4055451</t>
        </is>
      </c>
      <c r="C5817" s="3" t="inlineStr">
        <is>
          <t>RockyMountain</t>
        </is>
      </c>
    </row>
    <row collapsed="false" customFormat="false" customHeight="false" hidden="false" ht="12.1" outlineLevel="0" r="5818">
      <c r="A5818" s="3" t="s">
        <f>=HYPERLINK("https://mp39851918.megaplan.ua/deals/121428/card/","20604")</f>
      </c>
      <c r="B5818" s="3" t="inlineStr">
        <is>
          <t>113-8432515-2821010</t>
        </is>
      </c>
      <c r="C5818" s="3" t="inlineStr">
        <is>
          <t>RockyMountain</t>
        </is>
      </c>
    </row>
    <row collapsed="false" customFormat="false" customHeight="false" hidden="false" ht="12.1" outlineLevel="0" r="5819">
      <c r="A5819" s="3" t="s">
        <f>=HYPERLINK("https://mp39851918.megaplan.ua/deals/121429/card/","20605")</f>
      </c>
      <c r="B5819" s="3" t="inlineStr">
        <is>
          <t>113-2979447-8392215</t>
        </is>
      </c>
      <c r="C5819" s="3" t="inlineStr">
        <is>
          <t>TuckerRocky</t>
        </is>
      </c>
    </row>
    <row collapsed="false" customFormat="false" customHeight="false" hidden="false" ht="12.1" outlineLevel="0" r="5820">
      <c r="A5820" s="3" t="s">
        <f>=HYPERLINK("https://mp39851918.megaplan.ua/deals/121430/card/","20606")</f>
      </c>
      <c r="B5820" s="3" t="inlineStr">
        <is>
          <t>114-8076671-0640259</t>
        </is>
      </c>
      <c r="C5820" s="3" t="inlineStr">
        <is>
          <t>TuckerRocky</t>
        </is>
      </c>
    </row>
    <row collapsed="false" customFormat="false" customHeight="false" hidden="false" ht="12.1" outlineLevel="0" r="5821">
      <c r="A5821" s="3" t="s">
        <f>=HYPERLINK("https://mp39851918.megaplan.ua/deals/121450/card/","20610")</f>
      </c>
      <c r="B5821" s="3" t="inlineStr">
        <is>
          <t>112-2634830-3411465</t>
        </is>
      </c>
      <c r="C5821" s="3" t="inlineStr">
        <is>
          <t>TuckerRocky</t>
        </is>
      </c>
    </row>
    <row collapsed="false" customFormat="false" customHeight="false" hidden="false" ht="12.1" outlineLevel="0" r="5822">
      <c r="A5822" s="3" t="s">
        <f>=HYPERLINK("https://mp39851918.megaplan.ua/deals/121453/card/","20611")</f>
      </c>
      <c r="B5822" s="3" t="inlineStr">
        <is>
          <t>112-9994174-1225809</t>
        </is>
      </c>
      <c r="C5822" s="3" t="inlineStr">
        <is>
          <t>PartsUnlimited</t>
        </is>
      </c>
    </row>
    <row collapsed="false" customFormat="false" customHeight="false" hidden="false" ht="12.1" outlineLevel="0" r="5823">
      <c r="A5823" s="3" t="s">
        <f>=HYPERLINK("https://mp39851918.megaplan.ua/deals/121457/card/","20612")</f>
      </c>
      <c r="B5823" s="3" t="inlineStr">
        <is>
          <t>114-3429920-4668261</t>
        </is>
      </c>
      <c r="C5823" s="3" t="inlineStr">
        <is>
          <t>PartsUnlimited</t>
        </is>
      </c>
    </row>
    <row collapsed="false" customFormat="false" customHeight="false" hidden="false" ht="12.1" outlineLevel="0" r="5824">
      <c r="A5824" s="3" t="s">
        <f>=HYPERLINK("https://mp39851918.megaplan.ua/deals/121458/card/","20613")</f>
      </c>
      <c r="B5824" s="3" t="inlineStr">
        <is>
          <t>113-6800023-6854648</t>
        </is>
      </c>
      <c r="C5824" s="3" t="inlineStr">
        <is>
          <t>TuckerRocky</t>
        </is>
      </c>
    </row>
    <row collapsed="false" customFormat="false" customHeight="false" hidden="false" ht="12.1" outlineLevel="0" r="5825">
      <c r="A5825" s="3" t="s">
        <f>=HYPERLINK("https://mp39851918.megaplan.ua/deals/121462/card/","20614")</f>
      </c>
      <c r="B5825" s="3" t="inlineStr">
        <is>
          <t>113-3876712-4585841</t>
        </is>
      </c>
      <c r="C5825" s="3" t="inlineStr">
        <is>
          <t>TuckerRocky</t>
        </is>
      </c>
    </row>
    <row collapsed="false" customFormat="false" customHeight="false" hidden="false" ht="12.1" outlineLevel="0" r="5826">
      <c r="A5826" s="3" t="s">
        <f>=HYPERLINK("https://mp39851918.megaplan.ua/deals/121469/card/","20615")</f>
      </c>
      <c r="B5826" s="3" t="inlineStr">
        <is>
          <t>111-9317157-4821827</t>
        </is>
      </c>
      <c r="C5826" s="3" t="inlineStr">
        <is>
          <t>Autodist</t>
        </is>
      </c>
    </row>
    <row collapsed="false" customFormat="false" customHeight="false" hidden="false" ht="12.1" outlineLevel="0" r="5827">
      <c r="A5827" s="3" t="s">
        <f>=HYPERLINK("https://mp39851918.megaplan.ua/deals/121473/card/","20616")</f>
      </c>
      <c r="B5827" s="3" t="inlineStr">
        <is>
          <t>111-8357216-1369856</t>
        </is>
      </c>
      <c r="C5827" s="3" t="inlineStr">
        <is>
          <t>RockyMountain</t>
        </is>
      </c>
    </row>
    <row collapsed="false" customFormat="false" customHeight="false" hidden="false" ht="12.1" outlineLevel="0" r="5828">
      <c r="A5828" s="3" t="s">
        <f>=HYPERLINK("https://mp39851918.megaplan.ua/deals/121478/card/","20617")</f>
      </c>
      <c r="B5828" s="3" t="inlineStr">
        <is>
          <t>112-0864357-8144261</t>
        </is>
      </c>
      <c r="C5828" s="3" t="inlineStr">
        <is>
          <t>RockyMountain</t>
        </is>
      </c>
    </row>
    <row collapsed="false" customFormat="false" customHeight="false" hidden="false" ht="12.1" outlineLevel="0" r="5829">
      <c r="A5829" s="3" t="s">
        <f>=HYPERLINK("https://mp39851918.megaplan.ua/deals/121480/card/","20618")</f>
      </c>
      <c r="B5829" s="3" t="inlineStr">
        <is>
          <t>111-0689179-4172243</t>
        </is>
      </c>
      <c r="C5829" s="3" t="inlineStr">
        <is>
          <t>Autodist</t>
        </is>
      </c>
    </row>
    <row collapsed="false" customFormat="false" customHeight="false" hidden="false" ht="12.1" outlineLevel="0" r="5830">
      <c r="A5830" s="3" t="s">
        <f>=HYPERLINK("https://mp39851918.megaplan.ua/deals/121493/card/","20619")</f>
      </c>
      <c r="B5830" s="3" t="inlineStr">
        <is>
          <t>111-3099515-6881038</t>
        </is>
      </c>
      <c r="C5830" s="3" t="inlineStr">
        <is>
          <t>TuckerRocky</t>
        </is>
      </c>
    </row>
    <row collapsed="false" customFormat="false" customHeight="false" hidden="false" ht="12.1" outlineLevel="0" r="5831">
      <c r="A5831" s="3" t="s">
        <f>=HYPERLINK("https://mp39851918.megaplan.ua/deals/121504/card/","20620")</f>
      </c>
      <c r="B5831" s="3" t="inlineStr">
        <is>
          <t>112-4923244-3544251</t>
        </is>
      </c>
      <c r="C5831" s="3" t="inlineStr">
        <is>
          <t>Autodist</t>
        </is>
      </c>
    </row>
    <row collapsed="false" customFormat="false" customHeight="false" hidden="false" ht="12.1" outlineLevel="0" r="5832">
      <c r="A5832" s="3" t="s">
        <f>=HYPERLINK("https://mp39851918.megaplan.ua/deals/121505/card/","20621")</f>
      </c>
      <c r="B5832" s="3" t="inlineStr">
        <is>
          <t>113-4285963-7982634</t>
        </is>
      </c>
      <c r="C5832" s="3" t="inlineStr">
        <is>
          <t>Autodist</t>
        </is>
      </c>
    </row>
    <row collapsed="false" customFormat="false" customHeight="false" hidden="false" ht="12.1" outlineLevel="0" r="5833">
      <c r="A5833" s="3" t="s">
        <f>=HYPERLINK("https://mp39851918.megaplan.ua/deals/121546/card/","20624")</f>
      </c>
      <c r="B5833" s="3" t="inlineStr">
        <is>
          <t>112-1057671-2969845</t>
        </is>
      </c>
      <c r="C5833" s="3" t="inlineStr">
        <is>
          <t>TuckerRocky</t>
        </is>
      </c>
    </row>
    <row collapsed="false" customFormat="false" customHeight="false" hidden="false" ht="12.1" outlineLevel="0" r="5834">
      <c r="A5834" s="3" t="s">
        <f>=HYPERLINK("https://mp39851918.megaplan.ua/deals/121565/card/","20625")</f>
      </c>
      <c r="B5834" s="3" t="inlineStr">
        <is>
          <t>114-9944175-6494628</t>
        </is>
      </c>
      <c r="C5834" s="3" t="inlineStr">
        <is>
          <t>Autodist</t>
        </is>
      </c>
    </row>
    <row collapsed="false" customFormat="false" customHeight="false" hidden="false" ht="12.1" outlineLevel="0" r="5835">
      <c r="A5835" s="3" t="s">
        <f>=HYPERLINK("https://mp39851918.megaplan.ua/deals/121572/card/","20626")</f>
      </c>
      <c r="B5835" s="3" t="inlineStr">
        <is>
          <t>114-2729005-1591449</t>
        </is>
      </c>
      <c r="C5835" s="3" t="inlineStr">
        <is>
          <t>Autodist</t>
        </is>
      </c>
    </row>
    <row collapsed="false" customFormat="false" customHeight="false" hidden="false" ht="12.1" outlineLevel="0" r="5836">
      <c r="A5836" s="3" t="s">
        <f>=HYPERLINK("https://mp39851918.megaplan.ua/deals/121579/card/","20627")</f>
      </c>
      <c r="B5836" s="3" t="inlineStr">
        <is>
          <t>114-7870820-4164221</t>
        </is>
      </c>
      <c r="C5836" s="3" t="inlineStr">
        <is>
          <t>RockyMountain</t>
        </is>
      </c>
    </row>
    <row collapsed="false" customFormat="false" customHeight="false" hidden="false" ht="12.1" outlineLevel="0" r="5837">
      <c r="A5837" s="3" t="s">
        <f>=HYPERLINK("https://mp39851918.megaplan.ua/deals/121581/card/","20628")</f>
      </c>
      <c r="B5837" s="3" t="inlineStr">
        <is>
          <t>111-9463430-4574605</t>
        </is>
      </c>
      <c r="C5837" s="3" t="inlineStr">
        <is>
          <t>Autodist</t>
        </is>
      </c>
    </row>
    <row collapsed="false" customFormat="false" customHeight="false" hidden="false" ht="12.1" outlineLevel="0" r="5838">
      <c r="A5838" s="3" t="s">
        <f>=HYPERLINK("https://mp39851918.megaplan.ua/deals/121583/card/","20629")</f>
      </c>
      <c r="B5838" s="3" t="inlineStr">
        <is>
          <t>111-6359705-3715466</t>
        </is>
      </c>
      <c r="C5838" s="3" t="inlineStr">
        <is>
          <t>PartsUnlimited</t>
        </is>
      </c>
    </row>
    <row collapsed="false" customFormat="false" customHeight="false" hidden="false" ht="12.1" outlineLevel="0" r="5839">
      <c r="A5839" s="3" t="s">
        <f>=HYPERLINK("https://mp39851918.megaplan.ua/deals/121595/card/","20630")</f>
      </c>
      <c r="B5839" s="3" t="inlineStr">
        <is>
          <t>112-8510740-1895432</t>
        </is>
      </c>
      <c r="C5839" s="3" t="inlineStr">
        <is>
          <t>Autodist</t>
        </is>
      </c>
    </row>
    <row collapsed="false" customFormat="false" customHeight="false" hidden="false" ht="12.1" outlineLevel="0" r="5840">
      <c r="A5840" s="3" t="s">
        <f>=HYPERLINK("https://mp39851918.megaplan.ua/deals/121603/card/","20632")</f>
      </c>
      <c r="B5840" s="3" t="inlineStr">
        <is>
          <t>111-4004753-2014630</t>
        </is>
      </c>
      <c r="C5840" s="3" t="inlineStr">
        <is>
          <t>RockyMountain</t>
        </is>
      </c>
    </row>
    <row collapsed="false" customFormat="false" customHeight="false" hidden="false" ht="12.1" outlineLevel="0" r="5841">
      <c r="A5841" s="3" t="s">
        <f>=HYPERLINK("https://mp39851918.megaplan.ua/deals/121605/card/","20633")</f>
      </c>
      <c r="B5841" s="3" t="inlineStr">
        <is>
          <t>111-1832625-2504250</t>
        </is>
      </c>
      <c r="C5841" s="3" t="inlineStr">
        <is>
          <t>Autodist</t>
        </is>
      </c>
    </row>
    <row collapsed="false" customFormat="false" customHeight="false" hidden="false" ht="12.1" outlineLevel="0" r="5842">
      <c r="A5842" s="3" t="s">
        <f>=HYPERLINK("https://mp39851918.megaplan.ua/deals/121608/card/","20634")</f>
      </c>
      <c r="B5842" s="3" t="inlineStr">
        <is>
          <t>114-1402134-1989809</t>
        </is>
      </c>
      <c r="C5842" s="3" t="inlineStr">
        <is>
          <t>RockyMountain</t>
        </is>
      </c>
    </row>
    <row collapsed="false" customFormat="false" customHeight="false" hidden="false" ht="12.1" outlineLevel="0" r="5843">
      <c r="A5843" s="3" t="s">
        <f>=HYPERLINK("https://mp39851918.megaplan.ua/deals/121618/card/","20635")</f>
      </c>
      <c r="B5843" s="3" t="inlineStr">
        <is>
          <t>113-1932096-5185859</t>
        </is>
      </c>
      <c r="C5843" s="3" t="inlineStr">
        <is>
          <t>RockyMountain</t>
        </is>
      </c>
    </row>
    <row collapsed="false" customFormat="false" customHeight="false" hidden="false" ht="12.1" outlineLevel="0" r="5844">
      <c r="A5844" s="3" t="s">
        <f>=HYPERLINK("https://mp39851918.megaplan.ua/deals/121621/card/","20636")</f>
      </c>
      <c r="B5844" s="3" t="inlineStr">
        <is>
          <t>113-0820169-2208237</t>
        </is>
      </c>
      <c r="C5844" s="3" t="inlineStr">
        <is>
          <t>RockyMountain</t>
        </is>
      </c>
    </row>
    <row collapsed="false" customFormat="false" customHeight="false" hidden="false" ht="12.1" outlineLevel="0" r="5845">
      <c r="A5845" s="3" t="s">
        <f>=HYPERLINK("https://mp39851918.megaplan.ua/deals/121628/card/","20639")</f>
      </c>
      <c r="B5845" s="3" t="inlineStr">
        <is>
          <t>112-2426747-3938646</t>
        </is>
      </c>
      <c r="C5845" s="3" t="inlineStr">
        <is>
          <t>TuckerRocky</t>
        </is>
      </c>
    </row>
    <row collapsed="false" customFormat="false" customHeight="false" hidden="false" ht="12.1" outlineLevel="0" r="5846">
      <c r="A5846" s="3" t="s">
        <f>=HYPERLINK("https://mp39851918.megaplan.ua/deals/121637/card/","20640")</f>
      </c>
      <c r="B5846" s="3" t="inlineStr">
        <is>
          <t>111-3804427-3245805</t>
        </is>
      </c>
      <c r="C5846" s="3" t="inlineStr">
        <is>
          <t>TuckerRocky</t>
        </is>
      </c>
    </row>
    <row collapsed="false" customFormat="false" customHeight="false" hidden="false" ht="12.1" outlineLevel="0" r="5847">
      <c r="A5847" s="3" t="s">
        <f>=HYPERLINK("https://mp39851918.megaplan.ua/deals/121640/card/","20641")</f>
      </c>
      <c r="B5847" s="3" t="inlineStr">
        <is>
          <t>111-6825707-9090612</t>
        </is>
      </c>
      <c r="C5847" s="3" t="inlineStr">
        <is>
          <t>Autodist</t>
        </is>
      </c>
    </row>
    <row collapsed="false" customFormat="false" customHeight="false" hidden="false" ht="12.1" outlineLevel="0" r="5848">
      <c r="A5848" s="3" t="s">
        <f>=HYPERLINK("https://mp39851918.megaplan.ua/deals/121645/card/","20642")</f>
      </c>
      <c r="B5848" s="3" t="inlineStr">
        <is>
          <t>111-2267174-6653009</t>
        </is>
      </c>
      <c r="C5848" s="3" t="inlineStr">
        <is>
          <t>Autodist</t>
        </is>
      </c>
    </row>
    <row collapsed="false" customFormat="false" customHeight="false" hidden="false" ht="12.1" outlineLevel="0" r="5849">
      <c r="A5849" s="3" t="s">
        <f>=HYPERLINK("https://mp39851918.megaplan.ua/deals/121648/card/","20643")</f>
      </c>
      <c r="B5849" s="3" t="inlineStr">
        <is>
          <t>113-0648745-5865828</t>
        </is>
      </c>
      <c r="C5849" s="3" t="inlineStr">
        <is>
          <t>TuckerRocky</t>
        </is>
      </c>
    </row>
    <row collapsed="false" customFormat="false" customHeight="false" hidden="false" ht="12.1" outlineLevel="0" r="5850">
      <c r="A5850" s="3" t="s">
        <f>=HYPERLINK("https://mp39851918.megaplan.ua/deals/121651/card/","20644")</f>
      </c>
      <c r="B5850" s="3" t="inlineStr">
        <is>
          <t>113-0126480-9386659</t>
        </is>
      </c>
      <c r="C5850" s="3" t="inlineStr">
        <is>
          <t>Autodist</t>
        </is>
      </c>
    </row>
    <row collapsed="false" customFormat="false" customHeight="false" hidden="false" ht="12.1" outlineLevel="0" r="5851">
      <c r="A5851" s="3" t="s">
        <f>=HYPERLINK("https://mp39851918.megaplan.ua/deals/121682/card/","20645")</f>
      </c>
      <c r="B5851" s="3" t="inlineStr">
        <is>
          <t>112-3578935-5651431</t>
        </is>
      </c>
      <c r="C5851" s="3" t="inlineStr">
        <is>
          <t>RockyMountain</t>
        </is>
      </c>
    </row>
    <row collapsed="false" customFormat="false" customHeight="false" hidden="false" ht="12.1" outlineLevel="0" r="5852">
      <c r="A5852" s="3" t="s">
        <f>=HYPERLINK("https://mp39851918.megaplan.ua/deals/121684/card/","20647")</f>
      </c>
      <c r="B5852" s="3" t="inlineStr">
        <is>
          <t>114-5466085-4121009</t>
        </is>
      </c>
      <c r="C5852" s="3" t="inlineStr">
        <is>
          <t>Autodist</t>
        </is>
      </c>
    </row>
    <row collapsed="false" customFormat="false" customHeight="false" hidden="false" ht="12.1" outlineLevel="0" r="5853">
      <c r="A5853" s="3" t="s">
        <f>=HYPERLINK("https://mp39851918.megaplan.ua/deals/121687/card/","20648")</f>
      </c>
      <c r="B5853" s="3" t="inlineStr">
        <is>
          <t>112-7087693-6789817</t>
        </is>
      </c>
      <c r="C5853" s="3" t="inlineStr">
        <is>
          <t>Autodist</t>
        </is>
      </c>
    </row>
    <row collapsed="false" customFormat="false" customHeight="false" hidden="false" ht="12.1" outlineLevel="0" r="5854">
      <c r="A5854" s="3" t="s">
        <f>=HYPERLINK("https://mp39851918.megaplan.ua/deals/121689/card/","20649")</f>
      </c>
      <c r="B5854" s="3" t="inlineStr">
        <is>
          <t>112-4243524-2877006</t>
        </is>
      </c>
      <c r="C5854" s="3" t="inlineStr">
        <is>
          <t>Autodist</t>
        </is>
      </c>
    </row>
    <row collapsed="false" customFormat="false" customHeight="false" hidden="false" ht="12.1" outlineLevel="0" r="5855">
      <c r="A5855" s="3" t="s">
        <f>=HYPERLINK("https://mp39851918.megaplan.ua/deals/121696/card/","20650")</f>
      </c>
      <c r="B5855" s="3" t="inlineStr">
        <is>
          <t>114-3709636-7414668</t>
        </is>
      </c>
      <c r="C5855" s="3" t="inlineStr">
        <is>
          <t>TuckerRocky</t>
        </is>
      </c>
    </row>
    <row collapsed="false" customFormat="false" customHeight="false" hidden="false" ht="12.1" outlineLevel="0" r="5856">
      <c r="A5856" s="3" t="s">
        <f>=HYPERLINK("https://mp39851918.megaplan.ua/deals/121697/card/","20651")</f>
      </c>
      <c r="B5856" s="3" t="inlineStr">
        <is>
          <t>113-8313356-8513813</t>
        </is>
      </c>
      <c r="C5856" s="3" t="inlineStr">
        <is>
          <t>Autodist</t>
        </is>
      </c>
    </row>
    <row collapsed="false" customFormat="false" customHeight="false" hidden="false" ht="12.1" outlineLevel="0" r="5857">
      <c r="A5857" s="3" t="s">
        <f>=HYPERLINK("https://mp39851918.megaplan.ua/deals/121708/card/","20653")</f>
      </c>
      <c r="B5857" s="3" t="inlineStr">
        <is>
          <t>113-9784778-4289002</t>
        </is>
      </c>
      <c r="C5857" s="3" t="inlineStr">
        <is>
          <t>RockyMountain</t>
        </is>
      </c>
    </row>
    <row collapsed="false" customFormat="false" customHeight="false" hidden="false" ht="12.1" outlineLevel="0" r="5858">
      <c r="A5858" s="3" t="s">
        <f>=HYPERLINK("https://mp39851918.megaplan.ua/deals/121714/card/","20654")</f>
      </c>
      <c r="B5858" s="3" t="inlineStr">
        <is>
          <t>112-6960738-1854619</t>
        </is>
      </c>
      <c r="C5858" s="3" t="inlineStr">
        <is>
          <t>RockyMountain</t>
        </is>
      </c>
    </row>
    <row collapsed="false" customFormat="false" customHeight="false" hidden="false" ht="12.1" outlineLevel="0" r="5859">
      <c r="A5859" s="3" t="s">
        <f>=HYPERLINK("https://mp39851918.megaplan.ua/deals/121759/card/","20657")</f>
      </c>
      <c r="B5859" s="3" t="inlineStr">
        <is>
          <t>111-1729314-1685052</t>
        </is>
      </c>
      <c r="C5859" s="3" t="inlineStr">
        <is>
          <t>RockyMountain</t>
        </is>
      </c>
    </row>
    <row collapsed="false" customFormat="false" customHeight="false" hidden="false" ht="12.1" outlineLevel="0" r="5860">
      <c r="A5860" s="3" t="s">
        <f>=HYPERLINK("https://mp39851918.megaplan.ua/deals/121771/card/","20658")</f>
      </c>
      <c r="B5860" s="3" t="inlineStr">
        <is>
          <t>113-6177780-0517827</t>
        </is>
      </c>
      <c r="C5860" s="3" t="inlineStr">
        <is>
          <t>TuckerRocky</t>
        </is>
      </c>
    </row>
    <row collapsed="false" customFormat="false" customHeight="false" hidden="false" ht="12.1" outlineLevel="0" r="5861">
      <c r="A5861" s="3" t="s">
        <f>=HYPERLINK("https://mp39851918.megaplan.ua/deals/121774/card/","20659")</f>
      </c>
      <c r="B5861" s="3" t="inlineStr">
        <is>
          <t>113-5255531-7679441</t>
        </is>
      </c>
      <c r="C5861" s="3" t="inlineStr">
        <is>
          <t>TuckerRocky</t>
        </is>
      </c>
    </row>
    <row collapsed="false" customFormat="false" customHeight="false" hidden="false" ht="12.1" outlineLevel="0" r="5862">
      <c r="A5862" s="3" t="s">
        <f>=HYPERLINK("https://mp39851918.megaplan.ua/deals/121775/card/","20660")</f>
      </c>
      <c r="B5862" s="3" t="inlineStr">
        <is>
          <t>113-6872446-5553017</t>
        </is>
      </c>
      <c r="C5862" s="3" t="inlineStr">
        <is>
          <t>PartsUnlimited</t>
        </is>
      </c>
    </row>
    <row collapsed="false" customFormat="false" customHeight="false" hidden="false" ht="12.1" outlineLevel="0" r="5863">
      <c r="A5863" s="3" t="s">
        <f>=HYPERLINK("https://mp39851918.megaplan.ua/deals/121779/card/","20661")</f>
      </c>
      <c r="B5863" s="3" t="inlineStr">
        <is>
          <t>111-2913102-3819444</t>
        </is>
      </c>
      <c r="C5863" s="3" t="inlineStr">
        <is>
          <t>RockyMountain</t>
        </is>
      </c>
    </row>
    <row collapsed="false" customFormat="false" customHeight="false" hidden="false" ht="12.1" outlineLevel="0" r="5864">
      <c r="A5864" s="3" t="s">
        <f>=HYPERLINK("https://mp39851918.megaplan.ua/deals/121780/card/","20662")</f>
      </c>
      <c r="B5864" s="3" t="inlineStr">
        <is>
          <t>112-4877247-4246644</t>
        </is>
      </c>
      <c r="C5864" s="3" t="inlineStr">
        <is>
          <t>RockyMountain</t>
        </is>
      </c>
    </row>
    <row collapsed="false" customFormat="false" customHeight="false" hidden="false" ht="12.1" outlineLevel="0" r="5865">
      <c r="A5865" s="3" t="s">
        <f>=HYPERLINK("https://mp39851918.megaplan.ua/deals/121789/card/","20663")</f>
      </c>
      <c r="B5865" s="3" t="inlineStr">
        <is>
          <t>111-3450270-0829811</t>
        </is>
      </c>
      <c r="C5865" s="3" t="inlineStr">
        <is>
          <t>RockyMountain</t>
        </is>
      </c>
    </row>
    <row collapsed="false" customFormat="false" customHeight="false" hidden="false" ht="12.1" outlineLevel="0" r="5866">
      <c r="A5866" s="3" t="s">
        <f>=HYPERLINK("https://mp39851918.megaplan.ua/deals/121801/card/","20664")</f>
      </c>
      <c r="B5866" s="3" t="inlineStr">
        <is>
          <t>113-9014501-4609856</t>
        </is>
      </c>
      <c r="C5866" s="3" t="inlineStr">
        <is>
          <t>RockyMountain</t>
        </is>
      </c>
    </row>
    <row collapsed="false" customFormat="false" customHeight="false" hidden="false" ht="12.1" outlineLevel="0" r="5867">
      <c r="A5867" s="3" t="s">
        <f>=HYPERLINK("https://mp39851918.megaplan.ua/deals/121803/card/","20665")</f>
      </c>
      <c r="B5867" s="3" t="inlineStr">
        <is>
          <t>114-1369154-3823408</t>
        </is>
      </c>
      <c r="C5867" s="3" t="inlineStr">
        <is>
          <t>RockyMountain</t>
        </is>
      </c>
    </row>
    <row collapsed="false" customFormat="false" customHeight="false" hidden="false" ht="12.1" outlineLevel="0" r="5868">
      <c r="A5868" s="3" t="s">
        <f>=HYPERLINK("https://mp39851918.megaplan.ua/deals/121805/card/","20666")</f>
      </c>
      <c r="B5868" s="3" t="inlineStr">
        <is>
          <t>112-2196711-8737852</t>
        </is>
      </c>
      <c r="C5868" s="3" t="inlineStr">
        <is>
          <t>TuckerRocky</t>
        </is>
      </c>
    </row>
    <row collapsed="false" customFormat="false" customHeight="false" hidden="false" ht="12.1" outlineLevel="0" r="5869">
      <c r="A5869" s="3" t="s">
        <f>=HYPERLINK("https://mp39851918.megaplan.ua/deals/121810/card/","20668")</f>
      </c>
      <c r="B5869" s="3" t="inlineStr">
        <is>
          <t>114-5130340-2714624</t>
        </is>
      </c>
      <c r="C5869" s="3" t="inlineStr">
        <is>
          <t>TuckerRocky</t>
        </is>
      </c>
    </row>
    <row collapsed="false" customFormat="false" customHeight="false" hidden="false" ht="12.1" outlineLevel="0" r="5870">
      <c r="A5870" s="3" t="s">
        <f>=HYPERLINK("https://mp39851918.megaplan.ua/deals/121816/card/","20669")</f>
      </c>
      <c r="B5870" s="3" t="inlineStr">
        <is>
          <t>111-6857482-8224243</t>
        </is>
      </c>
      <c r="C5870" s="3" t="inlineStr">
        <is>
          <t>TuckerRocky</t>
        </is>
      </c>
    </row>
    <row collapsed="false" customFormat="false" customHeight="false" hidden="false" ht="12.1" outlineLevel="0" r="5871">
      <c r="A5871" s="3" t="s">
        <f>=HYPERLINK("https://mp39851918.megaplan.ua/deals/121848/card/","20671")</f>
      </c>
      <c r="B5871" s="3" t="inlineStr">
        <is>
          <t>112-3421572-9954635</t>
        </is>
      </c>
      <c r="C5871" s="3" t="inlineStr">
        <is>
          <t>Autodist</t>
        </is>
      </c>
    </row>
    <row collapsed="false" customFormat="false" customHeight="false" hidden="false" ht="12.1" outlineLevel="0" r="5872">
      <c r="A5872" s="3" t="s">
        <f>=HYPERLINK("https://mp39851918.megaplan.ua/deals/121849/card/","20672")</f>
      </c>
      <c r="B5872" s="3" t="inlineStr">
        <is>
          <t>114-1101926-7335422</t>
        </is>
      </c>
      <c r="C5872" s="3" t="inlineStr">
        <is>
          <t>Autodist</t>
        </is>
      </c>
    </row>
    <row collapsed="false" customFormat="false" customHeight="false" hidden="false" ht="12.1" outlineLevel="0" r="5873">
      <c r="A5873" s="3" t="s">
        <f>=HYPERLINK("https://mp39851918.megaplan.ua/deals/121858/card/","20673")</f>
      </c>
      <c r="B5873" s="3" t="inlineStr">
        <is>
          <t>111-3589358-2810649</t>
        </is>
      </c>
      <c r="C5873" s="3" t="inlineStr">
        <is>
          <t>RockyMountain</t>
        </is>
      </c>
    </row>
    <row collapsed="false" customFormat="false" customHeight="false" hidden="false" ht="12.1" outlineLevel="0" r="5874">
      <c r="A5874" s="3" t="s">
        <f>=HYPERLINK("https://mp39851918.megaplan.ua/deals/121865/card/","20674")</f>
      </c>
      <c r="B5874" s="3" t="inlineStr">
        <is>
          <t>111-9706618-3058619</t>
        </is>
      </c>
      <c r="C5874" s="3" t="inlineStr">
        <is>
          <t>Autodist</t>
        </is>
      </c>
    </row>
    <row collapsed="false" customFormat="false" customHeight="false" hidden="false" ht="12.1" outlineLevel="0" r="5875">
      <c r="A5875" s="3" t="s">
        <f>=HYPERLINK("https://mp39851918.megaplan.ua/deals/121875/card/","20675")</f>
      </c>
      <c r="B5875" s="3" t="inlineStr">
        <is>
          <t>114-9570054-6977065</t>
        </is>
      </c>
      <c r="C5875" s="3" t="inlineStr">
        <is>
          <t>PartsUnlimited</t>
        </is>
      </c>
    </row>
    <row collapsed="false" customFormat="false" customHeight="false" hidden="false" ht="12.1" outlineLevel="0" r="5876">
      <c r="A5876" s="3" t="s">
        <f>=HYPERLINK("https://mp39851918.megaplan.ua/deals/121879/card/","20676")</f>
      </c>
      <c r="B5876" s="3" t="inlineStr">
        <is>
          <t>114-9570054-6977065</t>
        </is>
      </c>
      <c r="C5876" s="3" t="inlineStr">
        <is>
          <t>PartsUnlimited</t>
        </is>
      </c>
    </row>
    <row collapsed="false" customFormat="false" customHeight="false" hidden="false" ht="12.1" outlineLevel="0" r="5877">
      <c r="A5877" s="3" t="s">
        <f>=HYPERLINK("https://mp39851918.megaplan.ua/deals/121882/card/","20677")</f>
      </c>
      <c r="B5877" s="3" t="inlineStr">
        <is>
          <t>112-8438858-2753006</t>
        </is>
      </c>
      <c r="C5877" s="3" t="inlineStr">
        <is>
          <t>Autodist</t>
        </is>
      </c>
    </row>
    <row collapsed="false" customFormat="false" customHeight="false" hidden="false" ht="12.1" outlineLevel="0" r="5878">
      <c r="A5878" s="3" t="s">
        <f>=HYPERLINK("https://mp39851918.megaplan.ua/deals/121888/card/","20678")</f>
      </c>
      <c r="B5878" s="3" t="inlineStr">
        <is>
          <t>111-8679887-2513857</t>
        </is>
      </c>
      <c r="C5878" s="3" t="inlineStr">
        <is>
          <t>TuckerRocky</t>
        </is>
      </c>
    </row>
    <row collapsed="false" customFormat="false" customHeight="false" hidden="false" ht="12.1" outlineLevel="0" r="5879">
      <c r="A5879" s="3" t="s">
        <f>=HYPERLINK("https://mp39851918.megaplan.ua/deals/121894/card/","20679")</f>
      </c>
      <c r="B5879" s="3" t="inlineStr">
        <is>
          <t>114-3173596-2173007</t>
        </is>
      </c>
      <c r="C5879" s="3" t="inlineStr">
        <is>
          <t>TuckerRocky</t>
        </is>
      </c>
    </row>
    <row collapsed="false" customFormat="false" customHeight="false" hidden="false" ht="12.1" outlineLevel="0" r="5880">
      <c r="A5880" s="3" t="s">
        <f>=HYPERLINK("https://mp39851918.megaplan.ua/deals/121895/card/","20680")</f>
      </c>
      <c r="B5880" s="3" t="inlineStr">
        <is>
          <t>111-8013062-4846664</t>
        </is>
      </c>
      <c r="C5880" s="3" t="inlineStr">
        <is>
          <t>Autodist</t>
        </is>
      </c>
    </row>
    <row collapsed="false" customFormat="false" customHeight="false" hidden="false" ht="12.1" outlineLevel="0" r="5881">
      <c r="A5881" s="3" t="s">
        <f>=HYPERLINK("https://mp39851918.megaplan.ua/deals/121904/card/","20681")</f>
      </c>
      <c r="B5881" s="3" t="inlineStr">
        <is>
          <t>112-3949951-2211442</t>
        </is>
      </c>
      <c r="C5881" s="3" t="inlineStr">
        <is>
          <t>RockyMountain</t>
        </is>
      </c>
    </row>
    <row collapsed="false" customFormat="false" customHeight="false" hidden="false" ht="12.1" outlineLevel="0" r="5882">
      <c r="A5882" s="3" t="s">
        <f>=HYPERLINK("https://mp39851918.megaplan.ua/deals/121909/card/","20682")</f>
      </c>
      <c r="B5882" s="3" t="inlineStr">
        <is>
          <t>114-9364637-1015447</t>
        </is>
      </c>
      <c r="C5882" s="3" t="inlineStr">
        <is>
          <t>RockyMountain</t>
        </is>
      </c>
    </row>
    <row collapsed="false" customFormat="false" customHeight="false" hidden="false" ht="12.1" outlineLevel="0" r="5883">
      <c r="A5883" s="3" t="s">
        <f>=HYPERLINK("https://mp39851918.megaplan.ua/deals/121910/card/","20683")</f>
      </c>
      <c r="B5883" s="3" t="inlineStr">
        <is>
          <t>111-3663909-1902649</t>
        </is>
      </c>
      <c r="C5883" s="3" t="inlineStr">
        <is>
          <t>Autodist</t>
        </is>
      </c>
    </row>
    <row collapsed="false" customFormat="false" customHeight="false" hidden="false" ht="12.1" outlineLevel="0" r="5884">
      <c r="A5884" s="3" t="s">
        <f>=HYPERLINK("https://mp39851918.megaplan.ua/deals/121911/card/","20684")</f>
      </c>
      <c r="B5884" s="3" t="inlineStr">
        <is>
          <t>113-0087121-8715458</t>
        </is>
      </c>
      <c r="C5884" s="3" t="inlineStr">
        <is>
          <t>TuckerRocky</t>
        </is>
      </c>
    </row>
    <row collapsed="false" customFormat="false" customHeight="false" hidden="false" ht="12.1" outlineLevel="0" r="5885">
      <c r="A5885" s="3" t="s">
        <f>=HYPERLINK("https://mp39851918.megaplan.ua/deals/121928/card/","20685")</f>
      </c>
      <c r="B5885" s="3" t="inlineStr">
        <is>
          <t>111-9201431-2129068</t>
        </is>
      </c>
      <c r="C5885" s="3" t="inlineStr">
        <is>
          <t>RockyMountain</t>
        </is>
      </c>
    </row>
    <row collapsed="false" customFormat="false" customHeight="false" hidden="false" ht="12.1" outlineLevel="0" r="5886">
      <c r="A5886" s="3" t="s">
        <f>=HYPERLINK("https://mp39851918.megaplan.ua/deals/121933/card/","20686")</f>
      </c>
      <c r="B5886" s="3" t="inlineStr">
        <is>
          <t>111-5676635-2872212</t>
        </is>
      </c>
      <c r="C5886" s="3" t="inlineStr">
        <is>
          <t>RockyMountain</t>
        </is>
      </c>
    </row>
    <row collapsed="false" customFormat="false" customHeight="false" hidden="false" ht="12.1" outlineLevel="0" r="5887">
      <c r="A5887" s="3" t="s">
        <f>=HYPERLINK("https://mp39851918.megaplan.ua/deals/121937/card/","20687")</f>
      </c>
      <c r="B5887" s="3" t="inlineStr">
        <is>
          <t>114-0079966-7036263</t>
        </is>
      </c>
      <c r="C5887" s="3" t="inlineStr">
        <is>
          <t>TuckerRocky</t>
        </is>
      </c>
    </row>
    <row collapsed="false" customFormat="false" customHeight="false" hidden="false" ht="12.1" outlineLevel="0" r="5888">
      <c r="A5888" s="3" t="s">
        <f>=HYPERLINK("https://mp39851918.megaplan.ua/deals/121949/card/","20688")</f>
      </c>
      <c r="B5888" s="3" t="inlineStr">
        <is>
          <t>113-1432722-2307450</t>
        </is>
      </c>
      <c r="C5888" s="3" t="inlineStr">
        <is>
          <t>RockyMountain</t>
        </is>
      </c>
    </row>
    <row collapsed="false" customFormat="false" customHeight="false" hidden="false" ht="12.1" outlineLevel="0" r="5889">
      <c r="A5889" s="3" t="s">
        <f>=HYPERLINK("https://mp39851918.megaplan.ua/deals/121954/card/","20689")</f>
      </c>
      <c r="B5889" s="3" t="inlineStr">
        <is>
          <t>111-3668457-3061821</t>
        </is>
      </c>
      <c r="C5889" s="3" t="inlineStr">
        <is>
          <t>RockyMountain</t>
        </is>
      </c>
    </row>
    <row collapsed="false" customFormat="false" customHeight="false" hidden="false" ht="12.1" outlineLevel="0" r="5890">
      <c r="A5890" s="3" t="s">
        <f>=HYPERLINK("https://mp39851918.megaplan.ua/deals/121962/card/","20690")</f>
      </c>
      <c r="B5890" s="3" t="inlineStr">
        <is>
          <t>112-5141909-1361008</t>
        </is>
      </c>
      <c r="C5890" s="3" t="inlineStr">
        <is>
          <t>RockyMountain</t>
        </is>
      </c>
    </row>
    <row collapsed="false" customFormat="false" customHeight="false" hidden="false" ht="12.1" outlineLevel="0" r="5891">
      <c r="A5891" s="3" t="s">
        <f>=HYPERLINK("https://mp39851918.megaplan.ua/deals/121966/card/","20691")</f>
      </c>
      <c r="B5891" s="3" t="inlineStr">
        <is>
          <t>114-2281978-2057818</t>
        </is>
      </c>
      <c r="C5891" s="3" t="inlineStr">
        <is>
          <t>PartsUnlimited</t>
        </is>
      </c>
    </row>
    <row collapsed="false" customFormat="false" customHeight="false" hidden="false" ht="12.1" outlineLevel="0" r="5892">
      <c r="A5892" s="3" t="s">
        <f>=HYPERLINK("https://mp39851918.megaplan.ua/deals/121977/card/","20692")</f>
      </c>
      <c r="B5892" s="3" t="inlineStr">
        <is>
          <t>114-2477196-3289002</t>
        </is>
      </c>
      <c r="C5892" s="3" t="inlineStr">
        <is>
          <t>Autodist</t>
        </is>
      </c>
    </row>
    <row collapsed="false" customFormat="false" customHeight="false" hidden="false" ht="12.1" outlineLevel="0" r="5893">
      <c r="A5893" s="3" t="s">
        <f>=HYPERLINK("https://mp39851918.megaplan.ua/deals/121993/card/","20694")</f>
      </c>
      <c r="B5893" s="3" t="inlineStr">
        <is>
          <t>114-8463356-3728232</t>
        </is>
      </c>
      <c r="C5893" s="3" t="inlineStr">
        <is>
          <t>Autodist</t>
        </is>
      </c>
    </row>
    <row collapsed="false" customFormat="false" customHeight="false" hidden="false" ht="12.1" outlineLevel="0" r="5894">
      <c r="A5894" s="3" t="s">
        <f>=HYPERLINK("https://mp39851918.megaplan.ua/deals/122006/card/","20695")</f>
      </c>
      <c r="B5894" s="3" t="inlineStr">
        <is>
          <t>113-5399356-5864230</t>
        </is>
      </c>
      <c r="C5894" s="3" t="inlineStr">
        <is>
          <t>RockyMountain</t>
        </is>
      </c>
    </row>
    <row collapsed="false" customFormat="false" customHeight="false" hidden="false" ht="12.1" outlineLevel="0" r="5895">
      <c r="A5895" s="3" t="s">
        <f>=HYPERLINK("https://mp39851918.megaplan.ua/deals/122008/card/","20696")</f>
      </c>
      <c r="B5895" s="3" t="inlineStr">
        <is>
          <t>114-8680617-1403441</t>
        </is>
      </c>
      <c r="C5895" s="3" t="inlineStr">
        <is>
          <t>RockyMountain</t>
        </is>
      </c>
    </row>
    <row collapsed="false" customFormat="false" customHeight="false" hidden="false" ht="12.1" outlineLevel="0" r="5896">
      <c r="A5896" s="3" t="s">
        <f>=HYPERLINK("https://mp39851918.megaplan.ua/deals/122017/card/","20697")</f>
      </c>
      <c r="B5896" s="3" t="inlineStr">
        <is>
          <t>114-0258241-7418602</t>
        </is>
      </c>
      <c r="C5896" s="3" t="inlineStr">
        <is>
          <t>PartsUnlimited</t>
        </is>
      </c>
    </row>
    <row collapsed="false" customFormat="false" customHeight="false" hidden="false" ht="12.1" outlineLevel="0" r="5897">
      <c r="A5897" s="3" t="s">
        <f>=HYPERLINK("https://mp39851918.megaplan.ua/deals/122019/card/","20698")</f>
      </c>
      <c r="B5897" s="3" t="inlineStr">
        <is>
          <t>113-3534826-1435430</t>
        </is>
      </c>
      <c r="C5897" s="3" t="inlineStr">
        <is>
          <t>Autodist</t>
        </is>
      </c>
    </row>
    <row collapsed="false" customFormat="false" customHeight="false" hidden="false" ht="12.1" outlineLevel="0" r="5898">
      <c r="A5898" s="3" t="s">
        <f>=HYPERLINK("https://mp39851918.megaplan.ua/deals/122032/card/","20699")</f>
      </c>
      <c r="B5898" s="3" t="inlineStr">
        <is>
          <t>114-6602067-4833838</t>
        </is>
      </c>
      <c r="C5898" s="3" t="inlineStr">
        <is>
          <t>Autodist</t>
        </is>
      </c>
    </row>
    <row collapsed="false" customFormat="false" customHeight="false" hidden="false" ht="12.1" outlineLevel="0" r="5899">
      <c r="A5899" s="3" t="s">
        <f>=HYPERLINK("https://mp39851918.megaplan.ua/deals/122040/card/","20700")</f>
      </c>
      <c r="B5899" s="3" t="inlineStr">
        <is>
          <t>112-0393180-7058651</t>
        </is>
      </c>
      <c r="C5899" s="3" t="inlineStr">
        <is>
          <t>TuckerRocky</t>
        </is>
      </c>
    </row>
    <row collapsed="false" customFormat="false" customHeight="false" hidden="false" ht="12.1" outlineLevel="0" r="5900">
      <c r="A5900" s="3" t="s">
        <f>=HYPERLINK("https://mp39851918.megaplan.ua/deals/122047/card/","20702")</f>
      </c>
      <c r="B5900" s="3" t="inlineStr">
        <is>
          <t>111-6306063-9285806</t>
        </is>
      </c>
      <c r="C5900" s="3" t="inlineStr">
        <is>
          <t>Autodist</t>
        </is>
      </c>
    </row>
    <row collapsed="false" customFormat="false" customHeight="false" hidden="false" ht="12.1" outlineLevel="0" r="5901">
      <c r="A5901" s="3" t="s">
        <f>=HYPERLINK("https://mp39851918.megaplan.ua/deals/122057/card/","20703")</f>
      </c>
      <c r="B5901" s="3" t="inlineStr">
        <is>
          <t>112-3385674-6416225</t>
        </is>
      </c>
      <c r="C5901" s="3" t="inlineStr">
        <is>
          <t>Autodist</t>
        </is>
      </c>
    </row>
    <row collapsed="false" customFormat="false" customHeight="false" hidden="false" ht="12.1" outlineLevel="0" r="5902">
      <c r="A5902" s="3" t="s">
        <f>=HYPERLINK("https://mp39851918.megaplan.ua/deals/122058/card/","20704")</f>
      </c>
      <c r="B5902" s="3" t="inlineStr">
        <is>
          <t>114-4634507-7860246</t>
        </is>
      </c>
      <c r="C5902" s="3" t="inlineStr">
        <is>
          <t>Autodist</t>
        </is>
      </c>
    </row>
    <row collapsed="false" customFormat="false" customHeight="false" hidden="false" ht="12.1" outlineLevel="0" r="5903">
      <c r="A5903" s="3" t="s">
        <f>=HYPERLINK("https://mp39851918.megaplan.ua/deals/122059/card/","20705")</f>
      </c>
      <c r="B5903" s="3" t="inlineStr">
        <is>
          <t>114-7248637-6848232</t>
        </is>
      </c>
      <c r="C5903" s="3" t="inlineStr">
        <is>
          <t>TuckerRocky</t>
        </is>
      </c>
    </row>
    <row collapsed="false" customFormat="false" customHeight="false" hidden="false" ht="12.1" outlineLevel="0" r="5904">
      <c r="A5904" s="3" t="s">
        <f>=HYPERLINK("https://mp39851918.megaplan.ua/deals/122083/card/","20707")</f>
      </c>
      <c r="B5904" s="3" t="inlineStr">
        <is>
          <t>112-5654806-2593838</t>
        </is>
      </c>
      <c r="C5904" s="3" t="inlineStr">
        <is>
          <t>Autodist</t>
        </is>
      </c>
    </row>
    <row collapsed="false" customFormat="false" customHeight="false" hidden="false" ht="12.1" outlineLevel="0" r="5905">
      <c r="A5905" s="3" t="s">
        <f>=HYPERLINK("https://mp39851918.megaplan.ua/deals/122089/card/","20708")</f>
      </c>
      <c r="B5905" s="3" t="inlineStr">
        <is>
          <t>113-4659182-4189012</t>
        </is>
      </c>
      <c r="C5905" s="3" t="inlineStr">
        <is>
          <t>PartsUnlimited</t>
        </is>
      </c>
    </row>
    <row collapsed="false" customFormat="false" customHeight="false" hidden="false" ht="12.1" outlineLevel="0" r="5906">
      <c r="A5906" s="3" t="s">
        <f>=HYPERLINK("https://mp39851918.megaplan.ua/deals/122097/card/","20709")</f>
      </c>
      <c r="B5906" s="3" t="inlineStr">
        <is>
          <t>111-6797816-1704210</t>
        </is>
      </c>
      <c r="C5906" s="3" t="inlineStr">
        <is>
          <t>TuckerRocky</t>
        </is>
      </c>
    </row>
    <row collapsed="false" customFormat="false" customHeight="false" hidden="false" ht="12.1" outlineLevel="0" r="5907">
      <c r="A5907" s="3" t="s">
        <f>=HYPERLINK("https://mp39851918.megaplan.ua/deals/122098/card/","20710")</f>
      </c>
      <c r="B5907" s="3" t="inlineStr">
        <is>
          <t>114-2000676-3314618</t>
        </is>
      </c>
      <c r="C5907" s="3" t="inlineStr">
        <is>
          <t>TuckerRocky</t>
        </is>
      </c>
    </row>
    <row collapsed="false" customFormat="false" customHeight="false" hidden="false" ht="12.1" outlineLevel="0" r="5908">
      <c r="A5908" s="3" t="s">
        <f>=HYPERLINK("https://mp39851918.megaplan.ua/deals/122113/card/","20711")</f>
      </c>
      <c r="B5908" s="3" t="inlineStr">
        <is>
          <t>111-2549621-6775405</t>
        </is>
      </c>
      <c r="C5908" s="3" t="inlineStr">
        <is>
          <t>TuckerRocky</t>
        </is>
      </c>
    </row>
    <row collapsed="false" customFormat="false" customHeight="false" hidden="false" ht="12.1" outlineLevel="0" r="5909">
      <c r="A5909" s="3" t="s">
        <f>=HYPERLINK("https://mp39851918.megaplan.ua/deals/122122/card/","20712")</f>
      </c>
      <c r="B5909" s="3" t="inlineStr">
        <is>
          <t>113-7739001-0743412</t>
        </is>
      </c>
      <c r="C5909" s="3" t="inlineStr">
        <is>
          <t>Autodist</t>
        </is>
      </c>
    </row>
    <row collapsed="false" customFormat="false" customHeight="false" hidden="false" ht="12.1" outlineLevel="0" r="5910">
      <c r="A5910" s="3" t="s">
        <f>=HYPERLINK("https://mp39851918.megaplan.ua/deals/122129/card/","20713")</f>
      </c>
      <c r="B5910" s="3" t="inlineStr">
        <is>
          <t>114-7275077-0039468</t>
        </is>
      </c>
      <c r="C5910" s="3" t="inlineStr">
        <is>
          <t>RockyMountain</t>
        </is>
      </c>
    </row>
    <row collapsed="false" customFormat="false" customHeight="false" hidden="false" ht="12.1" outlineLevel="0" r="5911">
      <c r="A5911" s="3" t="s">
        <f>=HYPERLINK("https://mp39851918.megaplan.ua/deals/122130/card/","20714")</f>
      </c>
      <c r="B5911" s="3" t="inlineStr">
        <is>
          <t>113-5683742-5761020</t>
        </is>
      </c>
      <c r="C5911" s="3" t="inlineStr">
        <is>
          <t>Autodist</t>
        </is>
      </c>
    </row>
    <row collapsed="false" customFormat="false" customHeight="false" hidden="false" ht="12.1" outlineLevel="0" r="5912">
      <c r="A5912" s="3" t="s">
        <f>=HYPERLINK("https://mp39851918.megaplan.ua/deals/122131/card/","20715")</f>
      </c>
      <c r="B5912" s="3" t="inlineStr">
        <is>
          <t>112-0934202-7388248</t>
        </is>
      </c>
      <c r="C5912" s="3" t="inlineStr">
        <is>
          <t>Autodist</t>
        </is>
      </c>
    </row>
    <row collapsed="false" customFormat="false" customHeight="false" hidden="false" ht="12.1" outlineLevel="0" r="5913">
      <c r="A5913" s="3" t="s">
        <f>=HYPERLINK("https://mp39851918.megaplan.ua/deals/122143/card/","20716")</f>
      </c>
      <c r="B5913" s="3" t="inlineStr">
        <is>
          <t>111-0681502-2538619</t>
        </is>
      </c>
      <c r="C5913" s="3" t="inlineStr">
        <is>
          <t>RockyMountain</t>
        </is>
      </c>
    </row>
    <row collapsed="false" customFormat="false" customHeight="false" hidden="false" ht="12.1" outlineLevel="0" r="5914">
      <c r="A5914" s="3" t="s">
        <f>=HYPERLINK("https://mp39851918.megaplan.ua/deals/122146/card/","20717")</f>
      </c>
      <c r="B5914" s="3" t="inlineStr">
        <is>
          <t>114-6138084-8658640</t>
        </is>
      </c>
      <c r="C5914" s="3" t="inlineStr">
        <is>
          <t>Autodist</t>
        </is>
      </c>
    </row>
    <row collapsed="false" customFormat="false" customHeight="false" hidden="false" ht="12.1" outlineLevel="0" r="5915">
      <c r="A5915" s="3" t="s">
        <f>=HYPERLINK("https://mp39851918.megaplan.ua/deals/122147/card/","20718")</f>
      </c>
      <c r="B5915" s="3" t="inlineStr">
        <is>
          <t>114-6678987-3608205</t>
        </is>
      </c>
      <c r="C5915" s="3" t="inlineStr">
        <is>
          <t>RockyMountain</t>
        </is>
      </c>
    </row>
    <row collapsed="false" customFormat="false" customHeight="false" hidden="false" ht="12.1" outlineLevel="0" r="5916">
      <c r="A5916" s="3" t="s">
        <f>=HYPERLINK("https://mp39851918.megaplan.ua/deals/122155/card/","20719")</f>
      </c>
      <c r="B5916" s="3" t="inlineStr">
        <is>
          <t>114-9035735-7389838</t>
        </is>
      </c>
      <c r="C5916" s="3" t="inlineStr">
        <is>
          <t>RockyMountain</t>
        </is>
      </c>
    </row>
    <row collapsed="false" customFormat="false" customHeight="false" hidden="false" ht="12.1" outlineLevel="0" r="5917">
      <c r="A5917" s="3" t="s">
        <f>=HYPERLINK("https://mp39851918.megaplan.ua/deals/122163/card/","20721")</f>
      </c>
      <c r="B5917" s="3" t="inlineStr">
        <is>
          <t>112-2235698-0073839</t>
        </is>
      </c>
      <c r="C5917" s="3" t="inlineStr">
        <is>
          <t>Autodist</t>
        </is>
      </c>
    </row>
    <row collapsed="false" customFormat="false" customHeight="false" hidden="false" ht="12.1" outlineLevel="0" r="5918">
      <c r="A5918" s="3" t="s">
        <f>=HYPERLINK("https://mp39851918.megaplan.ua/deals/122164/card/","20722")</f>
      </c>
      <c r="B5918" s="3" t="inlineStr">
        <is>
          <t>113-8018956-9859433</t>
        </is>
      </c>
      <c r="C5918" s="3" t="inlineStr">
        <is>
          <t>TuckerRocky</t>
        </is>
      </c>
    </row>
    <row collapsed="false" customFormat="false" customHeight="false" hidden="false" ht="12.1" outlineLevel="0" r="5919">
      <c r="A5919" s="3" t="s">
        <f>=HYPERLINK("https://mp39851918.megaplan.ua/deals/122165/card/","20723")</f>
      </c>
      <c r="B5919" s="3" t="inlineStr">
        <is>
          <t>113-3319743-8794623</t>
        </is>
      </c>
      <c r="C5919" s="3" t="inlineStr">
        <is>
          <t>TuckerRocky</t>
        </is>
      </c>
    </row>
    <row collapsed="false" customFormat="false" customHeight="false" hidden="false" ht="12.1" outlineLevel="0" r="5920">
      <c r="A5920" s="3" t="s">
        <f>=HYPERLINK("https://mp39851918.megaplan.ua/deals/122166/card/","20724")</f>
      </c>
      <c r="B5920" s="3" t="inlineStr">
        <is>
          <t>114-4144681-7181010</t>
        </is>
      </c>
      <c r="C5920" s="3" t="inlineStr">
        <is>
          <t>TuckerRocky</t>
        </is>
      </c>
    </row>
    <row collapsed="false" customFormat="false" customHeight="false" hidden="false" ht="12.1" outlineLevel="0" r="5921">
      <c r="A5921" s="3" t="s">
        <f>=HYPERLINK("https://mp39851918.megaplan.ua/deals/122172/card/","20725")</f>
      </c>
      <c r="B5921" s="3" t="inlineStr">
        <is>
          <t>112-5706374-8989021</t>
        </is>
      </c>
      <c r="C5921" s="3" t="inlineStr">
        <is>
          <t>TuckerRocky</t>
        </is>
      </c>
    </row>
    <row collapsed="false" customFormat="false" customHeight="false" hidden="false" ht="12.1" outlineLevel="0" r="5922">
      <c r="A5922" s="3" t="s">
        <f>=HYPERLINK("https://mp39851918.megaplan.ua/deals/122179/card/","20726")</f>
      </c>
      <c r="B5922" s="3" t="inlineStr">
        <is>
          <t>111-4022515-0065830</t>
        </is>
      </c>
      <c r="C5922" s="3" t="inlineStr">
        <is>
          <t>RockyMountain</t>
        </is>
      </c>
    </row>
    <row collapsed="false" customFormat="false" customHeight="false" hidden="false" ht="12.1" outlineLevel="0" r="5923">
      <c r="A5923" s="3" t="s">
        <f>=HYPERLINK("https://mp39851918.megaplan.ua/deals/122181/card/","20727")</f>
      </c>
      <c r="B5923" s="3" t="inlineStr">
        <is>
          <t>112-6983068-2551408</t>
        </is>
      </c>
      <c r="C5923" s="3" t="inlineStr">
        <is>
          <t>RockyMountain</t>
        </is>
      </c>
    </row>
    <row collapsed="false" customFormat="false" customHeight="false" hidden="false" ht="12.1" outlineLevel="0" r="5924">
      <c r="A5924" s="3" t="s">
        <f>=HYPERLINK("https://mp39851918.megaplan.ua/deals/122183/card/","20728")</f>
      </c>
      <c r="B5924" s="3" t="inlineStr">
        <is>
          <t>114-8204792-1166664</t>
        </is>
      </c>
      <c r="C5924" s="3" t="inlineStr">
        <is>
          <t>Autodist</t>
        </is>
      </c>
    </row>
    <row collapsed="false" customFormat="false" customHeight="false" hidden="false" ht="12.1" outlineLevel="0" r="5925">
      <c r="A5925" s="3" t="s">
        <f>=HYPERLINK("https://mp39851918.megaplan.ua/deals/122186/card/","20729")</f>
      </c>
      <c r="B5925" s="3" t="inlineStr">
        <is>
          <t>112-6875324-3385018</t>
        </is>
      </c>
      <c r="C5925" s="3" t="inlineStr">
        <is>
          <t>PartsUnlimited</t>
        </is>
      </c>
    </row>
    <row collapsed="false" customFormat="false" customHeight="false" hidden="false" ht="12.1" outlineLevel="0" r="5926">
      <c r="A5926" s="3" t="s">
        <f>=HYPERLINK("https://mp39851918.megaplan.ua/deals/122193/card/","20730")</f>
      </c>
      <c r="B5926" s="3" t="inlineStr">
        <is>
          <t>111-3212536-9941833</t>
        </is>
      </c>
      <c r="C5926" s="3" t="inlineStr">
        <is>
          <t>PartsUnlimited</t>
        </is>
      </c>
    </row>
    <row collapsed="false" customFormat="false" customHeight="false" hidden="false" ht="12.1" outlineLevel="0" r="5927">
      <c r="A5927" s="3" t="s">
        <f>=HYPERLINK("https://mp39851918.megaplan.ua/deals/122197/card/","20731")</f>
      </c>
      <c r="B5927" s="3" t="inlineStr">
        <is>
          <t>111-4423740-8826618</t>
        </is>
      </c>
      <c r="C5927" s="3" t="inlineStr">
        <is>
          <t>RockyMountain</t>
        </is>
      </c>
    </row>
    <row collapsed="false" customFormat="false" customHeight="false" hidden="false" ht="12.1" outlineLevel="0" r="5928">
      <c r="A5928" s="3" t="s">
        <f>=HYPERLINK("https://mp39851918.megaplan.ua/deals/122202/card/","20732")</f>
      </c>
      <c r="B5928" s="3" t="inlineStr">
        <is>
          <t>111-9513591-8702648</t>
        </is>
      </c>
      <c r="C5928" s="3" t="inlineStr">
        <is>
          <t>RockyMountain</t>
        </is>
      </c>
    </row>
    <row collapsed="false" customFormat="false" customHeight="false" hidden="false" ht="12.1" outlineLevel="0" r="5929">
      <c r="A5929" s="3" t="s">
        <f>=HYPERLINK("https://mp39851918.megaplan.ua/deals/122206/card/","20733")</f>
      </c>
      <c r="B5929" s="3" t="inlineStr">
        <is>
          <t>111-6971106-6623442</t>
        </is>
      </c>
      <c r="C5929" s="3" t="inlineStr">
        <is>
          <t>Autodist</t>
        </is>
      </c>
    </row>
    <row collapsed="false" customFormat="false" customHeight="false" hidden="false" ht="12.1" outlineLevel="0" r="5930">
      <c r="A5930" s="3" t="s">
        <f>=HYPERLINK("https://mp39851918.megaplan.ua/deals/122214/card/","20734")</f>
      </c>
      <c r="B5930" s="3" t="inlineStr">
        <is>
          <t>112-6406872-5142610</t>
        </is>
      </c>
      <c r="C5930" s="3" t="inlineStr">
        <is>
          <t>RockyMountain</t>
        </is>
      </c>
    </row>
    <row collapsed="false" customFormat="false" customHeight="false" hidden="false" ht="12.1" outlineLevel="0" r="5931">
      <c r="A5931" s="3" t="s">
        <f>=HYPERLINK("https://mp39851918.megaplan.ua/deals/122218/card/","20735")</f>
      </c>
      <c r="B5931" s="3" t="inlineStr">
        <is>
          <t>112-3207967-0438623</t>
        </is>
      </c>
      <c r="C5931" s="3" t="inlineStr">
        <is>
          <t>RockyMountain</t>
        </is>
      </c>
    </row>
    <row collapsed="false" customFormat="false" customHeight="false" hidden="false" ht="12.1" outlineLevel="0" r="5932">
      <c r="A5932" s="3" t="s">
        <f>=HYPERLINK("https://mp39851918.megaplan.ua/deals/122220/card/","20736")</f>
      </c>
      <c r="B5932" s="3" t="inlineStr">
        <is>
          <t>112-5692907-0526608</t>
        </is>
      </c>
      <c r="C5932" s="3" t="inlineStr">
        <is>
          <t>TuckerRocky</t>
        </is>
      </c>
    </row>
    <row collapsed="false" customFormat="false" customHeight="false" hidden="false" ht="12.1" outlineLevel="0" r="5933">
      <c r="A5933" s="3" t="s">
        <f>=HYPERLINK("https://mp39851918.megaplan.ua/deals/122221/card/","20737")</f>
      </c>
      <c r="B5933" s="3" t="inlineStr">
        <is>
          <t>111-3690697-4410623</t>
        </is>
      </c>
      <c r="C5933" s="3" t="inlineStr">
        <is>
          <t>TuckerRocky</t>
        </is>
      </c>
    </row>
    <row collapsed="false" customFormat="false" customHeight="false" hidden="false" ht="12.1" outlineLevel="0" r="5934">
      <c r="A5934" s="3" t="s">
        <f>=HYPERLINK("https://mp39851918.megaplan.ua/deals/122238/card/","20739")</f>
      </c>
      <c r="B5934" s="3" t="inlineStr">
        <is>
          <t>114-8489382-0389003</t>
        </is>
      </c>
      <c r="C5934" s="3" t="inlineStr">
        <is>
          <t>TuckerRocky</t>
        </is>
      </c>
    </row>
    <row collapsed="false" customFormat="false" customHeight="false" hidden="false" ht="12.1" outlineLevel="0" r="5935">
      <c r="A5935" s="3" t="s">
        <f>=HYPERLINK("https://mp39851918.megaplan.ua/deals/122240/card/","20740")</f>
      </c>
      <c r="B5935" s="3" t="inlineStr">
        <is>
          <t>111-4860840-3777049</t>
        </is>
      </c>
      <c r="C5935" s="3" t="inlineStr">
        <is>
          <t>TuckerRocky</t>
        </is>
      </c>
    </row>
    <row collapsed="false" customFormat="false" customHeight="false" hidden="false" ht="12.1" outlineLevel="0" r="5936">
      <c r="A5936" s="3" t="s">
        <f>=HYPERLINK("https://mp39851918.megaplan.ua/deals/122246/card/","20741")</f>
      </c>
      <c r="B5936" s="3" t="inlineStr">
        <is>
          <t>114-6255270-7601027</t>
        </is>
      </c>
      <c r="C5936" s="3" t="inlineStr">
        <is>
          <t>TuckerRocky</t>
        </is>
      </c>
    </row>
    <row collapsed="false" customFormat="false" customHeight="false" hidden="false" ht="12.1" outlineLevel="0" r="5937">
      <c r="A5937" s="3" t="s">
        <f>=HYPERLINK("https://mp39851918.megaplan.ua/deals/122247/card/","20742")</f>
      </c>
      <c r="B5937" s="3" t="inlineStr">
        <is>
          <t>112-5691583-1801839</t>
        </is>
      </c>
      <c r="C5937" s="3" t="inlineStr">
        <is>
          <t>RockyMountain</t>
        </is>
      </c>
    </row>
    <row collapsed="false" customFormat="false" customHeight="false" hidden="false" ht="12.1" outlineLevel="0" r="5938">
      <c r="A5938" s="3" t="s">
        <f>=HYPERLINK("https://mp39851918.megaplan.ua/deals/122250/card/","20743")</f>
      </c>
      <c r="B5938" s="3" t="inlineStr">
        <is>
          <t>114-7324095-5262660</t>
        </is>
      </c>
      <c r="C5938" s="3" t="inlineStr">
        <is>
          <t>TuckerRocky</t>
        </is>
      </c>
    </row>
    <row collapsed="false" customFormat="false" customHeight="false" hidden="false" ht="12.1" outlineLevel="0" r="5939">
      <c r="A5939" s="3" t="s">
        <f>=HYPERLINK("https://mp39851918.megaplan.ua/deals/122255/card/","20744")</f>
      </c>
      <c r="B5939" s="3" t="inlineStr">
        <is>
          <t>112-0810430-1281819</t>
        </is>
      </c>
      <c r="C5939" s="3" t="inlineStr">
        <is>
          <t>TuckerRocky</t>
        </is>
      </c>
    </row>
    <row collapsed="false" customFormat="false" customHeight="false" hidden="false" ht="12.1" outlineLevel="0" r="5940">
      <c r="A5940" s="3" t="s">
        <f>=HYPERLINK("https://mp39851918.megaplan.ua/deals/122257/card/","20745")</f>
      </c>
      <c r="B5940" s="3" t="inlineStr">
        <is>
          <t>111-0388547-2849809</t>
        </is>
      </c>
      <c r="C5940" s="3" t="inlineStr">
        <is>
          <t>Autodist</t>
        </is>
      </c>
    </row>
    <row collapsed="false" customFormat="false" customHeight="false" hidden="false" ht="12.1" outlineLevel="0" r="5941">
      <c r="A5941" s="3" t="s">
        <f>=HYPERLINK("https://mp39851918.megaplan.ua/deals/122264/card/","20746")</f>
      </c>
      <c r="B5941" s="3" t="inlineStr">
        <is>
          <t>112-5372558-3089046</t>
        </is>
      </c>
      <c r="C5941" s="3" t="inlineStr">
        <is>
          <t>Autodist</t>
        </is>
      </c>
    </row>
    <row collapsed="false" customFormat="false" customHeight="false" hidden="false" ht="12.1" outlineLevel="0" r="5942">
      <c r="A5942" s="3" t="s">
        <f>=HYPERLINK("https://mp39851918.megaplan.ua/deals/122268/card/","20747")</f>
      </c>
      <c r="B5942" s="3" t="inlineStr">
        <is>
          <t>114-0331592-6322641</t>
        </is>
      </c>
      <c r="C5942" s="3" t="inlineStr">
        <is>
          <t>RockyMountain</t>
        </is>
      </c>
    </row>
    <row collapsed="false" customFormat="false" customHeight="false" hidden="false" ht="12.1" outlineLevel="0" r="5943">
      <c r="A5943" s="3" t="s">
        <f>=HYPERLINK("https://mp39851918.megaplan.ua/deals/122270/card/","20748")</f>
      </c>
      <c r="B5943" s="3" t="inlineStr">
        <is>
          <t>113-3134380-5346604</t>
        </is>
      </c>
      <c r="C5943" s="3" t="inlineStr">
        <is>
          <t>RockyMountain</t>
        </is>
      </c>
    </row>
    <row collapsed="false" customFormat="false" customHeight="false" hidden="false" ht="12.1" outlineLevel="0" r="5944">
      <c r="A5944" s="3" t="s">
        <f>=HYPERLINK("https://mp39851918.megaplan.ua/deals/122277/card/","20749")</f>
      </c>
      <c r="B5944" s="3" t="inlineStr">
        <is>
          <t>112-2258714-5707451</t>
        </is>
      </c>
      <c r="C5944" s="3" t="inlineStr">
        <is>
          <t>RockyMountain</t>
        </is>
      </c>
    </row>
    <row collapsed="false" customFormat="false" customHeight="false" hidden="false" ht="12.1" outlineLevel="0" r="5945">
      <c r="A5945" s="3" t="s">
        <f>=HYPERLINK("https://mp39851918.megaplan.ua/deals/122285/card/","20750")</f>
      </c>
      <c r="B5945" s="3" t="inlineStr">
        <is>
          <t>114-7498635-2422658</t>
        </is>
      </c>
      <c r="C5945" s="3" t="inlineStr">
        <is>
          <t>PartsUnlimited</t>
        </is>
      </c>
    </row>
    <row collapsed="false" customFormat="false" customHeight="false" hidden="false" ht="12.1" outlineLevel="0" r="5946">
      <c r="A5946" s="3" t="s">
        <f>=HYPERLINK("https://mp39851918.megaplan.ua/deals/122292/card/","20751")</f>
      </c>
      <c r="B5946" s="3" t="inlineStr">
        <is>
          <t>114-6255270-7601027</t>
        </is>
      </c>
      <c r="C5946" s="3" t="inlineStr">
        <is>
          <t>RockyMountain</t>
        </is>
      </c>
    </row>
    <row collapsed="false" customFormat="false" customHeight="false" hidden="false" ht="12.1" outlineLevel="0" r="5947">
      <c r="A5947" s="3" t="s">
        <f>=HYPERLINK("https://mp39851918.megaplan.ua/deals/122303/card/","20752")</f>
      </c>
      <c r="B5947" s="3" t="inlineStr">
        <is>
          <t>111-2420704-9338612</t>
        </is>
      </c>
      <c r="C5947" s="3" t="inlineStr">
        <is>
          <t>RockyMountain</t>
        </is>
      </c>
    </row>
    <row collapsed="false" customFormat="false" customHeight="false" hidden="false" ht="12.1" outlineLevel="0" r="5948">
      <c r="A5948" s="3" t="s">
        <f>=HYPERLINK("https://mp39851918.megaplan.ua/deals/122313/card/","20753")</f>
      </c>
      <c r="B5948" s="3" t="inlineStr">
        <is>
          <t>114-6584541-1854662</t>
        </is>
      </c>
      <c r="C5948" s="3" t="inlineStr">
        <is>
          <t>TuckerRocky</t>
        </is>
      </c>
    </row>
    <row collapsed="false" customFormat="false" customHeight="false" hidden="false" ht="12.1" outlineLevel="0" r="5949">
      <c r="A5949" s="3" t="s">
        <f>=HYPERLINK("https://mp39851918.megaplan.ua/deals/122325/card/","20755")</f>
      </c>
      <c r="B5949" s="3" t="inlineStr">
        <is>
          <t>111-0722446-6146610</t>
        </is>
      </c>
      <c r="C5949" s="3" t="inlineStr">
        <is>
          <t>TuckerRocky</t>
        </is>
      </c>
    </row>
    <row collapsed="false" customFormat="false" customHeight="false" hidden="false" ht="12.1" outlineLevel="0" r="5950">
      <c r="A5950" s="3" t="s">
        <f>=HYPERLINK("https://mp39851918.megaplan.ua/deals/122333/card/","20756")</f>
      </c>
      <c r="B5950" s="3" t="inlineStr">
        <is>
          <t>111-4126536-0869828</t>
        </is>
      </c>
      <c r="C5950" s="3" t="inlineStr">
        <is>
          <t>RockyMountain</t>
        </is>
      </c>
    </row>
    <row collapsed="false" customFormat="false" customHeight="false" hidden="false" ht="12.1" outlineLevel="0" r="5951">
      <c r="A5951" s="3" t="s">
        <f>=HYPERLINK("https://mp39851918.megaplan.ua/deals/122334/card/","20757")</f>
      </c>
      <c r="B5951" s="3" t="inlineStr">
        <is>
          <t>113-1843789-0437001</t>
        </is>
      </c>
      <c r="C5951" s="3" t="inlineStr">
        <is>
          <t>RockyMountain</t>
        </is>
      </c>
    </row>
    <row collapsed="false" customFormat="false" customHeight="false" hidden="false" ht="12.1" outlineLevel="0" r="5952">
      <c r="A5952" s="3" t="s">
        <f>=HYPERLINK("https://mp39851918.megaplan.ua/deals/122347/card/","20758")</f>
      </c>
      <c r="B5952" s="3" t="inlineStr">
        <is>
          <t>114-9560141-6349004</t>
        </is>
      </c>
      <c r="C5952" s="3" t="inlineStr">
        <is>
          <t>Autodist</t>
        </is>
      </c>
    </row>
    <row collapsed="false" customFormat="false" customHeight="false" hidden="false" ht="12.1" outlineLevel="0" r="5953">
      <c r="A5953" s="3" t="s">
        <f>=HYPERLINK("https://mp39851918.megaplan.ua/deals/122371/card/","20759")</f>
      </c>
      <c r="B5953" s="3" t="inlineStr">
        <is>
          <t>114-7168919-0357043</t>
        </is>
      </c>
      <c r="C5953" s="3" t="inlineStr">
        <is>
          <t>TuckerRocky</t>
        </is>
      </c>
    </row>
    <row collapsed="false" customFormat="false" customHeight="false" hidden="false" ht="12.1" outlineLevel="0" r="5954">
      <c r="A5954" s="3" t="s">
        <f>=HYPERLINK("https://mp39851918.megaplan.ua/deals/122376/card/","20760")</f>
      </c>
      <c r="B5954" s="3" t="inlineStr">
        <is>
          <t>112-7994049-8613823</t>
        </is>
      </c>
      <c r="C5954" s="3" t="inlineStr">
        <is>
          <t>Autodist</t>
        </is>
      </c>
    </row>
    <row collapsed="false" customFormat="false" customHeight="false" hidden="false" ht="12.1" outlineLevel="0" r="5955">
      <c r="A5955" s="3" t="s">
        <f>=HYPERLINK("https://mp39851918.megaplan.ua/deals/122382/card/","20762")</f>
      </c>
      <c r="B5955" s="3" t="inlineStr">
        <is>
          <t>111-6374342-9863451</t>
        </is>
      </c>
      <c r="C5955" s="3" t="inlineStr">
        <is>
          <t>TuckerRocky</t>
        </is>
      </c>
    </row>
    <row collapsed="false" customFormat="false" customHeight="false" hidden="false" ht="12.1" outlineLevel="0" r="5956">
      <c r="A5956" s="3" t="s">
        <f>=HYPERLINK("https://mp39851918.megaplan.ua/deals/122403/card/","20763")</f>
      </c>
      <c r="B5956" s="3" t="inlineStr">
        <is>
          <t>113-2522081-9313826</t>
        </is>
      </c>
      <c r="C5956" s="3" t="inlineStr">
        <is>
          <t>RockyMountain</t>
        </is>
      </c>
    </row>
    <row collapsed="false" customFormat="false" customHeight="false" hidden="false" ht="12.1" outlineLevel="0" r="5957">
      <c r="A5957" s="3" t="s">
        <f>=HYPERLINK("https://mp39851918.megaplan.ua/deals/122413/card/","20764")</f>
      </c>
      <c r="B5957" s="3" t="inlineStr">
        <is>
          <t>111-6534241-4800248</t>
        </is>
      </c>
      <c r="C5957" s="3" t="inlineStr">
        <is>
          <t>TuckerRocky</t>
        </is>
      </c>
    </row>
    <row collapsed="false" customFormat="false" customHeight="false" hidden="false" ht="12.1" outlineLevel="0" r="5958">
      <c r="A5958" s="3" t="s">
        <f>=HYPERLINK("https://mp39851918.megaplan.ua/deals/122414/card/","20765")</f>
      </c>
      <c r="B5958" s="3" t="inlineStr">
        <is>
          <t>111-2768809-3426648</t>
        </is>
      </c>
      <c r="C5958" s="3" t="inlineStr">
        <is>
          <t>Autodist</t>
        </is>
      </c>
    </row>
    <row collapsed="false" customFormat="false" customHeight="false" hidden="false" ht="12.1" outlineLevel="0" r="5959">
      <c r="A5959" s="3" t="s">
        <f>=HYPERLINK("https://mp39851918.megaplan.ua/deals/122423/card/","20766")</f>
      </c>
      <c r="B5959" s="3" t="inlineStr">
        <is>
          <t>113-3187775-3252256</t>
        </is>
      </c>
      <c r="C5959" s="3" t="inlineStr">
        <is>
          <t>Autodist</t>
        </is>
      </c>
    </row>
    <row collapsed="false" customFormat="false" customHeight="false" hidden="false" ht="12.1" outlineLevel="0" r="5960">
      <c r="A5960" s="3" t="s">
        <f>=HYPERLINK("https://mp39851918.megaplan.ua/deals/122424/card/","20767")</f>
      </c>
      <c r="B5960" s="3" t="inlineStr">
        <is>
          <t>113-0028255-6037015</t>
        </is>
      </c>
      <c r="C5960" s="3" t="inlineStr">
        <is>
          <t>RockyMountain</t>
        </is>
      </c>
    </row>
    <row collapsed="false" customFormat="false" customHeight="false" hidden="false" ht="12.1" outlineLevel="0" r="5961">
      <c r="A5961" s="3" t="s">
        <f>=HYPERLINK("https://mp39851918.megaplan.ua/deals/122441/card/","20769")</f>
      </c>
      <c r="B5961" s="3" t="inlineStr">
        <is>
          <t>114-9158238-8193814</t>
        </is>
      </c>
      <c r="C5961" s="3" t="inlineStr">
        <is>
          <t>Autodist</t>
        </is>
      </c>
    </row>
    <row collapsed="false" customFormat="false" customHeight="false" hidden="false" ht="12.1" outlineLevel="0" r="5962">
      <c r="A5962" s="3" t="s">
        <f>=HYPERLINK("https://mp39851918.megaplan.ua/deals/122445/card/","20770")</f>
      </c>
      <c r="B5962" s="3" t="inlineStr">
        <is>
          <t>113-1539342-3299441</t>
        </is>
      </c>
      <c r="C5962" s="3" t="inlineStr">
        <is>
          <t>TuckerRocky</t>
        </is>
      </c>
    </row>
    <row collapsed="false" customFormat="false" customHeight="false" hidden="false" ht="12.1" outlineLevel="0" r="5963">
      <c r="A5963" s="3" t="s">
        <f>=HYPERLINK("https://mp39851918.megaplan.ua/deals/122449/card/","20771")</f>
      </c>
      <c r="B5963" s="3" t="inlineStr">
        <is>
          <t>114-1321578-9861828</t>
        </is>
      </c>
      <c r="C5963" s="3" t="inlineStr">
        <is>
          <t>RockyMountain</t>
        </is>
      </c>
    </row>
    <row collapsed="false" customFormat="false" customHeight="false" hidden="false" ht="12.1" outlineLevel="0" r="5964">
      <c r="A5964" s="3" t="s">
        <f>=HYPERLINK("https://mp39851918.megaplan.ua/deals/122451/card/","20772")</f>
      </c>
      <c r="B5964" s="3" t="inlineStr">
        <is>
          <t>112-0162957-1432213</t>
        </is>
      </c>
      <c r="C5964" s="3" t="inlineStr">
        <is>
          <t>Autodist</t>
        </is>
      </c>
    </row>
    <row collapsed="false" customFormat="false" customHeight="false" hidden="false" ht="12.1" outlineLevel="0" r="5965">
      <c r="A5965" s="3" t="s">
        <f>=HYPERLINK("https://mp39851918.megaplan.ua/deals/122463/card/","20773")</f>
      </c>
      <c r="B5965" s="3" t="inlineStr">
        <is>
          <t>112-6941246-7039459</t>
        </is>
      </c>
      <c r="C5965" s="3" t="inlineStr">
        <is>
          <t>PartsUnlimited</t>
        </is>
      </c>
    </row>
    <row collapsed="false" customFormat="false" customHeight="false" hidden="false" ht="12.1" outlineLevel="0" r="5966">
      <c r="A5966" s="3" t="s">
        <f>=HYPERLINK("https://mp39851918.megaplan.ua/deals/122464/card/","20774")</f>
      </c>
      <c r="B5966" s="3" t="inlineStr">
        <is>
          <t>111-3957322-3309841</t>
        </is>
      </c>
      <c r="C5966" s="3" t="inlineStr">
        <is>
          <t>Autodist</t>
        </is>
      </c>
    </row>
    <row collapsed="false" customFormat="false" customHeight="false" hidden="false" ht="12.1" outlineLevel="0" r="5967">
      <c r="A5967" s="3" t="s">
        <f>=HYPERLINK("https://mp39851918.megaplan.ua/deals/122477/card/","20776")</f>
      </c>
      <c r="B5967" s="3" t="inlineStr">
        <is>
          <t>114-7835331-6682664</t>
        </is>
      </c>
      <c r="C5967" s="3" t="inlineStr">
        <is>
          <t>RockyMountain</t>
        </is>
      </c>
    </row>
    <row collapsed="false" customFormat="false" customHeight="false" hidden="false" ht="12.1" outlineLevel="0" r="5968">
      <c r="A5968" s="3" t="s">
        <f>=HYPERLINK("https://mp39851918.megaplan.ua/deals/122488/card/","20777")</f>
      </c>
      <c r="B5968" s="3" t="inlineStr">
        <is>
          <t>112-0275186-6590622</t>
        </is>
      </c>
      <c r="C5968" s="3" t="inlineStr">
        <is>
          <t>PartsUnlimited</t>
        </is>
      </c>
    </row>
    <row collapsed="false" customFormat="false" customHeight="false" hidden="false" ht="12.1" outlineLevel="0" r="5969">
      <c r="A5969" s="3" t="s">
        <f>=HYPERLINK("https://mp39851918.megaplan.ua/deals/122489/card/","20778")</f>
      </c>
      <c r="B5969" s="3" t="inlineStr">
        <is>
          <t>111-1054885-9357849</t>
        </is>
      </c>
      <c r="C5969" s="3" t="inlineStr">
        <is>
          <t>RockyMountain</t>
        </is>
      </c>
    </row>
    <row collapsed="false" customFormat="false" customHeight="false" hidden="false" ht="12.1" outlineLevel="0" r="5970">
      <c r="A5970" s="3" t="s">
        <f>=HYPERLINK("https://mp39851918.megaplan.ua/deals/122491/card/","20779")</f>
      </c>
      <c r="B5970" s="3" t="inlineStr">
        <is>
          <t>113-1222452-1474608</t>
        </is>
      </c>
      <c r="C5970" s="3" t="inlineStr">
        <is>
          <t>Autodist</t>
        </is>
      </c>
    </row>
    <row collapsed="false" customFormat="false" customHeight="false" hidden="false" ht="12.1" outlineLevel="0" r="5971">
      <c r="A5971" s="3" t="s">
        <f>=HYPERLINK("https://mp39851918.megaplan.ua/deals/122504/card/","20781")</f>
      </c>
      <c r="B5971" s="3" t="inlineStr">
        <is>
          <t>114-8646678-5009006</t>
        </is>
      </c>
      <c r="C5971" s="3" t="inlineStr">
        <is>
          <t>RockyMountain</t>
        </is>
      </c>
    </row>
    <row collapsed="false" customFormat="false" customHeight="false" hidden="false" ht="12.1" outlineLevel="0" r="5972">
      <c r="A5972" s="3" t="s">
        <f>=HYPERLINK("https://mp39851918.megaplan.ua/deals/122514/card/","20782")</f>
      </c>
      <c r="B5972" s="3" t="inlineStr">
        <is>
          <t>112-5320494-0328227</t>
        </is>
      </c>
      <c r="C5972" s="3" t="inlineStr">
        <is>
          <t>RockyMountain</t>
        </is>
      </c>
    </row>
    <row collapsed="false" customFormat="false" customHeight="false" hidden="false" ht="12.1" outlineLevel="0" r="5973">
      <c r="A5973" s="3" t="s">
        <f>=HYPERLINK("https://mp39851918.megaplan.ua/deals/122525/card/","20783")</f>
      </c>
      <c r="B5973" s="3" t="inlineStr">
        <is>
          <t>114-3560229-6386602</t>
        </is>
      </c>
      <c r="C5973" s="3" t="inlineStr">
        <is>
          <t>RockyMountain</t>
        </is>
      </c>
    </row>
    <row collapsed="false" customFormat="false" customHeight="false" hidden="false" ht="12.1" outlineLevel="0" r="5974">
      <c r="A5974" s="3" t="s">
        <f>=HYPERLINK("https://mp39851918.megaplan.ua/deals/122533/card/","20784")</f>
      </c>
      <c r="B5974" s="3" t="inlineStr">
        <is>
          <t>113-3130763-9197848</t>
        </is>
      </c>
      <c r="C5974" s="3" t="inlineStr">
        <is>
          <t>PartsUnlimited</t>
        </is>
      </c>
    </row>
    <row collapsed="false" customFormat="false" customHeight="false" hidden="false" ht="12.1" outlineLevel="0" r="5975">
      <c r="A5975" s="3" t="s">
        <f>=HYPERLINK("https://mp39851918.megaplan.ua/deals/122535/card/","20785")</f>
      </c>
      <c r="B5975" s="3" t="inlineStr">
        <is>
          <t>111-6966938-3560261</t>
        </is>
      </c>
      <c r="C5975" s="3" t="inlineStr">
        <is>
          <t>RockyMountain</t>
        </is>
      </c>
    </row>
    <row collapsed="false" customFormat="false" customHeight="false" hidden="false" ht="12.1" outlineLevel="0" r="5976">
      <c r="A5976" s="3" t="s">
        <f>=HYPERLINK("https://mp39851918.megaplan.ua/deals/122545/card/","20786")</f>
      </c>
      <c r="B5976" s="3" t="inlineStr">
        <is>
          <t>113-5777534-3953029</t>
        </is>
      </c>
      <c r="C5976" s="3" t="inlineStr">
        <is>
          <t>Autodist</t>
        </is>
      </c>
    </row>
    <row collapsed="false" customFormat="false" customHeight="false" hidden="false" ht="12.1" outlineLevel="0" r="5977">
      <c r="A5977" s="3" t="s">
        <f>=HYPERLINK("https://mp39851918.megaplan.ua/deals/122552/card/","20787")</f>
      </c>
      <c r="B5977" s="3" t="inlineStr">
        <is>
          <t>111-7374780-5373808</t>
        </is>
      </c>
      <c r="C5977" s="3" t="inlineStr">
        <is>
          <t>Autodist</t>
        </is>
      </c>
    </row>
    <row collapsed="false" customFormat="false" customHeight="false" hidden="false" ht="12.1" outlineLevel="0" r="5978">
      <c r="A5978" s="3" t="s">
        <f>=HYPERLINK("https://mp39851918.megaplan.ua/deals/122557/card/","20788")</f>
      </c>
      <c r="B5978" s="3" t="inlineStr">
        <is>
          <t>113-6438600-4093848</t>
        </is>
      </c>
      <c r="C5978" s="3" t="inlineStr">
        <is>
          <t>PartsUnlimited</t>
        </is>
      </c>
    </row>
    <row collapsed="false" customFormat="false" customHeight="false" hidden="false" ht="12.1" outlineLevel="0" r="5979">
      <c r="A5979" s="3" t="s">
        <f>=HYPERLINK("https://mp39851918.megaplan.ua/deals/122558/card/","20789")</f>
      </c>
      <c r="B5979" s="3" t="inlineStr">
        <is>
          <t>112-3354222-8432247</t>
        </is>
      </c>
      <c r="C5979" s="3" t="inlineStr">
        <is>
          <t>TuckerRocky</t>
        </is>
      </c>
    </row>
    <row collapsed="false" customFormat="false" customHeight="false" hidden="false" ht="12.1" outlineLevel="0" r="5980">
      <c r="A5980" s="3" t="s">
        <f>=HYPERLINK("https://mp39851918.megaplan.ua/deals/122559/card/","20790")</f>
      </c>
      <c r="B5980" s="3" t="inlineStr">
        <is>
          <t>113-4458327-5782610</t>
        </is>
      </c>
      <c r="C5980" s="3" t="inlineStr">
        <is>
          <t>RockyMountain</t>
        </is>
      </c>
    </row>
    <row collapsed="false" customFormat="false" customHeight="false" hidden="false" ht="12.1" outlineLevel="0" r="5981">
      <c r="A5981" s="3" t="s">
        <f>=HYPERLINK("https://mp39851918.megaplan.ua/deals/122560/card/","20791")</f>
      </c>
      <c r="B5981" s="3" t="inlineStr">
        <is>
          <t>112-9466692-6932234</t>
        </is>
      </c>
      <c r="C5981" s="3" t="inlineStr">
        <is>
          <t>Autodist</t>
        </is>
      </c>
    </row>
    <row collapsed="false" customFormat="false" customHeight="false" hidden="false" ht="12.1" outlineLevel="0" r="5982">
      <c r="A5982" s="3" t="s">
        <f>=HYPERLINK("https://mp39851918.megaplan.ua/deals/122566/card/","20792")</f>
      </c>
      <c r="B5982" s="3" t="inlineStr">
        <is>
          <t>114-6073615-6389024</t>
        </is>
      </c>
      <c r="C5982" s="3" t="inlineStr">
        <is>
          <t>RockyMountain</t>
        </is>
      </c>
    </row>
    <row collapsed="false" customFormat="false" customHeight="false" hidden="false" ht="12.1" outlineLevel="0" r="5983">
      <c r="A5983" s="3" t="s">
        <f>=HYPERLINK("https://mp39851918.megaplan.ua/deals/122575/card/","20793")</f>
      </c>
      <c r="B5983" s="3" t="inlineStr">
        <is>
          <t>113-6450990-3133842</t>
        </is>
      </c>
      <c r="C5983" s="3" t="inlineStr">
        <is>
          <t>RockyMountain</t>
        </is>
      </c>
    </row>
    <row collapsed="false" customFormat="false" customHeight="false" hidden="false" ht="12.1" outlineLevel="0" r="5984">
      <c r="A5984" s="3" t="s">
        <f>=HYPERLINK("https://mp39851918.megaplan.ua/deals/122577/card/","20794")</f>
      </c>
      <c r="B5984" s="3" t="inlineStr">
        <is>
          <t>113-1751233-2427449</t>
        </is>
      </c>
      <c r="C5984" s="3" t="inlineStr">
        <is>
          <t>Autodist</t>
        </is>
      </c>
    </row>
    <row collapsed="false" customFormat="false" customHeight="false" hidden="false" ht="12.1" outlineLevel="0" r="5985">
      <c r="A5985" s="3" t="s">
        <f>=HYPERLINK("https://mp39851918.megaplan.ua/deals/122585/card/","20795")</f>
      </c>
      <c r="B5985" s="3" t="inlineStr">
        <is>
          <t>113-9308727-9008206</t>
        </is>
      </c>
      <c r="C5985" s="3" t="inlineStr">
        <is>
          <t>Autodist</t>
        </is>
      </c>
    </row>
    <row collapsed="false" customFormat="false" customHeight="false" hidden="false" ht="12.1" outlineLevel="0" r="5986">
      <c r="A5986" s="3" t="s">
        <f>=HYPERLINK("https://mp39851918.megaplan.ua/deals/122589/card/","20796")</f>
      </c>
      <c r="B5986" s="3" t="inlineStr">
        <is>
          <t>114-3529675-7094624</t>
        </is>
      </c>
      <c r="C5986" s="3" t="inlineStr">
        <is>
          <t>RockyMountain</t>
        </is>
      </c>
    </row>
    <row collapsed="false" customFormat="false" customHeight="false" hidden="false" ht="12.1" outlineLevel="0" r="5987">
      <c r="A5987" s="3" t="s">
        <f>=HYPERLINK("https://mp39851918.megaplan.ua/deals/122591/card/","20797")</f>
      </c>
      <c r="B5987" s="3" t="inlineStr">
        <is>
          <t>111-4003112-2929831</t>
        </is>
      </c>
      <c r="C5987" s="3" t="inlineStr">
        <is>
          <t>RockyMountain</t>
        </is>
      </c>
    </row>
    <row collapsed="false" customFormat="false" customHeight="false" hidden="false" ht="12.1" outlineLevel="0" r="5988">
      <c r="A5988" s="3" t="s">
        <f>=HYPERLINK("https://mp39851918.megaplan.ua/deals/122592/card/","20798")</f>
      </c>
      <c r="B5988" s="3" t="inlineStr">
        <is>
          <t>114-2598736-8721014</t>
        </is>
      </c>
      <c r="C5988" s="3" t="inlineStr">
        <is>
          <t>Autodist</t>
        </is>
      </c>
    </row>
    <row collapsed="false" customFormat="false" customHeight="false" hidden="false" ht="12.1" outlineLevel="0" r="5989">
      <c r="A5989" s="3" t="s">
        <f>=HYPERLINK("https://mp39851918.megaplan.ua/deals/122595/card/","20799")</f>
      </c>
      <c r="B5989" s="3" t="inlineStr">
        <is>
          <t>112-0154466-3685037</t>
        </is>
      </c>
      <c r="C5989" s="3" t="inlineStr">
        <is>
          <t>RockyMountain</t>
        </is>
      </c>
    </row>
    <row collapsed="false" customFormat="false" customHeight="false" hidden="false" ht="12.1" outlineLevel="0" r="5990">
      <c r="A5990" s="3" t="s">
        <f>=HYPERLINK("https://mp39851918.megaplan.ua/deals/122597/card/","20800")</f>
      </c>
      <c r="B5990" s="3" t="inlineStr">
        <is>
          <t>114-0410817-7283405</t>
        </is>
      </c>
      <c r="C5990" s="3" t="inlineStr">
        <is>
          <t>RockyMountain</t>
        </is>
      </c>
    </row>
    <row collapsed="false" customFormat="false" customHeight="false" hidden="false" ht="12.1" outlineLevel="0" r="5991">
      <c r="A5991" s="3" t="s">
        <f>=HYPERLINK("https://mp39851918.megaplan.ua/deals/122612/card/","20802")</f>
      </c>
      <c r="B5991" s="3" t="inlineStr">
        <is>
          <t>114-0525395-4229834</t>
        </is>
      </c>
      <c r="C5991" s="3" t="inlineStr">
        <is>
          <t>TuckerRocky</t>
        </is>
      </c>
    </row>
    <row collapsed="false" customFormat="false" customHeight="false" hidden="false" ht="12.1" outlineLevel="0" r="5992">
      <c r="A5992" s="3" t="s">
        <f>=HYPERLINK("https://mp39851918.megaplan.ua/deals/122614/card/","20803")</f>
      </c>
      <c r="B5992" s="3" t="inlineStr">
        <is>
          <t>111-2668591-3836203</t>
        </is>
      </c>
      <c r="C5992" s="3" t="inlineStr">
        <is>
          <t>RockyMountain</t>
        </is>
      </c>
    </row>
    <row collapsed="false" customFormat="false" customHeight="false" hidden="false" ht="12.1" outlineLevel="0" r="5993">
      <c r="A5993" s="3" t="s">
        <f>=HYPERLINK("https://mp39851918.megaplan.ua/deals/122617/card/","20804")</f>
      </c>
      <c r="B5993" s="3" t="inlineStr">
        <is>
          <t>114-6676096-1081840</t>
        </is>
      </c>
      <c r="C5993" s="3" t="inlineStr">
        <is>
          <t>Autodist</t>
        </is>
      </c>
    </row>
    <row collapsed="false" customFormat="false" customHeight="false" hidden="false" ht="12.1" outlineLevel="0" r="5994">
      <c r="A5994" s="3" t="s">
        <f>=HYPERLINK("https://mp39851918.megaplan.ua/deals/122622/card/","20805")</f>
      </c>
      <c r="B5994" s="3" t="inlineStr">
        <is>
          <t>113-1902633-0737857</t>
        </is>
      </c>
      <c r="C5994" s="3" t="inlineStr">
        <is>
          <t>TuckerRocky</t>
        </is>
      </c>
    </row>
    <row collapsed="false" customFormat="false" customHeight="false" hidden="false" ht="12.1" outlineLevel="0" r="5995">
      <c r="A5995" s="3" t="s">
        <f>=HYPERLINK("https://mp39851918.megaplan.ua/deals/122625/card/","20806")</f>
      </c>
      <c r="B5995" s="3" t="inlineStr">
        <is>
          <t>114-0717040-9333831</t>
        </is>
      </c>
      <c r="C5995" s="3" t="inlineStr">
        <is>
          <t>TuckerRocky</t>
        </is>
      </c>
    </row>
    <row collapsed="false" customFormat="false" customHeight="false" hidden="false" ht="12.1" outlineLevel="0" r="5996">
      <c r="A5996" s="3" t="s">
        <f>=HYPERLINK("https://mp39851918.megaplan.ua/deals/122632/card/","20807")</f>
      </c>
      <c r="B5996" s="3" t="inlineStr">
        <is>
          <t>112-3785288-4137803</t>
        </is>
      </c>
      <c r="C5996" s="3" t="inlineStr">
        <is>
          <t>TuckerRocky</t>
        </is>
      </c>
    </row>
    <row collapsed="false" customFormat="false" customHeight="false" hidden="false" ht="12.1" outlineLevel="0" r="5997">
      <c r="A5997" s="3" t="s">
        <f>=HYPERLINK("https://mp39851918.megaplan.ua/deals/122633/card/","20808")</f>
      </c>
      <c r="B5997" s="3" t="inlineStr">
        <is>
          <t>114-9706099-0480222</t>
        </is>
      </c>
      <c r="C5997" s="3" t="inlineStr">
        <is>
          <t>TuckerRocky</t>
        </is>
      </c>
    </row>
    <row collapsed="false" customFormat="false" customHeight="false" hidden="false" ht="12.1" outlineLevel="0" r="5998">
      <c r="A5998" s="3" t="s">
        <f>=HYPERLINK("https://mp39851918.megaplan.ua/deals/122634/card/","20809")</f>
      </c>
      <c r="B5998" s="3" t="inlineStr">
        <is>
          <t>114-4439421-7986631</t>
        </is>
      </c>
      <c r="C5998" s="3" t="inlineStr">
        <is>
          <t>TuckerRocky</t>
        </is>
      </c>
    </row>
    <row collapsed="false" customFormat="false" customHeight="false" hidden="false" ht="12.1" outlineLevel="0" r="5999">
      <c r="A5999" s="3" t="s">
        <f>=HYPERLINK("https://mp39851918.megaplan.ua/deals/122635/card/","20810")</f>
      </c>
      <c r="B5999" s="3" t="inlineStr">
        <is>
          <t>113-0562692-1729806</t>
        </is>
      </c>
      <c r="C5999" s="3" t="inlineStr">
        <is>
          <t>TuckerRocky</t>
        </is>
      </c>
    </row>
    <row collapsed="false" customFormat="false" customHeight="false" hidden="false" ht="12.1" outlineLevel="0" r="6000">
      <c r="A6000" s="3" t="s">
        <f>=HYPERLINK("https://mp39851918.megaplan.ua/deals/122636/card/","20811")</f>
      </c>
      <c r="B6000" s="3" t="inlineStr">
        <is>
          <t>111-4749224-6174604</t>
        </is>
      </c>
      <c r="C6000" s="3" t="inlineStr">
        <is>
          <t>TuckerRocky</t>
        </is>
      </c>
    </row>
    <row collapsed="false" customFormat="false" customHeight="false" hidden="false" ht="12.1" outlineLevel="0" r="6001">
      <c r="A6001" s="3" t="s">
        <f>=HYPERLINK("https://mp39851918.megaplan.ua/deals/122639/card/","20812")</f>
      </c>
      <c r="B6001" s="3" t="inlineStr">
        <is>
          <t>114-4504571-9294639</t>
        </is>
      </c>
      <c r="C6001" s="3" t="inlineStr">
        <is>
          <t>RockyMountain</t>
        </is>
      </c>
    </row>
    <row collapsed="false" customFormat="false" customHeight="false" hidden="false" ht="12.1" outlineLevel="0" r="6002">
      <c r="A6002" s="3" t="s">
        <f>=HYPERLINK("https://mp39851918.megaplan.ua/deals/122641/card/","20813")</f>
      </c>
      <c r="B6002" s="3" t="inlineStr">
        <is>
          <t>111-8963674-1052247</t>
        </is>
      </c>
      <c r="C6002" s="3" t="inlineStr">
        <is>
          <t>PartsUnlimited</t>
        </is>
      </c>
    </row>
    <row collapsed="false" customFormat="false" customHeight="false" hidden="false" ht="12.1" outlineLevel="0" r="6003">
      <c r="A6003" s="3" t="s">
        <f>=HYPERLINK("https://mp39851918.megaplan.ua/deals/122643/card/","20814")</f>
      </c>
      <c r="B6003" s="3" t="inlineStr">
        <is>
          <t>113-3125158-4735445</t>
        </is>
      </c>
      <c r="C6003" s="3" t="inlineStr">
        <is>
          <t>RockyMountain</t>
        </is>
      </c>
    </row>
    <row collapsed="false" customFormat="false" customHeight="false" hidden="false" ht="12.1" outlineLevel="0" r="6004">
      <c r="A6004" s="3" t="s">
        <f>=HYPERLINK("https://mp39851918.megaplan.ua/deals/122650/card/","20816")</f>
      </c>
      <c r="B6004" s="3" t="inlineStr">
        <is>
          <t>113-6459568-1031423</t>
        </is>
      </c>
      <c r="C6004" s="3" t="inlineStr">
        <is>
          <t>RockyMountain</t>
        </is>
      </c>
    </row>
    <row collapsed="false" customFormat="false" customHeight="false" hidden="false" ht="12.1" outlineLevel="0" r="6005">
      <c r="A6005" s="3" t="s">
        <f>=HYPERLINK("https://mp39851918.megaplan.ua/deals/122654/card/","20817")</f>
      </c>
      <c r="B6005" s="3" t="inlineStr">
        <is>
          <t>113-6151119-2833805</t>
        </is>
      </c>
      <c r="C6005" s="3" t="inlineStr">
        <is>
          <t>TuckerRocky</t>
        </is>
      </c>
    </row>
    <row collapsed="false" customFormat="false" customHeight="false" hidden="false" ht="12.1" outlineLevel="0" r="6006">
      <c r="A6006" s="3" t="s">
        <f>=HYPERLINK("https://mp39851918.megaplan.ua/deals/122656/card/","20818")</f>
      </c>
      <c r="B6006" s="3" t="inlineStr">
        <is>
          <t>111-5887444-2465069</t>
        </is>
      </c>
      <c r="C6006" s="3" t="inlineStr">
        <is>
          <t>PartsUnlimited</t>
        </is>
      </c>
    </row>
    <row collapsed="false" customFormat="false" customHeight="false" hidden="false" ht="12.1" outlineLevel="0" r="6007">
      <c r="A6007" s="3" t="s">
        <f>=HYPERLINK("https://mp39851918.megaplan.ua/deals/122667/card/","20819")</f>
      </c>
      <c r="B6007" s="3" t="inlineStr">
        <is>
          <t>114-5748877-0793024</t>
        </is>
      </c>
      <c r="C6007" s="3" t="inlineStr">
        <is>
          <t>TuckerRocky</t>
        </is>
      </c>
    </row>
    <row collapsed="false" customFormat="false" customHeight="false" hidden="false" ht="12.1" outlineLevel="0" r="6008">
      <c r="A6008" s="3" t="s">
        <f>=HYPERLINK("https://mp39851918.megaplan.ua/deals/122674/card/","20820")</f>
      </c>
      <c r="B6008" s="3" t="inlineStr">
        <is>
          <t>113-4345189-3169004</t>
        </is>
      </c>
      <c r="C6008" s="3" t="inlineStr">
        <is>
          <t>PartsUnlimited</t>
        </is>
      </c>
    </row>
    <row collapsed="false" customFormat="false" customHeight="false" hidden="false" ht="12.1" outlineLevel="0" r="6009">
      <c r="A6009" s="3" t="s">
        <f>=HYPERLINK("https://mp39851918.megaplan.ua/deals/122677/card/","20821")</f>
      </c>
      <c r="B6009" s="3" t="inlineStr">
        <is>
          <t>113-5017367-1062661</t>
        </is>
      </c>
      <c r="C6009" s="3" t="inlineStr">
        <is>
          <t>TuckerRocky</t>
        </is>
      </c>
    </row>
    <row collapsed="false" customFormat="false" customHeight="false" hidden="false" ht="12.1" outlineLevel="0" r="6010">
      <c r="A6010" s="3" t="s">
        <f>=HYPERLINK("https://mp39851918.megaplan.ua/deals/122679/card/","20822")</f>
      </c>
      <c r="B6010" s="3" t="inlineStr">
        <is>
          <t>113-0598009-3643410</t>
        </is>
      </c>
      <c r="C6010" s="3" t="inlineStr">
        <is>
          <t>TuckerRocky</t>
        </is>
      </c>
    </row>
    <row collapsed="false" customFormat="false" customHeight="false" hidden="false" ht="12.1" outlineLevel="0" r="6011">
      <c r="A6011" s="3" t="s">
        <f>=HYPERLINK("https://mp39851918.megaplan.ua/deals/122686/card/","20823")</f>
      </c>
      <c r="B6011" s="3" t="inlineStr">
        <is>
          <t>114-6879326-1955463</t>
        </is>
      </c>
      <c r="C6011" s="3" t="inlineStr">
        <is>
          <t>RockyMountain</t>
        </is>
      </c>
    </row>
    <row collapsed="false" customFormat="false" customHeight="false" hidden="false" ht="12.1" outlineLevel="0" r="6012">
      <c r="A6012" s="3" t="s">
        <f>=HYPERLINK("https://mp39851918.megaplan.ua/deals/122700/card/","20825")</f>
      </c>
      <c r="B6012" s="3" t="inlineStr">
        <is>
          <t>113-2983346-4593003</t>
        </is>
      </c>
      <c r="C6012" s="3" t="inlineStr">
        <is>
          <t>RockyMountain</t>
        </is>
      </c>
    </row>
    <row collapsed="false" customFormat="false" customHeight="false" hidden="false" ht="12.1" outlineLevel="0" r="6013">
      <c r="A6013" s="3" t="s">
        <f>=HYPERLINK("https://mp39851918.megaplan.ua/deals/122702/card/","20826")</f>
      </c>
      <c r="B6013" s="3" t="inlineStr">
        <is>
          <t>112-2117469-5519416</t>
        </is>
      </c>
      <c r="C6013" s="3" t="inlineStr">
        <is>
          <t>Autodist</t>
        </is>
      </c>
    </row>
    <row collapsed="false" customFormat="false" customHeight="false" hidden="false" ht="12.1" outlineLevel="0" r="6014">
      <c r="A6014" s="3" t="s">
        <f>=HYPERLINK("https://mp39851918.megaplan.ua/deals/122715/card/","20827")</f>
      </c>
      <c r="B6014" s="3" t="inlineStr">
        <is>
          <t>111-1819968-2305807</t>
        </is>
      </c>
      <c r="C6014" s="3" t="inlineStr">
        <is>
          <t>Autodist</t>
        </is>
      </c>
    </row>
    <row collapsed="false" customFormat="false" customHeight="false" hidden="false" ht="12.1" outlineLevel="0" r="6015">
      <c r="A6015" s="3" t="s">
        <f>=HYPERLINK("https://mp39851918.megaplan.ua/deals/122725/card/","20828")</f>
      </c>
      <c r="B6015" s="3" t="inlineStr">
        <is>
          <t>111-7218352-2548245</t>
        </is>
      </c>
      <c r="C6015" s="3" t="inlineStr">
        <is>
          <t>RockyMountain</t>
        </is>
      </c>
    </row>
    <row collapsed="false" customFormat="false" customHeight="false" hidden="false" ht="12.1" outlineLevel="0" r="6016">
      <c r="A6016" s="3" t="s">
        <f>=HYPERLINK("https://mp39851918.megaplan.ua/deals/122726/card/","20829")</f>
      </c>
      <c r="B6016" s="3" t="inlineStr">
        <is>
          <t>113-9289470-3223423</t>
        </is>
      </c>
      <c r="C6016" s="3" t="inlineStr">
        <is>
          <t>RockyMountain</t>
        </is>
      </c>
    </row>
    <row collapsed="false" customFormat="false" customHeight="false" hidden="false" ht="12.1" outlineLevel="0" r="6017">
      <c r="A6017" s="3" t="s">
        <f>=HYPERLINK("https://mp39851918.megaplan.ua/deals/122727/card/","20830")</f>
      </c>
      <c r="B6017" s="3" t="inlineStr">
        <is>
          <t>113-2898239-2513064</t>
        </is>
      </c>
      <c r="C6017" s="3" t="inlineStr">
        <is>
          <t>TuckerRocky</t>
        </is>
      </c>
    </row>
    <row collapsed="false" customFormat="false" customHeight="false" hidden="false" ht="12.1" outlineLevel="0" r="6018">
      <c r="A6018" s="3" t="s">
        <f>=HYPERLINK("https://mp39851918.megaplan.ua/deals/122737/card/","20831")</f>
      </c>
      <c r="B6018" s="3" t="inlineStr">
        <is>
          <t>111-3880291-1512266</t>
        </is>
      </c>
      <c r="C6018" s="3" t="inlineStr">
        <is>
          <t>RockyMountain</t>
        </is>
      </c>
    </row>
    <row collapsed="false" customFormat="false" customHeight="false" hidden="false" ht="12.1" outlineLevel="0" r="6019">
      <c r="A6019" s="3" t="s">
        <f>=HYPERLINK("https://mp39851918.megaplan.ua/deals/122743/card/","20832")</f>
      </c>
      <c r="B6019" s="3" t="inlineStr">
        <is>
          <t>113-1217203-1846617</t>
        </is>
      </c>
      <c r="C6019" s="3" t="inlineStr">
        <is>
          <t>RockyMountain</t>
        </is>
      </c>
    </row>
    <row collapsed="false" customFormat="false" customHeight="false" hidden="false" ht="12.1" outlineLevel="0" r="6020">
      <c r="A6020" s="3" t="s">
        <f>=HYPERLINK("https://mp39851918.megaplan.ua/deals/122744/card/","20833")</f>
      </c>
      <c r="B6020" s="3" t="inlineStr">
        <is>
          <t>113-4028803-2102637</t>
        </is>
      </c>
      <c r="C6020" s="3" t="inlineStr">
        <is>
          <t>TuckerRocky</t>
        </is>
      </c>
    </row>
    <row collapsed="false" customFormat="false" customHeight="false" hidden="false" ht="12.1" outlineLevel="0" r="6021">
      <c r="A6021" s="3" t="s">
        <f>=HYPERLINK("https://mp39851918.megaplan.ua/deals/122746/card/","20834")</f>
      </c>
      <c r="B6021" s="3" t="inlineStr">
        <is>
          <t>114-9706099-0480222</t>
        </is>
      </c>
      <c r="C6021" s="3" t="inlineStr">
        <is>
          <t>RockyMountain</t>
        </is>
      </c>
    </row>
    <row collapsed="false" customFormat="false" customHeight="false" hidden="false" ht="12.1" outlineLevel="0" r="6022">
      <c r="A6022" s="3" t="s">
        <f>=HYPERLINK("https://mp39851918.megaplan.ua/deals/122748/card/","20835")</f>
      </c>
      <c r="B6022" s="3" t="inlineStr">
        <is>
          <t>114-9706099-0480222</t>
        </is>
      </c>
      <c r="C6022" s="3" t="inlineStr">
        <is>
          <t>RockyMountain</t>
        </is>
      </c>
    </row>
    <row collapsed="false" customFormat="false" customHeight="false" hidden="false" ht="12.1" outlineLevel="0" r="6023">
      <c r="A6023" s="3" t="s">
        <f>=HYPERLINK("https://mp39851918.megaplan.ua/deals/122752/card/","20836")</f>
      </c>
      <c r="B6023" s="3" t="inlineStr">
        <is>
          <t>114-4439421-7986631</t>
        </is>
      </c>
      <c r="C6023" s="3" t="inlineStr">
        <is>
          <t>RockyMountain</t>
        </is>
      </c>
    </row>
    <row collapsed="false" customFormat="false" customHeight="false" hidden="false" ht="12.1" outlineLevel="0" r="6024">
      <c r="A6024" s="3" t="s">
        <f>=HYPERLINK("https://mp39851918.megaplan.ua/deals/122753/card/","20837")</f>
      </c>
      <c r="B6024" s="3" t="inlineStr">
        <is>
          <t>113-0562692-1729806</t>
        </is>
      </c>
      <c r="C6024" s="3" t="inlineStr">
        <is>
          <t>RockyMountain</t>
        </is>
      </c>
    </row>
    <row collapsed="false" customFormat="false" customHeight="false" hidden="false" ht="12.1" outlineLevel="0" r="6025">
      <c r="A6025" s="3" t="s">
        <f>=HYPERLINK("https://mp39851918.megaplan.ua/deals/122754/card/","20838")</f>
      </c>
      <c r="B6025" s="3" t="inlineStr">
        <is>
          <t>113-0562692-1729806</t>
        </is>
      </c>
      <c r="C6025" s="3" t="inlineStr">
        <is>
          <t>RockyMountain</t>
        </is>
      </c>
    </row>
    <row collapsed="false" customFormat="false" customHeight="false" hidden="false" ht="12.1" outlineLevel="0" r="6026">
      <c r="A6026" s="3" t="s">
        <f>=HYPERLINK("https://mp39851918.megaplan.ua/deals/122755/card/","20839")</f>
      </c>
      <c r="B6026" s="3" t="inlineStr">
        <is>
          <t>111-4749224-6174604</t>
        </is>
      </c>
      <c r="C6026" s="3" t="inlineStr">
        <is>
          <t>RockyMountain</t>
        </is>
      </c>
    </row>
    <row collapsed="false" customFormat="false" customHeight="false" hidden="false" ht="12.1" outlineLevel="0" r="6027">
      <c r="A6027" s="3" t="s">
        <f>=HYPERLINK("https://mp39851918.megaplan.ua/deals/122768/card/","20840")</f>
      </c>
      <c r="B6027" s="3" t="inlineStr">
        <is>
          <t>112-7101550-9117828</t>
        </is>
      </c>
      <c r="C6027" s="3" t="inlineStr">
        <is>
          <t>TuckerRocky</t>
        </is>
      </c>
    </row>
    <row collapsed="false" customFormat="false" customHeight="false" hidden="false" ht="12.1" outlineLevel="0" r="6028">
      <c r="A6028" s="3" t="s">
        <f>=HYPERLINK("https://mp39851918.megaplan.ua/deals/122778/card/","20841")</f>
      </c>
      <c r="B6028" s="3" t="inlineStr">
        <is>
          <t>112-6375864-4094608</t>
        </is>
      </c>
      <c r="C6028" s="3" t="inlineStr">
        <is>
          <t>RockyMountain</t>
        </is>
      </c>
    </row>
    <row collapsed="false" customFormat="false" customHeight="false" hidden="false" ht="12.1" outlineLevel="0" r="6029">
      <c r="A6029" s="3" t="s">
        <f>=HYPERLINK("https://mp39851918.megaplan.ua/deals/122784/card/","20842")</f>
      </c>
      <c r="B6029" s="3" t="inlineStr">
        <is>
          <t>111-8929367-4651451</t>
        </is>
      </c>
      <c r="C6029" s="3" t="inlineStr">
        <is>
          <t>Autodist</t>
        </is>
      </c>
    </row>
    <row collapsed="false" customFormat="false" customHeight="false" hidden="false" ht="12.1" outlineLevel="0" r="6030">
      <c r="A6030" s="3" t="s">
        <f>=HYPERLINK("https://mp39851918.megaplan.ua/deals/122793/card/","20843")</f>
      </c>
      <c r="B6030" s="3" t="inlineStr">
        <is>
          <t>111-1047585-7435445</t>
        </is>
      </c>
      <c r="C6030" s="3" t="inlineStr">
        <is>
          <t>RockyMountain</t>
        </is>
      </c>
    </row>
    <row collapsed="false" customFormat="false" customHeight="false" hidden="false" ht="12.1" outlineLevel="0" r="6031">
      <c r="A6031" s="3" t="s">
        <f>=HYPERLINK("https://mp39851918.megaplan.ua/deals/122802/card/","20845")</f>
      </c>
      <c r="B6031" s="3" t="inlineStr">
        <is>
          <t>111-1118626-1150651</t>
        </is>
      </c>
      <c r="C6031" s="3" t="inlineStr">
        <is>
          <t>RockyMountain</t>
        </is>
      </c>
    </row>
    <row collapsed="false" customFormat="false" customHeight="false" hidden="false" ht="12.1" outlineLevel="0" r="6032">
      <c r="A6032" s="3" t="s">
        <f>=HYPERLINK("https://mp39851918.megaplan.ua/deals/122816/card/","20846")</f>
      </c>
      <c r="B6032" s="3" t="inlineStr">
        <is>
          <t>112-2329072-1994615</t>
        </is>
      </c>
      <c r="C6032" s="3" t="inlineStr">
        <is>
          <t>Autodist</t>
        </is>
      </c>
    </row>
    <row collapsed="false" customFormat="false" customHeight="false" hidden="false" ht="12.1" outlineLevel="0" r="6033">
      <c r="A6033" s="3" t="s">
        <f>=HYPERLINK("https://mp39851918.megaplan.ua/deals/122826/card/","20847")</f>
      </c>
      <c r="B6033" s="3" t="inlineStr">
        <is>
          <t>113-7346427-8361834</t>
        </is>
      </c>
      <c r="C6033" s="3" t="inlineStr">
        <is>
          <t>RockyMountain</t>
        </is>
      </c>
    </row>
    <row collapsed="false" customFormat="false" customHeight="false" hidden="false" ht="12.1" outlineLevel="0" r="6034">
      <c r="A6034" s="3" t="s">
        <f>=HYPERLINK("https://mp39851918.megaplan.ua/deals/122830/card/","20849")</f>
      </c>
      <c r="B6034" s="3" t="inlineStr">
        <is>
          <t>112-9105780-6023421</t>
        </is>
      </c>
      <c r="C6034" s="3" t="inlineStr">
        <is>
          <t>Autodist</t>
        </is>
      </c>
    </row>
    <row collapsed="false" customFormat="false" customHeight="false" hidden="false" ht="12.1" outlineLevel="0" r="6035">
      <c r="A6035" s="3" t="s">
        <f>=HYPERLINK("https://mp39851918.megaplan.ua/deals/122843/card/","20850")</f>
      </c>
      <c r="B6035" s="3" t="inlineStr">
        <is>
          <t>111-1506492-1573033</t>
        </is>
      </c>
      <c r="C6035" s="3" t="inlineStr">
        <is>
          <t>PartsUnlimited</t>
        </is>
      </c>
    </row>
    <row collapsed="false" customFormat="false" customHeight="false" hidden="false" ht="12.1" outlineLevel="0" r="6036">
      <c r="A6036" s="3" t="s">
        <f>=HYPERLINK("https://mp39851918.megaplan.ua/deals/122844/card/","20851")</f>
      </c>
      <c r="B6036" s="3" t="inlineStr">
        <is>
          <t>113-8236504-4178603</t>
        </is>
      </c>
      <c r="C6036" s="3" t="inlineStr">
        <is>
          <t>RockyMountain</t>
        </is>
      </c>
    </row>
    <row collapsed="false" customFormat="false" customHeight="false" hidden="false" ht="12.1" outlineLevel="0" r="6037">
      <c r="A6037" s="3" t="s">
        <f>=HYPERLINK("https://mp39851918.megaplan.ua/deals/122851/card/","20852")</f>
      </c>
      <c r="B6037" s="3" t="inlineStr">
        <is>
          <t>111-0469531-5545026</t>
        </is>
      </c>
      <c r="C6037" s="3" t="inlineStr">
        <is>
          <t>RockyMountain</t>
        </is>
      </c>
    </row>
    <row collapsed="false" customFormat="false" customHeight="false" hidden="false" ht="12.1" outlineLevel="0" r="6038">
      <c r="A6038" s="3" t="s">
        <f>=HYPERLINK("https://mp39851918.megaplan.ua/deals/122858/card/","20853")</f>
      </c>
      <c r="B6038" s="3" t="inlineStr">
        <is>
          <t>114-9651209-8838639</t>
        </is>
      </c>
      <c r="C6038" s="3" t="inlineStr">
        <is>
          <t>RockyMountain</t>
        </is>
      </c>
    </row>
    <row collapsed="false" customFormat="false" customHeight="false" hidden="false" ht="12.1" outlineLevel="0" r="6039">
      <c r="A6039" s="3" t="s">
        <f>=HYPERLINK("https://mp39851918.megaplan.ua/deals/122865/card/","20854")</f>
      </c>
      <c r="B6039" s="3" t="inlineStr">
        <is>
          <t>114-0970446-7605857</t>
        </is>
      </c>
      <c r="C6039" s="3" t="inlineStr">
        <is>
          <t>TuckerRocky</t>
        </is>
      </c>
    </row>
    <row collapsed="false" customFormat="false" customHeight="false" hidden="false" ht="12.1" outlineLevel="0" r="6040">
      <c r="A6040" s="3" t="s">
        <f>=HYPERLINK("https://mp39851918.megaplan.ua/deals/122866/card/","20855")</f>
      </c>
      <c r="B6040" s="3" t="inlineStr">
        <is>
          <t>112-4850319-2169066</t>
        </is>
      </c>
      <c r="C6040" s="3" t="inlineStr">
        <is>
          <t>PartsUnlimited</t>
        </is>
      </c>
    </row>
    <row collapsed="false" customFormat="false" customHeight="false" hidden="false" ht="12.1" outlineLevel="0" r="6041">
      <c r="A6041" s="3" t="s">
        <f>=HYPERLINK("https://mp39851918.megaplan.ua/deals/122870/card/","20856")</f>
      </c>
      <c r="B6041" s="3" t="inlineStr">
        <is>
          <t>111-4803516-5626622</t>
        </is>
      </c>
      <c r="C6041" s="3" t="inlineStr">
        <is>
          <t>PartsUnlimited</t>
        </is>
      </c>
    </row>
    <row collapsed="false" customFormat="false" customHeight="false" hidden="false" ht="12.1" outlineLevel="0" r="6042">
      <c r="A6042" s="3" t="s">
        <f>=HYPERLINK("https://mp39851918.megaplan.ua/deals/122888/card/","20858")</f>
      </c>
      <c r="B6042" s="3" t="inlineStr">
        <is>
          <t>113-5294885-7275401</t>
        </is>
      </c>
      <c r="C6042" s="3" t="inlineStr">
        <is>
          <t>TuckerRocky</t>
        </is>
      </c>
    </row>
    <row collapsed="false" customFormat="false" customHeight="false" hidden="false" ht="12.1" outlineLevel="0" r="6043">
      <c r="A6043" s="3" t="s">
        <f>=HYPERLINK("https://mp39851918.megaplan.ua/deals/122889/card/","20859")</f>
      </c>
      <c r="B6043" s="3" t="inlineStr">
        <is>
          <t>113-6898492-5595424</t>
        </is>
      </c>
      <c r="C6043" s="3" t="inlineStr">
        <is>
          <t>TuckerRocky</t>
        </is>
      </c>
    </row>
    <row collapsed="false" customFormat="false" customHeight="false" hidden="false" ht="12.1" outlineLevel="0" r="6044">
      <c r="A6044" s="3" t="s">
        <f>=HYPERLINK("https://mp39851918.megaplan.ua/deals/122892/card/","20860")</f>
      </c>
      <c r="B6044" s="3" t="inlineStr">
        <is>
          <t>112-1492461-2641054</t>
        </is>
      </c>
      <c r="C6044" s="3" t="inlineStr">
        <is>
          <t>Autodist</t>
        </is>
      </c>
    </row>
    <row collapsed="false" customFormat="false" customHeight="false" hidden="false" ht="12.1" outlineLevel="0" r="6045">
      <c r="A6045" s="3" t="s">
        <f>=HYPERLINK("https://mp39851918.megaplan.ua/deals/122893/card/","20861")</f>
      </c>
      <c r="B6045" s="3" t="inlineStr">
        <is>
          <t>113-2250798-2770638</t>
        </is>
      </c>
      <c r="C6045" s="3" t="inlineStr">
        <is>
          <t>TuckerRocky</t>
        </is>
      </c>
    </row>
    <row collapsed="false" customFormat="false" customHeight="false" hidden="false" ht="12.1" outlineLevel="0" r="6046">
      <c r="A6046" s="3" t="s">
        <f>=HYPERLINK("https://mp39851918.megaplan.ua/deals/122895/card/","20862")</f>
      </c>
      <c r="B6046" s="3" t="inlineStr">
        <is>
          <t>113-8717278-3911455</t>
        </is>
      </c>
      <c r="C6046" s="3" t="inlineStr">
        <is>
          <t>RockyMountain</t>
        </is>
      </c>
    </row>
    <row collapsed="false" customFormat="false" customHeight="false" hidden="false" ht="12.1" outlineLevel="0" r="6047">
      <c r="A6047" s="3" t="s">
        <f>=HYPERLINK("https://mp39851918.megaplan.ua/deals/122896/card/","20863")</f>
      </c>
      <c r="B6047" s="3" t="inlineStr">
        <is>
          <t>114-6383345-7914600</t>
        </is>
      </c>
      <c r="C6047" s="3" t="inlineStr">
        <is>
          <t>TuckerRocky</t>
        </is>
      </c>
    </row>
    <row collapsed="false" customFormat="false" customHeight="false" hidden="false" ht="12.1" outlineLevel="0" r="6048">
      <c r="A6048" s="3" t="s">
        <f>=HYPERLINK("https://mp39851918.megaplan.ua/deals/122909/card/","20865")</f>
      </c>
      <c r="B6048" s="3" t="inlineStr">
        <is>
          <t>114-5623845-2501016</t>
        </is>
      </c>
      <c r="C6048" s="3" t="inlineStr">
        <is>
          <t>TuckerRocky</t>
        </is>
      </c>
    </row>
    <row collapsed="false" customFormat="false" customHeight="false" hidden="false" ht="12.1" outlineLevel="0" r="6049">
      <c r="A6049" s="3" t="s">
        <f>=HYPERLINK("https://mp39851918.megaplan.ua/deals/122930/card/","20866")</f>
      </c>
      <c r="B6049" s="3" t="inlineStr">
        <is>
          <t>112-4301805-1527411</t>
        </is>
      </c>
      <c r="C6049" s="3" t="inlineStr">
        <is>
          <t>Autodist</t>
        </is>
      </c>
    </row>
    <row collapsed="false" customFormat="false" customHeight="false" hidden="false" ht="12.1" outlineLevel="0" r="6050">
      <c r="A6050" s="3" t="s">
        <f>=HYPERLINK("https://mp39851918.megaplan.ua/deals/122931/card/","20867")</f>
      </c>
      <c r="B6050" s="3" t="inlineStr">
        <is>
          <t>114-0882167-2930666</t>
        </is>
      </c>
      <c r="C6050" s="3" t="inlineStr">
        <is>
          <t>TuckerRocky</t>
        </is>
      </c>
    </row>
    <row collapsed="false" customFormat="false" customHeight="false" hidden="false" ht="12.1" outlineLevel="0" r="6051">
      <c r="A6051" s="3" t="s">
        <f>=HYPERLINK("https://mp39851918.megaplan.ua/deals/122938/card/","20868")</f>
      </c>
      <c r="B6051" s="3" t="inlineStr">
        <is>
          <t>112-3696117-7781851</t>
        </is>
      </c>
      <c r="C6051" s="3" t="inlineStr">
        <is>
          <t>Autodist</t>
        </is>
      </c>
    </row>
    <row collapsed="false" customFormat="false" customHeight="false" hidden="false" ht="12.1" outlineLevel="0" r="6052">
      <c r="A6052" s="3" t="s">
        <f>=HYPERLINK("https://mp39851918.megaplan.ua/deals/122949/card/","20870")</f>
      </c>
      <c r="B6052" s="3" t="inlineStr">
        <is>
          <t>112-2036407-4128219</t>
        </is>
      </c>
      <c r="C6052" s="3" t="inlineStr">
        <is>
          <t>RockyMountain</t>
        </is>
      </c>
    </row>
    <row collapsed="false" customFormat="false" customHeight="false" hidden="false" ht="12.1" outlineLevel="0" r="6053">
      <c r="A6053" s="3" t="s">
        <f>=HYPERLINK("https://mp39851918.megaplan.ua/deals/122950/card/","20871")</f>
      </c>
      <c r="B6053" s="3" t="inlineStr">
        <is>
          <t>113-7389085-4941842</t>
        </is>
      </c>
      <c r="C6053" s="3" t="inlineStr">
        <is>
          <t>RockyMountain</t>
        </is>
      </c>
    </row>
    <row collapsed="false" customFormat="false" customHeight="false" hidden="false" ht="12.1" outlineLevel="0" r="6054">
      <c r="A6054" s="3" t="s">
        <f>=HYPERLINK("https://mp39851918.megaplan.ua/deals/122955/card/","20872")</f>
      </c>
      <c r="B6054" s="3" t="inlineStr">
        <is>
          <t>112-5528303-6177861</t>
        </is>
      </c>
      <c r="C6054" s="3" t="inlineStr">
        <is>
          <t>RockyMountain</t>
        </is>
      </c>
    </row>
    <row collapsed="false" customFormat="false" customHeight="false" hidden="false" ht="12.1" outlineLevel="0" r="6055">
      <c r="A6055" s="3" t="s">
        <f>=HYPERLINK("https://mp39851918.megaplan.ua/deals/122972/card/","20874")</f>
      </c>
      <c r="B6055" s="3" t="inlineStr">
        <is>
          <t>111-0762221-6309854</t>
        </is>
      </c>
      <c r="C6055" s="3" t="inlineStr">
        <is>
          <t>RockyMountain</t>
        </is>
      </c>
    </row>
    <row collapsed="false" customFormat="false" customHeight="false" hidden="false" ht="12.1" outlineLevel="0" r="6056">
      <c r="A6056" s="3" t="s">
        <f>=HYPERLINK("https://mp39851918.megaplan.ua/deals/122973/card/","20875")</f>
      </c>
      <c r="B6056" s="3" t="inlineStr">
        <is>
          <t>113-9235816-5541031</t>
        </is>
      </c>
      <c r="C6056" s="3" t="inlineStr">
        <is>
          <t>Autodist</t>
        </is>
      </c>
    </row>
    <row collapsed="false" customFormat="false" customHeight="false" hidden="false" ht="12.1" outlineLevel="0" r="6057">
      <c r="A6057" s="3" t="s">
        <f>=HYPERLINK("https://mp39851918.megaplan.ua/deals/122976/card/","20876")</f>
      </c>
      <c r="B6057" s="3" t="inlineStr">
        <is>
          <t>114-9598044-6178654</t>
        </is>
      </c>
      <c r="C6057" s="3" t="inlineStr">
        <is>
          <t>PartsUnlimited</t>
        </is>
      </c>
    </row>
    <row collapsed="false" customFormat="false" customHeight="false" hidden="false" ht="12.1" outlineLevel="0" r="6058">
      <c r="A6058" s="3" t="s">
        <f>=HYPERLINK("https://mp39851918.megaplan.ua/deals/122979/card/","20877")</f>
      </c>
      <c r="B6058" s="3" t="inlineStr">
        <is>
          <t>111-5405200-4418605</t>
        </is>
      </c>
      <c r="C6058" s="3" t="inlineStr">
        <is>
          <t>TuckerRocky</t>
        </is>
      </c>
    </row>
    <row collapsed="false" customFormat="false" customHeight="false" hidden="false" ht="12.1" outlineLevel="0" r="6059">
      <c r="A6059" s="3" t="s">
        <f>=HYPERLINK("https://mp39851918.megaplan.ua/deals/122981/card/","20878")</f>
      </c>
      <c r="B6059" s="3" t="inlineStr">
        <is>
          <t>111-2543675-0171454</t>
        </is>
      </c>
      <c r="C6059" s="3" t="inlineStr">
        <is>
          <t>TuckerRocky</t>
        </is>
      </c>
    </row>
    <row collapsed="false" customFormat="false" customHeight="false" hidden="false" ht="12.1" outlineLevel="0" r="6060">
      <c r="A6060" s="3" t="s">
        <f>=HYPERLINK("https://mp39851918.megaplan.ua/deals/122982/card/","20879")</f>
      </c>
      <c r="B6060" s="3" t="inlineStr">
        <is>
          <t>111-3982274-9979430</t>
        </is>
      </c>
      <c r="C6060" s="3" t="inlineStr">
        <is>
          <t>TuckerRocky</t>
        </is>
      </c>
    </row>
    <row collapsed="false" customFormat="false" customHeight="false" hidden="false" ht="12.1" outlineLevel="0" r="6061">
      <c r="A6061" s="3" t="s">
        <f>=HYPERLINK("https://mp39851918.megaplan.ua/deals/122985/card/","20880")</f>
      </c>
      <c r="B6061" s="3" t="inlineStr">
        <is>
          <t>112-7101508-0997022</t>
        </is>
      </c>
      <c r="C6061" s="3" t="inlineStr">
        <is>
          <t>TuckerRocky</t>
        </is>
      </c>
    </row>
    <row collapsed="false" customFormat="false" customHeight="false" hidden="false" ht="12.1" outlineLevel="0" r="6062">
      <c r="A6062" s="3" t="s">
        <f>=HYPERLINK("https://mp39851918.megaplan.ua/deals/122987/card/","20881")</f>
      </c>
      <c r="B6062" s="3" t="inlineStr">
        <is>
          <t>114-8249637-0845804</t>
        </is>
      </c>
      <c r="C6062" s="3" t="inlineStr">
        <is>
          <t>TuckerRocky</t>
        </is>
      </c>
    </row>
    <row collapsed="false" customFormat="false" customHeight="false" hidden="false" ht="12.1" outlineLevel="0" r="6063">
      <c r="A6063" s="3" t="s">
        <f>=HYPERLINK("https://mp39851918.megaplan.ua/deals/122988/card/","20882")</f>
      </c>
      <c r="B6063" s="3" t="inlineStr">
        <is>
          <t>112-9557844-4726641</t>
        </is>
      </c>
      <c r="C6063" s="3" t="inlineStr">
        <is>
          <t>TuckerRocky</t>
        </is>
      </c>
    </row>
    <row collapsed="false" customFormat="false" customHeight="false" hidden="false" ht="12.1" outlineLevel="0" r="6064">
      <c r="A6064" s="3" t="s">
        <f>=HYPERLINK("https://mp39851918.megaplan.ua/deals/122994/card/","20883")</f>
      </c>
      <c r="B6064" s="3" t="inlineStr">
        <is>
          <t>113-1331404-2432262</t>
        </is>
      </c>
      <c r="C6064" s="3" t="inlineStr">
        <is>
          <t>TuckerRocky</t>
        </is>
      </c>
    </row>
    <row collapsed="false" customFormat="false" customHeight="false" hidden="false" ht="12.1" outlineLevel="0" r="6065">
      <c r="A6065" s="3" t="s">
        <f>=HYPERLINK("https://mp39851918.megaplan.ua/deals/122996/card/","20884")</f>
      </c>
      <c r="B6065" s="3" t="inlineStr">
        <is>
          <t>112-2120644-7453036</t>
        </is>
      </c>
      <c r="C6065" s="3" t="inlineStr">
        <is>
          <t>TuckerRocky</t>
        </is>
      </c>
    </row>
    <row collapsed="false" customFormat="false" customHeight="false" hidden="false" ht="12.1" outlineLevel="0" r="6066">
      <c r="A6066" s="3" t="s">
        <f>=HYPERLINK("https://mp39851918.megaplan.ua/deals/122997/card/","20885")</f>
      </c>
      <c r="B6066" s="3" t="inlineStr">
        <is>
          <t>112-2120644-7453036</t>
        </is>
      </c>
      <c r="C6066" s="3" t="inlineStr">
        <is>
          <t>TuckerRocky</t>
        </is>
      </c>
    </row>
    <row collapsed="false" customFormat="false" customHeight="false" hidden="false" ht="12.1" outlineLevel="0" r="6067">
      <c r="A6067" s="3" t="s">
        <f>=HYPERLINK("https://mp39851918.megaplan.ua/deals/123015/card/","20886")</f>
      </c>
      <c r="B6067" s="3" t="inlineStr">
        <is>
          <t>112-8275364-9669833</t>
        </is>
      </c>
      <c r="C6067" s="3" t="inlineStr">
        <is>
          <t>RockyMountain</t>
        </is>
      </c>
    </row>
    <row collapsed="false" customFormat="false" customHeight="false" hidden="false" ht="12.1" outlineLevel="0" r="6068">
      <c r="A6068" s="3" t="s">
        <f>=HYPERLINK("https://mp39851918.megaplan.ua/deals/123018/card/","20887")</f>
      </c>
      <c r="B6068" s="3" t="inlineStr">
        <is>
          <t>112-2971221-2039430</t>
        </is>
      </c>
      <c r="C6068" s="3" t="inlineStr">
        <is>
          <t>TuckerRocky</t>
        </is>
      </c>
    </row>
    <row collapsed="false" customFormat="false" customHeight="false" hidden="false" ht="12.1" outlineLevel="0" r="6069">
      <c r="A6069" s="3" t="s">
        <f>=HYPERLINK("https://mp39851918.megaplan.ua/deals/123029/card/","20888")</f>
      </c>
      <c r="B6069" s="3" t="inlineStr">
        <is>
          <t>113-8449326-2964208</t>
        </is>
      </c>
      <c r="C6069" s="3" t="inlineStr">
        <is>
          <t>PartsUnlimited</t>
        </is>
      </c>
    </row>
    <row collapsed="false" customFormat="false" customHeight="false" hidden="false" ht="12.1" outlineLevel="0" r="6070">
      <c r="A6070" s="3" t="s">
        <f>=HYPERLINK("https://mp39851918.megaplan.ua/deals/123041/card/","20890")</f>
      </c>
      <c r="B6070" s="3" t="inlineStr">
        <is>
          <t>111-2695216-8193032</t>
        </is>
      </c>
      <c r="C6070" s="3" t="inlineStr">
        <is>
          <t>Autodist</t>
        </is>
      </c>
    </row>
    <row collapsed="false" customFormat="false" customHeight="false" hidden="false" ht="12.1" outlineLevel="0" r="6071">
      <c r="A6071" s="3" t="s">
        <f>=HYPERLINK("https://mp39851918.megaplan.ua/deals/123064/card/","20891")</f>
      </c>
      <c r="B6071" s="3" t="inlineStr">
        <is>
          <t>112-2606721-1580219</t>
        </is>
      </c>
      <c r="C6071" s="3" t="inlineStr">
        <is>
          <t>Autodist</t>
        </is>
      </c>
    </row>
    <row collapsed="false" customFormat="false" customHeight="false" hidden="false" ht="12.1" outlineLevel="0" r="6072">
      <c r="A6072" s="3" t="s">
        <f>=HYPERLINK("https://mp39851918.megaplan.ua/deals/123069/card/","20892")</f>
      </c>
      <c r="B6072" s="3" t="inlineStr">
        <is>
          <t>112-2439347-7586642</t>
        </is>
      </c>
      <c r="C6072" s="3" t="inlineStr">
        <is>
          <t>Autodist</t>
        </is>
      </c>
    </row>
    <row collapsed="false" customFormat="false" customHeight="false" hidden="false" ht="12.1" outlineLevel="0" r="6073">
      <c r="A6073" s="3" t="s">
        <f>=HYPERLINK("https://mp39851918.megaplan.ua/deals/123074/card/","20893")</f>
      </c>
      <c r="B6073" s="3" t="inlineStr">
        <is>
          <t>111-2000526-8929002</t>
        </is>
      </c>
      <c r="C6073" s="3" t="inlineStr">
        <is>
          <t>RockyMountain</t>
        </is>
      </c>
    </row>
    <row collapsed="false" customFormat="false" customHeight="false" hidden="false" ht="12.1" outlineLevel="0" r="6074">
      <c r="A6074" s="3" t="s">
        <f>=HYPERLINK("https://mp39851918.megaplan.ua/deals/123092/card/","20894")</f>
      </c>
      <c r="B6074" s="3" t="inlineStr">
        <is>
          <t>114-0313320-7460227</t>
        </is>
      </c>
      <c r="C6074" s="3" t="inlineStr">
        <is>
          <t>RockyMountain</t>
        </is>
      </c>
    </row>
    <row collapsed="false" customFormat="false" customHeight="false" hidden="false" ht="12.1" outlineLevel="0" r="6075">
      <c r="A6075" s="3" t="s">
        <f>=HYPERLINK("https://mp39851918.megaplan.ua/deals/123093/card/","20895")</f>
      </c>
      <c r="B6075" s="3" t="inlineStr">
        <is>
          <t>111-8604414-5552202</t>
        </is>
      </c>
      <c r="C6075" s="3" t="inlineStr">
        <is>
          <t>TuckerRocky</t>
        </is>
      </c>
    </row>
    <row collapsed="false" customFormat="false" customHeight="false" hidden="false" ht="12.1" outlineLevel="0" r="6076">
      <c r="A6076" s="3" t="s">
        <f>=HYPERLINK("https://mp39851918.megaplan.ua/deals/123104/card/","20896")</f>
      </c>
      <c r="B6076" s="3" t="inlineStr">
        <is>
          <t>113-3846553-3601030</t>
        </is>
      </c>
      <c r="C6076" s="3" t="inlineStr">
        <is>
          <t>Autodist</t>
        </is>
      </c>
    </row>
    <row collapsed="false" customFormat="false" customHeight="false" hidden="false" ht="12.1" outlineLevel="0" r="6077">
      <c r="A6077" s="3" t="s">
        <f>=HYPERLINK("https://mp39851918.megaplan.ua/deals/123112/card/","20897")</f>
      </c>
      <c r="B6077" s="3" t="inlineStr">
        <is>
          <t>113-9189154-0455400</t>
        </is>
      </c>
      <c r="C6077" s="3" t="inlineStr">
        <is>
          <t>Autodist</t>
        </is>
      </c>
    </row>
    <row collapsed="false" customFormat="false" customHeight="false" hidden="false" ht="12.1" outlineLevel="0" r="6078">
      <c r="A6078" s="3" t="s">
        <f>=HYPERLINK("https://mp39851918.megaplan.ua/deals/123113/card/","20898")</f>
      </c>
      <c r="B6078" s="3" t="inlineStr">
        <is>
          <t>113-1530966-6837059</t>
        </is>
      </c>
      <c r="C6078" s="3" t="inlineStr">
        <is>
          <t>RockyMountain</t>
        </is>
      </c>
    </row>
    <row collapsed="false" customFormat="false" customHeight="false" hidden="false" ht="12.1" outlineLevel="0" r="6079">
      <c r="A6079" s="3" t="s">
        <f>=HYPERLINK("https://mp39851918.megaplan.ua/deals/123114/card/","20899")</f>
      </c>
      <c r="B6079" s="3" t="inlineStr">
        <is>
          <t>112-0007760-9489856</t>
        </is>
      </c>
      <c r="C6079" s="3" t="inlineStr">
        <is>
          <t>Autodist</t>
        </is>
      </c>
    </row>
    <row collapsed="false" customFormat="false" customHeight="false" hidden="false" ht="12.1" outlineLevel="0" r="6080">
      <c r="A6080" s="3" t="s">
        <f>=HYPERLINK("https://mp39851918.megaplan.ua/deals/123130/card/","20900")</f>
      </c>
      <c r="B6080" s="3" t="inlineStr">
        <is>
          <t>113-8554574-4198638</t>
        </is>
      </c>
      <c r="C6080" s="3" t="inlineStr">
        <is>
          <t>Autodist</t>
        </is>
      </c>
    </row>
    <row collapsed="false" customFormat="false" customHeight="false" hidden="false" ht="12.1" outlineLevel="0" r="6081">
      <c r="A6081" s="3" t="s">
        <f>=HYPERLINK("https://mp39851918.megaplan.ua/deals/123141/card/","20902")</f>
      </c>
      <c r="B6081" s="3" t="inlineStr">
        <is>
          <t>111-7683858-4683415</t>
        </is>
      </c>
      <c r="C6081" s="3" t="inlineStr">
        <is>
          <t>TuckerRocky</t>
        </is>
      </c>
    </row>
    <row collapsed="false" customFormat="false" customHeight="false" hidden="false" ht="12.1" outlineLevel="0" r="6082">
      <c r="A6082" s="3" t="s">
        <f>=HYPERLINK("https://mp39851918.megaplan.ua/deals/123151/card/","20903")</f>
      </c>
      <c r="B6082" s="3" t="inlineStr">
        <is>
          <t>112-2697341-1000220</t>
        </is>
      </c>
      <c r="C6082" s="3" t="inlineStr">
        <is>
          <t>Autodist</t>
        </is>
      </c>
    </row>
    <row collapsed="false" customFormat="false" customHeight="false" hidden="false" ht="12.1" outlineLevel="0" r="6083">
      <c r="A6083" s="3" t="s">
        <f>=HYPERLINK("https://mp39851918.megaplan.ua/deals/123156/card/","20904")</f>
      </c>
      <c r="B6083" s="3" t="inlineStr">
        <is>
          <t>111-3205616-3235451</t>
        </is>
      </c>
      <c r="C6083" s="3" t="inlineStr">
        <is>
          <t>Autodist</t>
        </is>
      </c>
    </row>
    <row collapsed="false" customFormat="false" customHeight="false" hidden="false" ht="12.1" outlineLevel="0" r="6084">
      <c r="A6084" s="3" t="s">
        <f>=HYPERLINK("https://mp39851918.megaplan.ua/deals/123159/card/","20905")</f>
      </c>
      <c r="B6084" s="3" t="inlineStr">
        <is>
          <t>112-0868331-0497820</t>
        </is>
      </c>
      <c r="C6084" s="3" t="inlineStr">
        <is>
          <t>Autodist</t>
        </is>
      </c>
    </row>
    <row collapsed="false" customFormat="false" customHeight="false" hidden="false" ht="12.1" outlineLevel="0" r="6085">
      <c r="A6085" s="3" t="s">
        <f>=HYPERLINK("https://mp39851918.megaplan.ua/deals/123168/card/","20906")</f>
      </c>
      <c r="B6085" s="3" t="inlineStr">
        <is>
          <t>114-5549431-6497045</t>
        </is>
      </c>
      <c r="C6085" s="3" t="inlineStr">
        <is>
          <t>Autodist</t>
        </is>
      </c>
    </row>
    <row collapsed="false" customFormat="false" customHeight="false" hidden="false" ht="12.1" outlineLevel="0" r="6086">
      <c r="A6086" s="3" t="s">
        <f>=HYPERLINK("https://mp39851918.megaplan.ua/deals/123176/card/","20908")</f>
      </c>
      <c r="B6086" s="3" t="inlineStr">
        <is>
          <t>111-1754921-6421056</t>
        </is>
      </c>
      <c r="C6086" s="3" t="inlineStr">
        <is>
          <t>PartsUnlimited</t>
        </is>
      </c>
    </row>
    <row collapsed="false" customFormat="false" customHeight="false" hidden="false" ht="12.1" outlineLevel="0" r="6087">
      <c r="A6087" s="3" t="s">
        <f>=HYPERLINK("https://mp39851918.megaplan.ua/deals/123177/card/","20909")</f>
      </c>
      <c r="B6087" s="3" t="inlineStr">
        <is>
          <t>111-5603714-3645805</t>
        </is>
      </c>
      <c r="C6087" s="3" t="inlineStr">
        <is>
          <t>RockyMountain</t>
        </is>
      </c>
    </row>
    <row collapsed="false" customFormat="false" customHeight="false" hidden="false" ht="12.1" outlineLevel="0" r="6088">
      <c r="A6088" s="3" t="s">
        <f>=HYPERLINK("https://mp39851918.megaplan.ua/deals/123178/card/","20910")</f>
      </c>
      <c r="B6088" s="3" t="inlineStr">
        <is>
          <t>114-8710230-2129853</t>
        </is>
      </c>
      <c r="C6088" s="3" t="inlineStr">
        <is>
          <t>RockyMountain</t>
        </is>
      </c>
    </row>
    <row collapsed="false" customFormat="false" customHeight="false" hidden="false" ht="12.1" outlineLevel="0" r="6089">
      <c r="A6089" s="3" t="s">
        <f>=HYPERLINK("https://mp39851918.megaplan.ua/deals/123180/card/","20911")</f>
      </c>
      <c r="B6089" s="3" t="inlineStr">
        <is>
          <t>114-3609776-8182665</t>
        </is>
      </c>
      <c r="C6089" s="3" t="inlineStr">
        <is>
          <t>Autodist</t>
        </is>
      </c>
    </row>
    <row collapsed="false" customFormat="false" customHeight="false" hidden="false" ht="12.1" outlineLevel="0" r="6090">
      <c r="A6090" s="3" t="s">
        <f>=HYPERLINK("https://mp39851918.megaplan.ua/deals/123186/card/","20912")</f>
      </c>
      <c r="B6090" s="3" t="inlineStr">
        <is>
          <t>113-1695421-0534651</t>
        </is>
      </c>
      <c r="C6090" s="3" t="inlineStr">
        <is>
          <t>Autodist</t>
        </is>
      </c>
    </row>
    <row collapsed="false" customFormat="false" customHeight="false" hidden="false" ht="12.1" outlineLevel="0" r="6091">
      <c r="A6091" s="3" t="s">
        <f>=HYPERLINK("https://mp39851918.megaplan.ua/deals/123198/card/","20914")</f>
      </c>
      <c r="B6091" s="3" t="inlineStr">
        <is>
          <t>111-1838207-4487463</t>
        </is>
      </c>
      <c r="C6091" s="3" t="inlineStr">
        <is>
          <t>TuckerRocky</t>
        </is>
      </c>
    </row>
    <row collapsed="false" customFormat="false" customHeight="false" hidden="false" ht="12.1" outlineLevel="0" r="6092">
      <c r="A6092" s="3" t="s">
        <f>=HYPERLINK("https://mp39851918.megaplan.ua/deals/123204/card/","20915")</f>
      </c>
      <c r="B6092" s="3" t="inlineStr">
        <is>
          <t>114-7510296-7065067</t>
        </is>
      </c>
      <c r="C6092" s="3" t="inlineStr">
        <is>
          <t>PartsUnlimited</t>
        </is>
      </c>
    </row>
    <row collapsed="false" customFormat="false" customHeight="false" hidden="false" ht="12.1" outlineLevel="0" r="6093">
      <c r="A6093" s="3" t="s">
        <f>=HYPERLINK("https://mp39851918.megaplan.ua/deals/123213/card/","20917")</f>
      </c>
      <c r="B6093" s="3" t="inlineStr">
        <is>
          <t>114-0431409-5948208</t>
        </is>
      </c>
      <c r="C6093" s="3" t="inlineStr">
        <is>
          <t>TuckerRocky</t>
        </is>
      </c>
    </row>
    <row collapsed="false" customFormat="false" customHeight="false" hidden="false" ht="12.1" outlineLevel="0" r="6094">
      <c r="A6094" s="3" t="s">
        <f>=HYPERLINK("https://mp39851918.megaplan.ua/deals/123215/card/","20918")</f>
      </c>
      <c r="B6094" s="3" t="inlineStr">
        <is>
          <t>114-6245429-9563432</t>
        </is>
      </c>
      <c r="C6094" s="3" t="inlineStr">
        <is>
          <t>RockyMountain</t>
        </is>
      </c>
    </row>
    <row collapsed="false" customFormat="false" customHeight="false" hidden="false" ht="12.1" outlineLevel="0" r="6095">
      <c r="A6095" s="3" t="s">
        <f>=HYPERLINK("https://mp39851918.megaplan.ua/deals/123229/card/","20920")</f>
      </c>
      <c r="B6095" s="3" t="inlineStr">
        <is>
          <t>113-1168072-3293039</t>
        </is>
      </c>
      <c r="C6095" s="3" t="inlineStr">
        <is>
          <t>RockyMountain</t>
        </is>
      </c>
    </row>
    <row collapsed="false" customFormat="false" customHeight="false" hidden="false" ht="12.1" outlineLevel="0" r="6096">
      <c r="A6096" s="3" t="s">
        <f>=HYPERLINK("https://mp39851918.megaplan.ua/deals/123230/card/","20921")</f>
      </c>
      <c r="B6096" s="3" t="inlineStr">
        <is>
          <t>112-4750167-4449051</t>
        </is>
      </c>
      <c r="C6096" s="3" t="inlineStr">
        <is>
          <t>PartsUnlimited</t>
        </is>
      </c>
    </row>
    <row collapsed="false" customFormat="false" customHeight="false" hidden="false" ht="12.1" outlineLevel="0" r="6097">
      <c r="A6097" s="3" t="s">
        <f>=HYPERLINK("https://mp39851918.megaplan.ua/deals/123243/card/","20922")</f>
      </c>
      <c r="B6097" s="3" t="inlineStr">
        <is>
          <t>111-6241125-3013848</t>
        </is>
      </c>
      <c r="C6097" s="3" t="inlineStr">
        <is>
          <t>PartsUnlimited</t>
        </is>
      </c>
    </row>
    <row collapsed="false" customFormat="false" customHeight="false" hidden="false" ht="12.1" outlineLevel="0" r="6098">
      <c r="A6098" s="3" t="s">
        <f>=HYPERLINK("https://mp39851918.megaplan.ua/deals/123246/card/","20923")</f>
      </c>
      <c r="B6098" s="3" t="inlineStr">
        <is>
          <t>112-6835174-8831445</t>
        </is>
      </c>
      <c r="C6098" s="3" t="inlineStr">
        <is>
          <t>RockyMountain</t>
        </is>
      </c>
    </row>
    <row collapsed="false" customFormat="false" customHeight="false" hidden="false" ht="12.1" outlineLevel="0" r="6099">
      <c r="A6099" s="3" t="s">
        <f>=HYPERLINK("https://mp39851918.megaplan.ua/deals/123248/card/","20924")</f>
      </c>
      <c r="B6099" s="3" t="inlineStr">
        <is>
          <t>111-6069393-5876228</t>
        </is>
      </c>
      <c r="C6099" s="3" t="inlineStr">
        <is>
          <t>PartsUnlimited</t>
        </is>
      </c>
    </row>
    <row collapsed="false" customFormat="false" customHeight="false" hidden="false" ht="12.1" outlineLevel="0" r="6100">
      <c r="A6100" s="3" t="s">
        <f>=HYPERLINK("https://mp39851918.megaplan.ua/deals/123267/card/","20925")</f>
      </c>
      <c r="B6100" s="3" t="inlineStr">
        <is>
          <t>111-9491687-0761022</t>
        </is>
      </c>
      <c r="C6100" s="3" t="inlineStr">
        <is>
          <t>RockyMountain</t>
        </is>
      </c>
    </row>
    <row collapsed="false" customFormat="false" customHeight="false" hidden="false" ht="12.1" outlineLevel="0" r="6101">
      <c r="A6101" s="3" t="s">
        <f>=HYPERLINK("https://mp39851918.megaplan.ua/deals/123268/card/","20926")</f>
      </c>
      <c r="B6101" s="3" t="inlineStr">
        <is>
          <t>114-7032627-8800259</t>
        </is>
      </c>
      <c r="C6101" s="3" t="inlineStr">
        <is>
          <t>TuckerRocky</t>
        </is>
      </c>
    </row>
    <row collapsed="false" customFormat="false" customHeight="false" hidden="false" ht="12.1" outlineLevel="0" r="6102">
      <c r="A6102" s="3" t="s">
        <f>=HYPERLINK("https://mp39851918.megaplan.ua/deals/123275/card/","20927")</f>
      </c>
      <c r="B6102" s="3" t="inlineStr">
        <is>
          <t>113-6145415-4931420</t>
        </is>
      </c>
      <c r="C6102" s="3" t="inlineStr">
        <is>
          <t>Autodist</t>
        </is>
      </c>
    </row>
    <row collapsed="false" customFormat="false" customHeight="false" hidden="false" ht="12.1" outlineLevel="0" r="6103">
      <c r="A6103" s="3" t="s">
        <f>=HYPERLINK("https://mp39851918.megaplan.ua/deals/123287/card/","20929")</f>
      </c>
      <c r="B6103" s="3" t="inlineStr">
        <is>
          <t>111-7329415-0059466</t>
        </is>
      </c>
      <c r="C6103" s="3" t="inlineStr">
        <is>
          <t>TuckerRocky</t>
        </is>
      </c>
    </row>
    <row collapsed="false" customFormat="false" customHeight="false" hidden="false" ht="12.1" outlineLevel="0" r="6104">
      <c r="A6104" s="3" t="s">
        <f>=HYPERLINK("https://mp39851918.megaplan.ua/deals/123293/card/","20931")</f>
      </c>
      <c r="B6104" s="3" t="inlineStr">
        <is>
          <t>111-9391098-9242621</t>
        </is>
      </c>
      <c r="C6104" s="3" t="inlineStr">
        <is>
          <t>RockyMountain</t>
        </is>
      </c>
    </row>
    <row collapsed="false" customFormat="false" customHeight="false" hidden="false" ht="12.1" outlineLevel="0" r="6105">
      <c r="A6105" s="3" t="s">
        <f>=HYPERLINK("https://mp39851918.megaplan.ua/deals/123297/card/","20932")</f>
      </c>
      <c r="B6105" s="3" t="inlineStr">
        <is>
          <t>111-2284363-0377829</t>
        </is>
      </c>
      <c r="C6105" s="3" t="inlineStr">
        <is>
          <t>TuckerRocky</t>
        </is>
      </c>
    </row>
    <row collapsed="false" customFormat="false" customHeight="false" hidden="false" ht="12.1" outlineLevel="0" r="6106">
      <c r="A6106" s="3" t="s">
        <f>=HYPERLINK("https://mp39851918.megaplan.ua/deals/123298/card/","20933")</f>
      </c>
      <c r="B6106" s="3" t="inlineStr">
        <is>
          <t>114-5664211-7914652</t>
        </is>
      </c>
      <c r="C6106" s="3" t="inlineStr">
        <is>
          <t>TuckerRocky</t>
        </is>
      </c>
    </row>
    <row collapsed="false" customFormat="false" customHeight="false" hidden="false" ht="12.1" outlineLevel="0" r="6107">
      <c r="A6107" s="3" t="s">
        <f>=HYPERLINK("https://mp39851918.megaplan.ua/deals/123310/card/","20934")</f>
      </c>
      <c r="B6107" s="3" t="inlineStr">
        <is>
          <t>113-8886976-9553053</t>
        </is>
      </c>
      <c r="C6107" s="3" t="inlineStr">
        <is>
          <t>TuckerRocky</t>
        </is>
      </c>
    </row>
    <row collapsed="false" customFormat="false" customHeight="false" hidden="false" ht="12.1" outlineLevel="0" r="6108">
      <c r="A6108" s="3" t="s">
        <f>=HYPERLINK("https://mp39851918.megaplan.ua/deals/123315/card/","20935")</f>
      </c>
      <c r="B6108" s="3" t="inlineStr">
        <is>
          <t>113-8509794-9249850</t>
        </is>
      </c>
      <c r="C6108" s="3" t="inlineStr">
        <is>
          <t>Autodist</t>
        </is>
      </c>
    </row>
    <row collapsed="false" customFormat="false" customHeight="false" hidden="false" ht="12.1" outlineLevel="0" r="6109">
      <c r="A6109" s="3" t="s">
        <f>=HYPERLINK("https://mp39851918.megaplan.ua/deals/123317/card/","20936")</f>
      </c>
      <c r="B6109" s="3" t="inlineStr">
        <is>
          <t>113-8703356-6763436</t>
        </is>
      </c>
      <c r="C6109" s="3" t="inlineStr">
        <is>
          <t>Autodist</t>
        </is>
      </c>
    </row>
    <row collapsed="false" customFormat="false" customHeight="false" hidden="false" ht="12.1" outlineLevel="0" r="6110">
      <c r="A6110" s="3" t="s">
        <f>=HYPERLINK("https://mp39851918.megaplan.ua/deals/123330/card/","20937")</f>
      </c>
      <c r="B6110" s="3" t="inlineStr">
        <is>
          <t>113-8891885-2291445</t>
        </is>
      </c>
      <c r="C6110" s="3" t="inlineStr">
        <is>
          <t>PartsUnlimited</t>
        </is>
      </c>
    </row>
    <row collapsed="false" customFormat="false" customHeight="false" hidden="false" ht="12.1" outlineLevel="0" r="6111">
      <c r="A6111" s="3" t="s">
        <f>=HYPERLINK("https://mp39851918.megaplan.ua/deals/123331/card/","20938")</f>
      </c>
      <c r="B6111" s="3" t="inlineStr">
        <is>
          <t>114-9521424-5367469</t>
        </is>
      </c>
      <c r="C6111" s="3" t="inlineStr">
        <is>
          <t>PartsUnlimited</t>
        </is>
      </c>
    </row>
    <row collapsed="false" customFormat="false" customHeight="false" hidden="false" ht="12.1" outlineLevel="0" r="6112">
      <c r="A6112" s="3" t="s">
        <f>=HYPERLINK("https://mp39851918.megaplan.ua/deals/123340/card/","20939")</f>
      </c>
      <c r="B6112" s="3" t="inlineStr">
        <is>
          <t>112-2414874-1639461</t>
        </is>
      </c>
      <c r="C6112" s="3" t="inlineStr">
        <is>
          <t>PartsUnlimited</t>
        </is>
      </c>
    </row>
    <row collapsed="false" customFormat="false" customHeight="false" hidden="false" ht="12.1" outlineLevel="0" r="6113">
      <c r="A6113" s="3" t="s">
        <f>=HYPERLINK("https://mp39851918.megaplan.ua/deals/123341/card/","20940")</f>
      </c>
      <c r="B6113" s="3" t="inlineStr">
        <is>
          <t>111-8064780-9546612</t>
        </is>
      </c>
      <c r="C6113" s="3" t="inlineStr">
        <is>
          <t>TuckerRocky</t>
        </is>
      </c>
    </row>
    <row collapsed="false" customFormat="false" customHeight="false" hidden="false" ht="12.1" outlineLevel="0" r="6114">
      <c r="A6114" s="3" t="s">
        <f>=HYPERLINK("https://mp39851918.megaplan.ua/deals/123349/card/","20941")</f>
      </c>
      <c r="B6114" s="3" t="inlineStr">
        <is>
          <t>112-9045927-2315442</t>
        </is>
      </c>
      <c r="C6114" s="3" t="inlineStr">
        <is>
          <t>RockyMountain</t>
        </is>
      </c>
    </row>
    <row collapsed="false" customFormat="false" customHeight="false" hidden="false" ht="12.1" outlineLevel="0" r="6115">
      <c r="A6115" s="3" t="s">
        <f>=HYPERLINK("https://mp39851918.megaplan.ua/deals/123362/card/","20942")</f>
      </c>
      <c r="B6115" s="3" t="inlineStr">
        <is>
          <t>113-1838678-0183453</t>
        </is>
      </c>
      <c r="C6115" s="3" t="inlineStr">
        <is>
          <t>RockyMountain</t>
        </is>
      </c>
    </row>
    <row collapsed="false" customFormat="false" customHeight="false" hidden="false" ht="12.1" outlineLevel="0" r="6116">
      <c r="A6116" s="3" t="s">
        <f>=HYPERLINK("https://mp39851918.megaplan.ua/deals/123364/card/","20943")</f>
      </c>
      <c r="B6116" s="3" t="inlineStr">
        <is>
          <t>113-8551739-1145807</t>
        </is>
      </c>
      <c r="C6116" s="3" t="inlineStr">
        <is>
          <t>RockyMountain</t>
        </is>
      </c>
    </row>
    <row collapsed="false" customFormat="false" customHeight="false" hidden="false" ht="12.1" outlineLevel="0" r="6117">
      <c r="A6117" s="3" t="s">
        <f>=HYPERLINK("https://mp39851918.megaplan.ua/deals/123367/card/","20945")</f>
      </c>
      <c r="B6117" s="3" t="inlineStr">
        <is>
          <t>113-4755748-6377867</t>
        </is>
      </c>
      <c r="C6117" s="3" t="inlineStr">
        <is>
          <t>Autodist</t>
        </is>
      </c>
    </row>
    <row collapsed="false" customFormat="false" customHeight="false" hidden="false" ht="12.1" outlineLevel="0" r="6118">
      <c r="A6118" s="3" t="s">
        <f>=HYPERLINK("https://mp39851918.megaplan.ua/deals/123390/card/","20946")</f>
      </c>
      <c r="B6118" s="3" t="inlineStr">
        <is>
          <t>114-0250979-9975430</t>
        </is>
      </c>
      <c r="C6118" s="3" t="inlineStr">
        <is>
          <t>TuckerRocky</t>
        </is>
      </c>
    </row>
    <row collapsed="false" customFormat="false" customHeight="false" hidden="false" ht="12.1" outlineLevel="0" r="6119">
      <c r="A6119" s="3" t="s">
        <f>=HYPERLINK("https://mp39851918.megaplan.ua/deals/123394/card/","20947")</f>
      </c>
      <c r="B6119" s="3" t="inlineStr">
        <is>
          <t>114-1309299-0143439</t>
        </is>
      </c>
      <c r="C6119" s="3" t="inlineStr">
        <is>
          <t>Autodist</t>
        </is>
      </c>
    </row>
    <row collapsed="false" customFormat="false" customHeight="false" hidden="false" ht="12.1" outlineLevel="0" r="6120">
      <c r="A6120" s="3" t="s">
        <f>=HYPERLINK("https://mp39851918.megaplan.ua/deals/123406/card/","20949")</f>
      </c>
      <c r="B6120" s="3" t="inlineStr">
        <is>
          <t>114-5681169-8110668</t>
        </is>
      </c>
      <c r="C6120" s="3" t="inlineStr">
        <is>
          <t>TuckerRocky</t>
        </is>
      </c>
    </row>
    <row collapsed="false" customFormat="false" customHeight="false" hidden="false" ht="12.1" outlineLevel="0" r="6121">
      <c r="A6121" s="3" t="s">
        <f>=HYPERLINK("https://mp39851918.megaplan.ua/deals/123413/card/","20950")</f>
      </c>
      <c r="B6121" s="3" t="inlineStr">
        <is>
          <t>114-7585588-6273017</t>
        </is>
      </c>
      <c r="C6121" s="3" t="inlineStr">
        <is>
          <t>TuckerRocky</t>
        </is>
      </c>
    </row>
    <row collapsed="false" customFormat="false" customHeight="false" hidden="false" ht="12.1" outlineLevel="0" r="6122">
      <c r="A6122" s="3" t="s">
        <f>=HYPERLINK("https://mp39851918.megaplan.ua/deals/123417/card/","20951")</f>
      </c>
      <c r="B6122" s="3" t="inlineStr">
        <is>
          <t>111-0380931-0950620</t>
        </is>
      </c>
      <c r="C6122" s="3" t="inlineStr">
        <is>
          <t>TuckerRocky</t>
        </is>
      </c>
    </row>
    <row collapsed="false" customFormat="false" customHeight="false" hidden="false" ht="12.1" outlineLevel="0" r="6123">
      <c r="A6123" s="3" t="s">
        <f>=HYPERLINK("https://mp39851918.megaplan.ua/deals/123423/card/","20952")</f>
      </c>
      <c r="B6123" s="3" t="inlineStr">
        <is>
          <t>114-7206252-6767462</t>
        </is>
      </c>
      <c r="C6123" s="3" t="inlineStr">
        <is>
          <t>TuckerRocky</t>
        </is>
      </c>
    </row>
    <row collapsed="false" customFormat="false" customHeight="false" hidden="false" ht="12.1" outlineLevel="0" r="6124">
      <c r="A6124" s="3" t="s">
        <f>=HYPERLINK("https://mp39851918.megaplan.ua/deals/123448/card/","20953")</f>
      </c>
      <c r="B6124" s="3" t="inlineStr">
        <is>
          <t>112-3441835-9904204</t>
        </is>
      </c>
      <c r="C6124" s="3" t="inlineStr">
        <is>
          <t>PartsUnlimited</t>
        </is>
      </c>
    </row>
    <row collapsed="false" customFormat="false" customHeight="false" hidden="false" ht="12.1" outlineLevel="0" r="6125">
      <c r="A6125" s="3" t="s">
        <f>=HYPERLINK("https://mp39851918.megaplan.ua/deals/123461/card/","20954")</f>
      </c>
      <c r="B6125" s="3" t="inlineStr">
        <is>
          <t>113-4906501-9878601</t>
        </is>
      </c>
      <c r="C6125" s="3" t="inlineStr">
        <is>
          <t>Autodist</t>
        </is>
      </c>
    </row>
    <row collapsed="false" customFormat="false" customHeight="false" hidden="false" ht="12.1" outlineLevel="0" r="6126">
      <c r="A6126" s="3" t="s">
        <f>=HYPERLINK("https://mp39851918.megaplan.ua/deals/123467/card/","20955")</f>
      </c>
      <c r="B6126" s="3" t="inlineStr">
        <is>
          <t>111-2065750-1145023</t>
        </is>
      </c>
      <c r="C6126" s="3" t="inlineStr">
        <is>
          <t>TuckerRocky</t>
        </is>
      </c>
    </row>
    <row collapsed="false" customFormat="false" customHeight="false" hidden="false" ht="12.1" outlineLevel="0" r="6127">
      <c r="A6127" s="3" t="s">
        <f>=HYPERLINK("https://mp39851918.megaplan.ua/deals/123478/card/","20956")</f>
      </c>
      <c r="B6127" s="3" t="inlineStr">
        <is>
          <t>112-7997525-4726629</t>
        </is>
      </c>
      <c r="C6127" s="3" t="inlineStr">
        <is>
          <t>TuckerRocky</t>
        </is>
      </c>
    </row>
    <row collapsed="false" customFormat="false" customHeight="false" hidden="false" ht="12.1" outlineLevel="0" r="6128">
      <c r="A6128" s="3" t="s">
        <f>=HYPERLINK("https://mp39851918.megaplan.ua/deals/123490/card/","20957")</f>
      </c>
      <c r="B6128" s="3" t="inlineStr">
        <is>
          <t>113-9625833-0476201</t>
        </is>
      </c>
      <c r="C6128" s="3" t="inlineStr">
        <is>
          <t>TuckerRocky</t>
        </is>
      </c>
    </row>
    <row collapsed="false" customFormat="false" customHeight="false" hidden="false" ht="12.1" outlineLevel="0" r="6129">
      <c r="A6129" s="3" t="s">
        <f>=HYPERLINK("https://mp39851918.megaplan.ua/deals/123491/card/","20958")</f>
      </c>
      <c r="B6129" s="3" t="inlineStr">
        <is>
          <t>114-7709630-8523424</t>
        </is>
      </c>
      <c r="C6129" s="3" t="inlineStr">
        <is>
          <t>Autodist</t>
        </is>
      </c>
    </row>
    <row collapsed="false" customFormat="false" customHeight="false" hidden="false" ht="12.1" outlineLevel="0" r="6130">
      <c r="A6130" s="3" t="s">
        <f>=HYPERLINK("https://mp39851918.megaplan.ua/deals/123500/card/","20960")</f>
      </c>
      <c r="B6130" s="3" t="inlineStr">
        <is>
          <t>111-5246937-7294669</t>
        </is>
      </c>
      <c r="C6130" s="3" t="inlineStr">
        <is>
          <t>Autodist</t>
        </is>
      </c>
    </row>
    <row collapsed="false" customFormat="false" customHeight="false" hidden="false" ht="12.1" outlineLevel="0" r="6131">
      <c r="A6131" s="3" t="s">
        <f>=HYPERLINK("https://mp39851918.megaplan.ua/deals/123515/card/","20961")</f>
      </c>
      <c r="B6131" s="3" t="inlineStr">
        <is>
          <t>111-9156524-5540229</t>
        </is>
      </c>
      <c r="C6131" s="3" t="inlineStr">
        <is>
          <t>Autodist</t>
        </is>
      </c>
    </row>
    <row collapsed="false" customFormat="false" customHeight="false" hidden="false" ht="12.1" outlineLevel="0" r="6132">
      <c r="A6132" s="3" t="s">
        <f>=HYPERLINK("https://mp39851918.megaplan.ua/deals/123542/card/","20962")</f>
      </c>
      <c r="B6132" s="3" t="inlineStr">
        <is>
          <t>114-8298934-6285051</t>
        </is>
      </c>
      <c r="C6132" s="3" t="inlineStr">
        <is>
          <t>TuckerRocky</t>
        </is>
      </c>
    </row>
    <row collapsed="false" customFormat="false" customHeight="false" hidden="false" ht="12.1" outlineLevel="0" r="6133">
      <c r="A6133" s="3" t="s">
        <f>=HYPERLINK("https://mp39851918.megaplan.ua/deals/123554/card/","20963")</f>
      </c>
      <c r="B6133" s="3" t="inlineStr">
        <is>
          <t>112-3124420-0526658</t>
        </is>
      </c>
      <c r="C6133" s="3" t="inlineStr">
        <is>
          <t>TuckerRocky</t>
        </is>
      </c>
    </row>
    <row collapsed="false" customFormat="false" customHeight="false" hidden="false" ht="12.1" outlineLevel="0" r="6134">
      <c r="A6134" s="3" t="s">
        <f>=HYPERLINK("https://mp39851918.megaplan.ua/deals/123563/card/","20964")</f>
      </c>
      <c r="B6134" s="3" t="inlineStr">
        <is>
          <t>113-9140233-9260227</t>
        </is>
      </c>
      <c r="C6134" s="3" t="inlineStr">
        <is>
          <t>PartsUnlimited</t>
        </is>
      </c>
    </row>
    <row collapsed="false" customFormat="false" customHeight="false" hidden="false" ht="12.1" outlineLevel="0" r="6135">
      <c r="A6135" s="3" t="s">
        <f>=HYPERLINK("https://mp39851918.megaplan.ua/deals/123565/card/","20965")</f>
      </c>
      <c r="B6135" s="3" t="inlineStr">
        <is>
          <t>114-4599911-8843435</t>
        </is>
      </c>
      <c r="C6135" s="3" t="inlineStr">
        <is>
          <t>RockyMountain</t>
        </is>
      </c>
    </row>
    <row collapsed="false" customFormat="false" customHeight="false" hidden="false" ht="12.1" outlineLevel="0" r="6136">
      <c r="A6136" s="3" t="s">
        <f>=HYPERLINK("https://mp39851918.megaplan.ua/deals/123581/card/","20967")</f>
      </c>
      <c r="B6136" s="3" t="inlineStr">
        <is>
          <t>111-4705526-9705864</t>
        </is>
      </c>
      <c r="C6136" s="3" t="inlineStr">
        <is>
          <t>PartsUnlimited</t>
        </is>
      </c>
    </row>
    <row collapsed="false" customFormat="false" customHeight="false" hidden="false" ht="12.1" outlineLevel="0" r="6137">
      <c r="A6137" s="3" t="s">
        <f>=HYPERLINK("https://mp39851918.megaplan.ua/deals/123582/card/","20968")</f>
      </c>
      <c r="B6137" s="3" t="inlineStr">
        <is>
          <t>111-7888343-6007451</t>
        </is>
      </c>
      <c r="C6137" s="3" t="inlineStr">
        <is>
          <t>TuckerRocky</t>
        </is>
      </c>
    </row>
    <row collapsed="false" customFormat="false" customHeight="false" hidden="false" ht="12.1" outlineLevel="0" r="6138">
      <c r="A6138" s="3" t="s">
        <f>=HYPERLINK("https://mp39851918.megaplan.ua/deals/123598/card/","20969")</f>
      </c>
      <c r="B6138" s="3" t="inlineStr">
        <is>
          <t>114-2428913-4465005</t>
        </is>
      </c>
      <c r="C6138" s="3" t="inlineStr">
        <is>
          <t>RockyMountain</t>
        </is>
      </c>
    </row>
    <row collapsed="false" customFormat="false" customHeight="false" hidden="false" ht="12.1" outlineLevel="0" r="6139">
      <c r="A6139" s="3" t="s">
        <f>=HYPERLINK("https://mp39851918.megaplan.ua/deals/123600/card/","20970")</f>
      </c>
      <c r="B6139" s="3" t="inlineStr">
        <is>
          <t>114-3535722-9951407</t>
        </is>
      </c>
      <c r="C6139" s="3" t="inlineStr">
        <is>
          <t>Autodist</t>
        </is>
      </c>
    </row>
    <row collapsed="false" customFormat="false" customHeight="false" hidden="false" ht="12.1" outlineLevel="0" r="6140">
      <c r="A6140" s="3" t="s">
        <f>=HYPERLINK("https://mp39851918.megaplan.ua/deals/123611/card/","20971")</f>
      </c>
      <c r="B6140" s="3" t="inlineStr">
        <is>
          <t>112-3365640-7611402</t>
        </is>
      </c>
      <c r="C6140" s="3" t="inlineStr">
        <is>
          <t>RockyMountain</t>
        </is>
      </c>
    </row>
    <row collapsed="false" customFormat="false" customHeight="false" hidden="false" ht="12.1" outlineLevel="0" r="6141">
      <c r="A6141" s="3" t="s">
        <f>=HYPERLINK("https://mp39851918.megaplan.ua/deals/123631/card/","20972")</f>
      </c>
      <c r="B6141" s="3" t="inlineStr">
        <is>
          <t>114-8822092-7257830</t>
        </is>
      </c>
      <c r="C6141" s="3" t="inlineStr">
        <is>
          <t>RockyMountain</t>
        </is>
      </c>
    </row>
    <row collapsed="false" customFormat="false" customHeight="false" hidden="false" ht="12.1" outlineLevel="0" r="6142">
      <c r="A6142" s="3" t="s">
        <f>=HYPERLINK("https://mp39851918.megaplan.ua/deals/123633/card/","20973")</f>
      </c>
      <c r="B6142" s="3" t="inlineStr">
        <is>
          <t>111-4355505-0899433</t>
        </is>
      </c>
      <c r="C6142" s="3" t="inlineStr">
        <is>
          <t>RockyMountain</t>
        </is>
      </c>
    </row>
    <row collapsed="false" customFormat="false" customHeight="false" hidden="false" ht="12.1" outlineLevel="0" r="6143">
      <c r="A6143" s="3" t="s">
        <f>=HYPERLINK("https://mp39851918.megaplan.ua/deals/123637/card/","20974")</f>
      </c>
      <c r="B6143" s="3" t="inlineStr">
        <is>
          <t>114-2589154-6854650</t>
        </is>
      </c>
      <c r="C6143" s="3" t="inlineStr">
        <is>
          <t>TuckerRocky</t>
        </is>
      </c>
    </row>
    <row collapsed="false" customFormat="false" customHeight="false" hidden="false" ht="12.1" outlineLevel="0" r="6144">
      <c r="A6144" s="3" t="s">
        <f>=HYPERLINK("https://mp39851918.megaplan.ua/deals/123638/card/","20975")</f>
      </c>
      <c r="B6144" s="3" t="inlineStr">
        <is>
          <t>113-2648019-7767451</t>
        </is>
      </c>
      <c r="C6144" s="3" t="inlineStr">
        <is>
          <t>TuckerRocky</t>
        </is>
      </c>
    </row>
    <row collapsed="false" customFormat="false" customHeight="false" hidden="false" ht="12.1" outlineLevel="0" r="6145">
      <c r="A6145" s="3" t="s">
        <f>=HYPERLINK("https://mp39851918.megaplan.ua/deals/123649/card/","20976")</f>
      </c>
      <c r="B6145" s="3" t="inlineStr">
        <is>
          <t>111-5103823-9149037</t>
        </is>
      </c>
      <c r="C6145" s="3" t="inlineStr">
        <is>
          <t>Autodist</t>
        </is>
      </c>
    </row>
    <row collapsed="false" customFormat="false" customHeight="false" hidden="false" ht="12.1" outlineLevel="0" r="6146">
      <c r="A6146" s="3" t="s">
        <f>=HYPERLINK("https://mp39851918.megaplan.ua/deals/123656/card/","20977")</f>
      </c>
      <c r="B6146" s="3" t="inlineStr">
        <is>
          <t>113-2987838-0956253</t>
        </is>
      </c>
      <c r="C6146" s="3" t="inlineStr">
        <is>
          <t>Autodist</t>
        </is>
      </c>
    </row>
    <row collapsed="false" customFormat="false" customHeight="false" hidden="false" ht="12.1" outlineLevel="0" r="6147">
      <c r="A6147" s="3" t="s">
        <f>=HYPERLINK("https://mp39851918.megaplan.ua/deals/123662/card/","20978")</f>
      </c>
      <c r="B6147" s="3" t="inlineStr">
        <is>
          <t>111-9268858-9051412</t>
        </is>
      </c>
      <c r="C6147" s="3" t="inlineStr">
        <is>
          <t>TuckerRocky</t>
        </is>
      </c>
    </row>
    <row collapsed="false" customFormat="false" customHeight="false" hidden="false" ht="12.1" outlineLevel="0" r="6148">
      <c r="A6148" s="3" t="s">
        <f>=HYPERLINK("https://mp39851918.megaplan.ua/deals/123664/card/","20979")</f>
      </c>
      <c r="B6148" s="3" t="inlineStr">
        <is>
          <t>111-0186085-2505818</t>
        </is>
      </c>
      <c r="C6148" s="3" t="inlineStr">
        <is>
          <t>RockyMountain</t>
        </is>
      </c>
    </row>
    <row collapsed="false" customFormat="false" customHeight="false" hidden="false" ht="12.1" outlineLevel="0" r="6149">
      <c r="A6149" s="3" t="s">
        <f>=HYPERLINK("https://mp39851918.megaplan.ua/deals/123674/card/","20980")</f>
      </c>
      <c r="B6149" s="3" t="inlineStr">
        <is>
          <t>113-3611866-2857851</t>
        </is>
      </c>
      <c r="C6149" s="3" t="inlineStr">
        <is>
          <t>RockyMountain</t>
        </is>
      </c>
    </row>
    <row collapsed="false" customFormat="false" customHeight="false" hidden="false" ht="12.1" outlineLevel="0" r="6150">
      <c r="A6150" s="3" t="s">
        <f>=HYPERLINK("https://mp39851918.megaplan.ua/deals/123676/card/","20981")</f>
      </c>
      <c r="B6150" s="3" t="inlineStr">
        <is>
          <t>111-2769300-0640268</t>
        </is>
      </c>
      <c r="C6150" s="3" t="inlineStr">
        <is>
          <t>Autodist</t>
        </is>
      </c>
    </row>
    <row collapsed="false" customFormat="false" customHeight="false" hidden="false" ht="12.1" outlineLevel="0" r="6151">
      <c r="A6151" s="3" t="s">
        <f>=HYPERLINK("https://mp39851918.megaplan.ua/deals/123678/card/","20982")</f>
      </c>
      <c r="B6151" s="3" t="inlineStr">
        <is>
          <t>114-3496158-7498654</t>
        </is>
      </c>
      <c r="C6151" s="3" t="inlineStr">
        <is>
          <t>TuckerRocky</t>
        </is>
      </c>
    </row>
    <row collapsed="false" customFormat="false" customHeight="false" hidden="false" ht="12.1" outlineLevel="0" r="6152">
      <c r="A6152" s="3" t="s">
        <f>=HYPERLINK("https://mp39851918.megaplan.ua/deals/123682/card/","20983")</f>
      </c>
      <c r="B6152" s="3" t="inlineStr">
        <is>
          <t>112-8917402-3353851</t>
        </is>
      </c>
      <c r="C6152" s="3" t="inlineStr">
        <is>
          <t>Autodist</t>
        </is>
      </c>
    </row>
    <row collapsed="false" customFormat="false" customHeight="false" hidden="false" ht="12.1" outlineLevel="0" r="6153">
      <c r="A6153" s="3" t="s">
        <f>=HYPERLINK("https://mp39851918.megaplan.ua/deals/123685/card/","20985")</f>
      </c>
      <c r="B6153" s="3" t="inlineStr">
        <is>
          <t>112-0404972-0413809</t>
        </is>
      </c>
      <c r="C6153" s="3" t="inlineStr">
        <is>
          <t>TuckerRocky</t>
        </is>
      </c>
    </row>
    <row collapsed="false" customFormat="false" customHeight="false" hidden="false" ht="12.1" outlineLevel="0" r="6154">
      <c r="A6154" s="3" t="s">
        <f>=HYPERLINK("https://mp39851918.megaplan.ua/deals/123686/card/","20986")</f>
      </c>
      <c r="B6154" s="3" t="inlineStr">
        <is>
          <t>112-3495909-9719414</t>
        </is>
      </c>
      <c r="C6154" s="3" t="inlineStr">
        <is>
          <t>TuckerRocky</t>
        </is>
      </c>
    </row>
    <row collapsed="false" customFormat="false" customHeight="false" hidden="false" ht="12.1" outlineLevel="0" r="6155">
      <c r="A6155" s="3" t="s">
        <f>=HYPERLINK("https://mp39851918.megaplan.ua/deals/123697/card/","20987")</f>
      </c>
      <c r="B6155" s="3" t="inlineStr">
        <is>
          <t>112-5558485-7265860</t>
        </is>
      </c>
      <c r="C6155" s="3" t="inlineStr">
        <is>
          <t>TuckerRocky</t>
        </is>
      </c>
    </row>
    <row collapsed="false" customFormat="false" customHeight="false" hidden="false" ht="12.1" outlineLevel="0" r="6156">
      <c r="A6156" s="3" t="s">
        <f>=HYPERLINK("https://mp39851918.megaplan.ua/deals/123698/card/","20988")</f>
      </c>
      <c r="B6156" s="3" t="inlineStr">
        <is>
          <t>113-4167397-9586647</t>
        </is>
      </c>
      <c r="C6156" s="3" t="inlineStr">
        <is>
          <t>TuckerRocky</t>
        </is>
      </c>
    </row>
    <row collapsed="false" customFormat="false" customHeight="false" hidden="false" ht="12.1" outlineLevel="0" r="6157">
      <c r="A6157" s="3" t="s">
        <f>=HYPERLINK("https://mp39851918.megaplan.ua/deals/123700/card/","20989")</f>
      </c>
      <c r="B6157" s="3" t="inlineStr">
        <is>
          <t>113-8684708-3077019</t>
        </is>
      </c>
      <c r="C6157" s="3" t="inlineStr">
        <is>
          <t>TuckerRocky</t>
        </is>
      </c>
    </row>
    <row collapsed="false" customFormat="false" customHeight="false" hidden="false" ht="12.1" outlineLevel="0" r="6158">
      <c r="A6158" s="3" t="s">
        <f>=HYPERLINK("https://mp39851918.megaplan.ua/deals/123703/card/","20990")</f>
      </c>
      <c r="B6158" s="3" t="inlineStr">
        <is>
          <t>112-1910833-6316201</t>
        </is>
      </c>
      <c r="C6158" s="3" t="inlineStr">
        <is>
          <t>TuckerRocky</t>
        </is>
      </c>
    </row>
    <row collapsed="false" customFormat="false" customHeight="false" hidden="false" ht="12.1" outlineLevel="0" r="6159">
      <c r="A6159" s="3" t="s">
        <f>=HYPERLINK("https://mp39851918.megaplan.ua/deals/123705/card/","20991")</f>
      </c>
      <c r="B6159" s="3" t="inlineStr">
        <is>
          <t>112-5373573-8782638</t>
        </is>
      </c>
      <c r="C6159" s="3" t="inlineStr">
        <is>
          <t>PartsUnlimited</t>
        </is>
      </c>
    </row>
    <row collapsed="false" customFormat="false" customHeight="false" hidden="false" ht="12.1" outlineLevel="0" r="6160">
      <c r="A6160" s="3" t="s">
        <f>=HYPERLINK("https://mp39851918.megaplan.ua/deals/123706/card/","20992")</f>
      </c>
      <c r="B6160" s="3" t="inlineStr">
        <is>
          <t>112-0994470-1219408</t>
        </is>
      </c>
      <c r="C6160" s="3" t="inlineStr">
        <is>
          <t>RockyMountain</t>
        </is>
      </c>
    </row>
    <row collapsed="false" customFormat="false" customHeight="false" hidden="false" ht="12.1" outlineLevel="0" r="6161">
      <c r="A6161" s="3" t="s">
        <f>=HYPERLINK("https://mp39851918.megaplan.ua/deals/123708/card/","20993")</f>
      </c>
      <c r="B6161" s="3" t="inlineStr">
        <is>
          <t>111-5877966-9742643</t>
        </is>
      </c>
      <c r="C6161" s="3" t="inlineStr">
        <is>
          <t>RockyMountain</t>
        </is>
      </c>
    </row>
    <row collapsed="false" customFormat="false" customHeight="false" hidden="false" ht="12.1" outlineLevel="0" r="6162">
      <c r="A6162" s="3" t="s">
        <f>=HYPERLINK("https://mp39851918.megaplan.ua/deals/123710/card/","20994")</f>
      </c>
      <c r="B6162" s="3" t="inlineStr">
        <is>
          <t>114-7133054-9980244</t>
        </is>
      </c>
      <c r="C6162" s="3" t="inlineStr">
        <is>
          <t>TuckerRocky</t>
        </is>
      </c>
    </row>
    <row collapsed="false" customFormat="false" customHeight="false" hidden="false" ht="12.1" outlineLevel="0" r="6163">
      <c r="A6163" s="3" t="s">
        <f>=HYPERLINK("https://mp39851918.megaplan.ua/deals/123712/card/","20995")</f>
      </c>
      <c r="B6163" s="3" t="inlineStr">
        <is>
          <t>112-1668260-4610631</t>
        </is>
      </c>
      <c r="C6163" s="3" t="inlineStr">
        <is>
          <t>Autodist</t>
        </is>
      </c>
    </row>
    <row collapsed="false" customFormat="false" customHeight="false" hidden="false" ht="12.1" outlineLevel="0" r="6164">
      <c r="A6164" s="3" t="s">
        <f>=HYPERLINK("https://mp39851918.megaplan.ua/deals/123713/card/","20996")</f>
      </c>
      <c r="B6164" s="3" t="inlineStr">
        <is>
          <t>113-6909034-6647466</t>
        </is>
      </c>
      <c r="C6164" s="3" t="inlineStr">
        <is>
          <t>TuckerRocky</t>
        </is>
      </c>
    </row>
    <row collapsed="false" customFormat="false" customHeight="false" hidden="false" ht="12.1" outlineLevel="0" r="6165">
      <c r="A6165" s="3" t="s">
        <f>=HYPERLINK("https://mp39851918.megaplan.ua/deals/123715/card/","20997")</f>
      </c>
      <c r="B6165" s="3" t="inlineStr">
        <is>
          <t>111-0572919-7769839</t>
        </is>
      </c>
      <c r="C6165" s="3" t="inlineStr">
        <is>
          <t>PartsUnlimited</t>
        </is>
      </c>
    </row>
    <row collapsed="false" customFormat="false" customHeight="false" hidden="false" ht="12.1" outlineLevel="0" r="6166">
      <c r="A6166" s="3" t="s">
        <f>=HYPERLINK("https://mp39851918.megaplan.ua/deals/123716/card/","20998")</f>
      </c>
      <c r="B6166" s="3" t="inlineStr">
        <is>
          <t>113-9061914-4817028</t>
        </is>
      </c>
      <c r="C6166" s="3" t="inlineStr">
        <is>
          <t>TuckerRocky</t>
        </is>
      </c>
    </row>
    <row collapsed="false" customFormat="false" customHeight="false" hidden="false" ht="12.1" outlineLevel="0" r="6167">
      <c r="A6167" s="3" t="s">
        <f>=HYPERLINK("https://mp39851918.megaplan.ua/deals/123718/card/","20999")</f>
      </c>
      <c r="B6167" s="3" t="inlineStr">
        <is>
          <t>111-4610235-0312240</t>
        </is>
      </c>
      <c r="C6167" s="3" t="inlineStr">
        <is>
          <t>Autodist</t>
        </is>
      </c>
    </row>
    <row collapsed="false" customFormat="false" customHeight="false" hidden="false" ht="12.1" outlineLevel="0" r="6168">
      <c r="A6168" s="3" t="s">
        <f>=HYPERLINK("https://mp39851918.megaplan.ua/deals/123719/card/","21000")</f>
      </c>
      <c r="B6168" s="3" t="inlineStr">
        <is>
          <t>113-3878824-8720226</t>
        </is>
      </c>
      <c r="C6168" s="3" t="inlineStr">
        <is>
          <t>TuckerRocky</t>
        </is>
      </c>
    </row>
    <row collapsed="false" customFormat="false" customHeight="false" hidden="false" ht="12.1" outlineLevel="0" r="6169">
      <c r="A6169" s="3" t="s">
        <f>=HYPERLINK("https://mp39851918.megaplan.ua/deals/123734/card/","21002")</f>
      </c>
      <c r="B6169" s="3" t="inlineStr">
        <is>
          <t>113-4059622-8144229</t>
        </is>
      </c>
      <c r="C6169" s="3" t="inlineStr">
        <is>
          <t>RockyMountain</t>
        </is>
      </c>
    </row>
    <row collapsed="false" customFormat="false" customHeight="false" hidden="false" ht="12.1" outlineLevel="0" r="6170">
      <c r="A6170" s="3" t="s">
        <f>=HYPERLINK("https://mp39851918.megaplan.ua/deals/123736/card/","21003")</f>
      </c>
      <c r="B6170" s="3" t="inlineStr">
        <is>
          <t>114-8570752-5112235</t>
        </is>
      </c>
      <c r="C6170" s="3" t="inlineStr">
        <is>
          <t>RockyMountain</t>
        </is>
      </c>
    </row>
    <row collapsed="false" customFormat="false" customHeight="false" hidden="false" ht="12.1" outlineLevel="0" r="6171">
      <c r="A6171" s="3" t="s">
        <f>=HYPERLINK("https://mp39851918.megaplan.ua/deals/123747/card/","21004")</f>
      </c>
      <c r="B6171" s="3" t="inlineStr">
        <is>
          <t>111-3605896-4011437</t>
        </is>
      </c>
      <c r="C6171" s="3" t="inlineStr">
        <is>
          <t>RockyMountain</t>
        </is>
      </c>
    </row>
    <row collapsed="false" customFormat="false" customHeight="false" hidden="false" ht="12.1" outlineLevel="0" r="6172">
      <c r="A6172" s="3" t="s">
        <f>=HYPERLINK("https://mp39851918.megaplan.ua/deals/123759/card/","21005")</f>
      </c>
      <c r="B6172" s="3" t="inlineStr">
        <is>
          <t>112-3375159-0353867</t>
        </is>
      </c>
      <c r="C6172" s="3" t="inlineStr">
        <is>
          <t>TuckerRocky</t>
        </is>
      </c>
    </row>
    <row collapsed="false" customFormat="false" customHeight="false" hidden="false" ht="12.1" outlineLevel="0" r="6173">
      <c r="A6173" s="3" t="s">
        <f>=HYPERLINK("https://mp39851918.megaplan.ua/deals/123761/card/","21006")</f>
      </c>
      <c r="B6173" s="3" t="inlineStr">
        <is>
          <t>114-7460663-0204243</t>
        </is>
      </c>
      <c r="C6173" s="3" t="inlineStr">
        <is>
          <t>RockyMountain</t>
        </is>
      </c>
    </row>
    <row collapsed="false" customFormat="false" customHeight="false" hidden="false" ht="12.1" outlineLevel="0" r="6174">
      <c r="A6174" s="3" t="s">
        <f>=HYPERLINK("https://mp39851918.megaplan.ua/deals/123777/card/","21007")</f>
      </c>
      <c r="B6174" s="3" t="inlineStr">
        <is>
          <t>111-0167011-5655467</t>
        </is>
      </c>
      <c r="C6174" s="3" t="inlineStr">
        <is>
          <t>TuckerRocky</t>
        </is>
      </c>
    </row>
    <row collapsed="false" customFormat="false" customHeight="false" hidden="false" ht="12.1" outlineLevel="0" r="6175">
      <c r="A6175" s="3" t="s">
        <f>=HYPERLINK("https://mp39851918.megaplan.ua/deals/123789/card/","21008")</f>
      </c>
      <c r="B6175" s="3" t="inlineStr">
        <is>
          <t>114-7518147-0157014</t>
        </is>
      </c>
      <c r="C6175" s="3" t="inlineStr">
        <is>
          <t>TuckerRocky</t>
        </is>
      </c>
    </row>
    <row collapsed="false" customFormat="false" customHeight="false" hidden="false" ht="12.1" outlineLevel="0" r="6176">
      <c r="A6176" s="3" t="s">
        <f>=HYPERLINK("https://mp39851918.megaplan.ua/deals/123804/card/","21009")</f>
      </c>
      <c r="B6176" s="3" t="inlineStr">
        <is>
          <t>111-6991130-4261829</t>
        </is>
      </c>
      <c r="C6176" s="3" t="inlineStr">
        <is>
          <t>Autodist</t>
        </is>
      </c>
    </row>
    <row collapsed="false" customFormat="false" customHeight="false" hidden="false" ht="12.1" outlineLevel="0" r="6177">
      <c r="A6177" s="3" t="s">
        <f>=HYPERLINK("https://mp39851918.megaplan.ua/deals/123812/card/","21010")</f>
      </c>
      <c r="B6177" s="3" t="inlineStr">
        <is>
          <t>114-1235662-2029052</t>
        </is>
      </c>
      <c r="C6177" s="3" t="inlineStr">
        <is>
          <t>TuckerRocky</t>
        </is>
      </c>
    </row>
    <row collapsed="false" customFormat="false" customHeight="false" hidden="false" ht="12.1" outlineLevel="0" r="6178">
      <c r="A6178" s="3" t="s">
        <f>=HYPERLINK("https://mp39851918.megaplan.ua/deals/123860/card/","21011")</f>
      </c>
      <c r="B6178" s="3" t="inlineStr">
        <is>
          <t>111-0394303-4425060</t>
        </is>
      </c>
      <c r="C6178" s="3" t="inlineStr">
        <is>
          <t>TuckerRocky</t>
        </is>
      </c>
    </row>
    <row collapsed="false" customFormat="false" customHeight="false" hidden="false" ht="12.1" outlineLevel="0" r="6179">
      <c r="A6179" s="3" t="s">
        <f>=HYPERLINK("https://mp39851918.megaplan.ua/deals/123875/card/","21013")</f>
      </c>
      <c r="B6179" s="3" t="inlineStr">
        <is>
          <t>113-4118413-4996219</t>
        </is>
      </c>
      <c r="C6179" s="3" t="inlineStr">
        <is>
          <t>PartsUnlimited</t>
        </is>
      </c>
    </row>
    <row collapsed="false" customFormat="false" customHeight="false" hidden="false" ht="12.1" outlineLevel="0" r="6180">
      <c r="A6180" s="3" t="s">
        <f>=HYPERLINK("https://mp39851918.megaplan.ua/deals/123876/card/","21014")</f>
      </c>
      <c r="B6180" s="3" t="inlineStr">
        <is>
          <t>114-7343375-6512226</t>
        </is>
      </c>
      <c r="C6180" s="3" t="inlineStr">
        <is>
          <t>PartsUnlimited</t>
        </is>
      </c>
    </row>
    <row collapsed="false" customFormat="false" customHeight="false" hidden="false" ht="12.1" outlineLevel="0" r="6181">
      <c r="A6181" s="3" t="s">
        <f>=HYPERLINK("https://mp39851918.megaplan.ua/deals/123877/card/","21015")</f>
      </c>
      <c r="B6181" s="3" t="inlineStr">
        <is>
          <t>114-3496441-0622629</t>
        </is>
      </c>
      <c r="C6181" s="3" t="inlineStr">
        <is>
          <t>Autodist</t>
        </is>
      </c>
    </row>
    <row collapsed="false" customFormat="false" customHeight="false" hidden="false" ht="12.1" outlineLevel="0" r="6182">
      <c r="A6182" s="3" t="s">
        <f>=HYPERLINK("https://mp39851918.megaplan.ua/deals/123901/card/","21016")</f>
      </c>
      <c r="B6182" s="3" t="inlineStr">
        <is>
          <t>112-6002279-5847430</t>
        </is>
      </c>
      <c r="C6182" s="3" t="inlineStr">
        <is>
          <t>Autodist</t>
        </is>
      </c>
    </row>
    <row collapsed="false" customFormat="false" customHeight="false" hidden="false" ht="12.1" outlineLevel="0" r="6183">
      <c r="A6183" s="3" t="s">
        <f>=HYPERLINK("https://mp39851918.megaplan.ua/deals/123905/card/","21017")</f>
      </c>
      <c r="B6183" s="3" t="inlineStr">
        <is>
          <t>111-1663932-0149856</t>
        </is>
      </c>
      <c r="C6183" s="3" t="inlineStr">
        <is>
          <t>PartsUnlimited</t>
        </is>
      </c>
    </row>
    <row collapsed="false" customFormat="false" customHeight="false" hidden="false" ht="12.1" outlineLevel="0" r="6184">
      <c r="A6184" s="3" t="s">
        <f>=HYPERLINK("https://mp39851918.megaplan.ua/deals/123907/card/","21018")</f>
      </c>
      <c r="B6184" s="3" t="inlineStr">
        <is>
          <t>113-5255136-5601014</t>
        </is>
      </c>
      <c r="C6184" s="3" t="inlineStr">
        <is>
          <t>Autodist</t>
        </is>
      </c>
    </row>
    <row collapsed="false" customFormat="false" customHeight="false" hidden="false" ht="12.1" outlineLevel="0" r="6185">
      <c r="A6185" s="3" t="s">
        <f>=HYPERLINK("https://mp39851918.megaplan.ua/deals/123909/card/","21019")</f>
      </c>
      <c r="B6185" s="3" t="inlineStr">
        <is>
          <t>113-7903720-5173030</t>
        </is>
      </c>
      <c r="C6185" s="3" t="inlineStr">
        <is>
          <t>Autodist</t>
        </is>
      </c>
    </row>
    <row collapsed="false" customFormat="false" customHeight="false" hidden="false" ht="12.1" outlineLevel="0" r="6186">
      <c r="A6186" s="3" t="s">
        <f>=HYPERLINK("https://mp39851918.megaplan.ua/deals/123931/card/","21021")</f>
      </c>
      <c r="B6186" s="3" t="inlineStr">
        <is>
          <t>111-6695692-5151451</t>
        </is>
      </c>
      <c r="C6186" s="3" t="inlineStr">
        <is>
          <t>Autodist</t>
        </is>
      </c>
    </row>
    <row collapsed="false" customFormat="false" customHeight="false" hidden="false" ht="12.1" outlineLevel="0" r="6187">
      <c r="A6187" s="3" t="s">
        <f>=HYPERLINK("https://mp39851918.megaplan.ua/deals/123941/card/","21023")</f>
      </c>
      <c r="B6187" s="3" t="inlineStr">
        <is>
          <t>114-4370126-4557818</t>
        </is>
      </c>
      <c r="C6187" s="3" t="inlineStr">
        <is>
          <t>Autodist</t>
        </is>
      </c>
    </row>
    <row collapsed="false" customFormat="false" customHeight="false" hidden="false" ht="12.1" outlineLevel="0" r="6188">
      <c r="A6188" s="3" t="s">
        <f>=HYPERLINK("https://mp39851918.megaplan.ua/deals/123949/card/","21025")</f>
      </c>
      <c r="B6188" s="3" t="inlineStr">
        <is>
          <t>112-8408610-9209809</t>
        </is>
      </c>
      <c r="C6188" s="3" t="inlineStr">
        <is>
          <t>RockyMountain</t>
        </is>
      </c>
    </row>
    <row collapsed="false" customFormat="false" customHeight="false" hidden="false" ht="12.1" outlineLevel="0" r="6189">
      <c r="A6189" s="3" t="s">
        <f>=HYPERLINK("https://mp39851918.megaplan.ua/deals/123950/card/","21026")</f>
      </c>
      <c r="B6189" s="3" t="inlineStr">
        <is>
          <t>113-4516546-7921052</t>
        </is>
      </c>
      <c r="C6189" s="3" t="inlineStr">
        <is>
          <t>TuckerRocky</t>
        </is>
      </c>
    </row>
    <row collapsed="false" customFormat="false" customHeight="false" hidden="false" ht="12.1" outlineLevel="0" r="6190">
      <c r="A6190" s="3" t="s">
        <f>=HYPERLINK("https://mp39851918.megaplan.ua/deals/123978/card/","21028")</f>
      </c>
      <c r="B6190" s="3" t="inlineStr">
        <is>
          <t>111-5254208-4093038</t>
        </is>
      </c>
      <c r="C6190" s="3" t="inlineStr">
        <is>
          <t>RockyMountain</t>
        </is>
      </c>
    </row>
    <row collapsed="false" customFormat="false" customHeight="false" hidden="false" ht="12.1" outlineLevel="0" r="6191">
      <c r="A6191" s="3" t="s">
        <f>=HYPERLINK("https://mp39851918.megaplan.ua/deals/123979/card/","21029")</f>
      </c>
      <c r="B6191" s="3" t="inlineStr">
        <is>
          <t>112-9061029-9647461</t>
        </is>
      </c>
      <c r="C6191" s="3" t="inlineStr">
        <is>
          <t>Autodist</t>
        </is>
      </c>
    </row>
    <row collapsed="false" customFormat="false" customHeight="false" hidden="false" ht="12.1" outlineLevel="0" r="6192">
      <c r="A6192" s="3" t="s">
        <f>=HYPERLINK("https://mp39851918.megaplan.ua/deals/123980/card/","21030")</f>
      </c>
      <c r="B6192" s="3" t="inlineStr">
        <is>
          <t>113-0499994-1249829</t>
        </is>
      </c>
      <c r="C6192" s="3" t="inlineStr">
        <is>
          <t>RockyMountain</t>
        </is>
      </c>
    </row>
    <row collapsed="false" customFormat="false" customHeight="false" hidden="false" ht="12.1" outlineLevel="0" r="6193">
      <c r="A6193" s="3" t="s">
        <f>=HYPERLINK("https://mp39851918.megaplan.ua/deals/123998/card/","21031")</f>
      </c>
      <c r="B6193" s="3" t="inlineStr">
        <is>
          <t>114-7732623-4177020</t>
        </is>
      </c>
      <c r="C6193" s="3" t="inlineStr">
        <is>
          <t>RockyMountain</t>
        </is>
      </c>
    </row>
    <row collapsed="false" customFormat="false" customHeight="false" hidden="false" ht="12.1" outlineLevel="0" r="6194">
      <c r="A6194" s="3" t="s">
        <f>=HYPERLINK("https://mp39851918.megaplan.ua/deals/124006/card/","21032")</f>
      </c>
      <c r="B6194" s="3" t="inlineStr">
        <is>
          <t>111-9923461-6633809</t>
        </is>
      </c>
      <c r="C6194" s="3" t="inlineStr">
        <is>
          <t>TuckerRocky</t>
        </is>
      </c>
    </row>
    <row collapsed="false" customFormat="false" customHeight="false" hidden="false" ht="12.1" outlineLevel="0" r="6195">
      <c r="A6195" s="3" t="s">
        <f>=HYPERLINK("https://mp39851918.megaplan.ua/deals/124023/card/","21033")</f>
      </c>
      <c r="B6195" s="3" t="inlineStr">
        <is>
          <t>113-3575359-0414644</t>
        </is>
      </c>
      <c r="C6195" s="3" t="inlineStr">
        <is>
          <t>Autodist</t>
        </is>
      </c>
    </row>
    <row collapsed="false" customFormat="false" customHeight="false" hidden="false" ht="12.1" outlineLevel="0" r="6196">
      <c r="A6196" s="3" t="s">
        <f>=HYPERLINK("https://mp39851918.megaplan.ua/deals/124024/card/","21034")</f>
      </c>
      <c r="B6196" s="3" t="inlineStr">
        <is>
          <t>112-0899336-6971408</t>
        </is>
      </c>
      <c r="C6196" s="3" t="inlineStr">
        <is>
          <t>RockyMountain</t>
        </is>
      </c>
    </row>
    <row collapsed="false" customFormat="false" customHeight="false" hidden="false" ht="12.1" outlineLevel="0" r="6197">
      <c r="A6197" s="3" t="s">
        <f>=HYPERLINK("https://mp39851918.megaplan.ua/deals/124025/card/","21035")</f>
      </c>
      <c r="B6197" s="3" t="inlineStr">
        <is>
          <t>113-8533383-9062627</t>
        </is>
      </c>
      <c r="C6197" s="3" t="inlineStr">
        <is>
          <t>TuckerRocky</t>
        </is>
      </c>
    </row>
    <row collapsed="false" customFormat="false" customHeight="false" hidden="false" ht="12.1" outlineLevel="0" r="6198">
      <c r="A6198" s="3" t="s">
        <f>=HYPERLINK("https://mp39851918.megaplan.ua/deals/124032/card/","21036")</f>
      </c>
      <c r="B6198" s="3" t="inlineStr">
        <is>
          <t>114-6410504-9740208</t>
        </is>
      </c>
      <c r="C6198" s="3" t="inlineStr">
        <is>
          <t>Autodist</t>
        </is>
      </c>
    </row>
    <row collapsed="false" customFormat="false" customHeight="false" hidden="false" ht="12.1" outlineLevel="0" r="6199">
      <c r="A6199" s="3" t="s">
        <f>=HYPERLINK("https://mp39851918.megaplan.ua/deals/124043/card/","21037")</f>
      </c>
      <c r="B6199" s="3" t="inlineStr">
        <is>
          <t>114-4031776-6421024</t>
        </is>
      </c>
      <c r="C6199" s="3" t="inlineStr">
        <is>
          <t>TuckerRocky</t>
        </is>
      </c>
    </row>
    <row collapsed="false" customFormat="false" customHeight="false" hidden="false" ht="12.1" outlineLevel="0" r="6200">
      <c r="A6200" s="3" t="s">
        <f>=HYPERLINK("https://mp39851918.megaplan.ua/deals/124048/card/","21038")</f>
      </c>
      <c r="B6200" s="3" t="inlineStr">
        <is>
          <t>114-8097335-3914603</t>
        </is>
      </c>
      <c r="C6200" s="3" t="inlineStr">
        <is>
          <t>TuckerRocky</t>
        </is>
      </c>
    </row>
    <row collapsed="false" customFormat="false" customHeight="false" hidden="false" ht="12.1" outlineLevel="0" r="6201">
      <c r="A6201" s="3" t="s">
        <f>=HYPERLINK("https://mp39851918.megaplan.ua/deals/124057/card/","21039")</f>
      </c>
      <c r="B6201" s="3" t="inlineStr">
        <is>
          <t>113-3970505-2600269</t>
        </is>
      </c>
      <c r="C6201" s="3" t="inlineStr">
        <is>
          <t>TuckerRocky</t>
        </is>
      </c>
    </row>
    <row collapsed="false" customFormat="false" customHeight="false" hidden="false" ht="12.1" outlineLevel="0" r="6202">
      <c r="A6202" s="3" t="s">
        <f>=HYPERLINK("https://mp39851918.megaplan.ua/deals/124063/card/","21040")</f>
      </c>
      <c r="B6202" s="3" t="inlineStr">
        <is>
          <t>113-1883539-1596269</t>
        </is>
      </c>
      <c r="C6202" s="3" t="inlineStr">
        <is>
          <t>RockyMountain</t>
        </is>
      </c>
    </row>
    <row collapsed="false" customFormat="false" customHeight="false" hidden="false" ht="12.1" outlineLevel="0" r="6203">
      <c r="A6203" s="3" t="s">
        <f>=HYPERLINK("https://mp39851918.megaplan.ua/deals/124073/card/","21041")</f>
      </c>
      <c r="B6203" s="3" t="inlineStr">
        <is>
          <t>114-4867555-6817013</t>
        </is>
      </c>
      <c r="C6203" s="3" t="inlineStr">
        <is>
          <t>TuckerRocky</t>
        </is>
      </c>
    </row>
    <row collapsed="false" customFormat="false" customHeight="false" hidden="false" ht="12.1" outlineLevel="0" r="6204">
      <c r="A6204" s="3" t="s">
        <f>=HYPERLINK("https://mp39851918.megaplan.ua/deals/124086/card/","21042")</f>
      </c>
      <c r="B6204" s="3" t="inlineStr">
        <is>
          <t>111-2636172-1348224</t>
        </is>
      </c>
      <c r="C6204" s="3" t="inlineStr">
        <is>
          <t>TuckerRocky</t>
        </is>
      </c>
    </row>
    <row collapsed="false" customFormat="false" customHeight="false" hidden="false" ht="12.1" outlineLevel="0" r="6205">
      <c r="A6205" s="3" t="s">
        <f>=HYPERLINK("https://mp39851918.megaplan.ua/deals/124088/card/","21043")</f>
      </c>
      <c r="B6205" s="3" t="inlineStr">
        <is>
          <t>112-4969463-9692258</t>
        </is>
      </c>
      <c r="C6205" s="3" t="inlineStr">
        <is>
          <t>PartsUnlimited</t>
        </is>
      </c>
    </row>
    <row collapsed="false" customFormat="false" customHeight="false" hidden="false" ht="12.1" outlineLevel="0" r="6206">
      <c r="A6206" s="3" t="s">
        <f>=HYPERLINK("https://mp39851918.megaplan.ua/deals/124097/card/","21044")</f>
      </c>
      <c r="B6206" s="3" t="inlineStr">
        <is>
          <t>111-7223360-8044238</t>
        </is>
      </c>
      <c r="C6206" s="3" t="inlineStr">
        <is>
          <t>RockyMountain</t>
        </is>
      </c>
    </row>
    <row collapsed="false" customFormat="false" customHeight="false" hidden="false" ht="12.1" outlineLevel="0" r="6207">
      <c r="A6207" s="3" t="s">
        <f>=HYPERLINK("https://mp39851918.megaplan.ua/deals/124101/card/","21045")</f>
      </c>
      <c r="B6207" s="3" t="inlineStr">
        <is>
          <t>114-6764138-3633000</t>
        </is>
      </c>
      <c r="C6207" s="3" t="inlineStr">
        <is>
          <t>Autodist</t>
        </is>
      </c>
    </row>
    <row collapsed="false" customFormat="false" customHeight="false" hidden="false" ht="12.1" outlineLevel="0" r="6208">
      <c r="A6208" s="3" t="s">
        <f>=HYPERLINK("https://mp39851918.megaplan.ua/deals/124107/card/","21046")</f>
      </c>
      <c r="B6208" s="3" t="inlineStr">
        <is>
          <t>113-3361821-8169846</t>
        </is>
      </c>
      <c r="C6208" s="3" t="inlineStr">
        <is>
          <t>TuckerRocky</t>
        </is>
      </c>
    </row>
    <row collapsed="false" customFormat="false" customHeight="false" hidden="false" ht="12.1" outlineLevel="0" r="6209">
      <c r="A6209" s="3" t="s">
        <f>=HYPERLINK("https://mp39851918.megaplan.ua/deals/124125/card/","21047")</f>
      </c>
      <c r="B6209" s="3" t="inlineStr">
        <is>
          <t>112-5794319-5479457</t>
        </is>
      </c>
      <c r="C6209" s="3" t="inlineStr">
        <is>
          <t>TuckerRocky</t>
        </is>
      </c>
    </row>
    <row collapsed="false" customFormat="false" customHeight="false" hidden="false" ht="12.1" outlineLevel="0" r="6210">
      <c r="A6210" s="3" t="s">
        <f>=HYPERLINK("https://mp39851918.megaplan.ua/deals/124128/card/","21048")</f>
      </c>
      <c r="B6210" s="3" t="inlineStr">
        <is>
          <t>112-7038043-9877057</t>
        </is>
      </c>
      <c r="C6210" s="3" t="inlineStr">
        <is>
          <t>PartsUnlimited</t>
        </is>
      </c>
    </row>
    <row collapsed="false" customFormat="false" customHeight="false" hidden="false" ht="12.1" outlineLevel="0" r="6211">
      <c r="A6211" s="3" t="s">
        <f>=HYPERLINK("https://mp39851918.megaplan.ua/deals/124129/card/","21049")</f>
      </c>
      <c r="B6211" s="3" t="inlineStr">
        <is>
          <t>113-6182910-9992261</t>
        </is>
      </c>
      <c r="C6211" s="3" t="inlineStr">
        <is>
          <t>RockyMountain</t>
        </is>
      </c>
    </row>
    <row collapsed="false" customFormat="false" customHeight="false" hidden="false" ht="12.1" outlineLevel="0" r="6212">
      <c r="A6212" s="3" t="s">
        <f>=HYPERLINK("https://mp39851918.megaplan.ua/deals/124130/card/","21050")</f>
      </c>
      <c r="B6212" s="3" t="inlineStr">
        <is>
          <t>114-3200685-8041019</t>
        </is>
      </c>
      <c r="C6212" s="3" t="inlineStr">
        <is>
          <t>RockyMountain</t>
        </is>
      </c>
    </row>
    <row collapsed="false" customFormat="false" customHeight="false" hidden="false" ht="12.1" outlineLevel="0" r="6213">
      <c r="A6213" s="3" t="s">
        <f>=HYPERLINK("https://mp39851918.megaplan.ua/deals/124133/card/","21051")</f>
      </c>
      <c r="B6213" s="3" t="inlineStr">
        <is>
          <t>114-3934281-8072226</t>
        </is>
      </c>
      <c r="C6213" s="3" t="inlineStr">
        <is>
          <t>PartsUnlimited</t>
        </is>
      </c>
    </row>
    <row collapsed="false" customFormat="false" customHeight="false" hidden="false" ht="12.1" outlineLevel="0" r="6214">
      <c r="A6214" s="3" t="s">
        <f>=HYPERLINK("https://mp39851918.megaplan.ua/deals/124141/card/","21053")</f>
      </c>
      <c r="B6214" s="3" t="inlineStr">
        <is>
          <t>113-4437195-8471449</t>
        </is>
      </c>
      <c r="C6214" s="3" t="inlineStr">
        <is>
          <t>Autodist</t>
        </is>
      </c>
    </row>
    <row collapsed="false" customFormat="false" customHeight="false" hidden="false" ht="12.1" outlineLevel="0" r="6215">
      <c r="A6215" s="3" t="s">
        <f>=HYPERLINK("https://mp39851918.megaplan.ua/deals/124142/card/","21054")</f>
      </c>
      <c r="B6215" s="3" t="inlineStr">
        <is>
          <t>113-6117618-8037839</t>
        </is>
      </c>
      <c r="C6215" s="3" t="inlineStr">
        <is>
          <t>TuckerRocky</t>
        </is>
      </c>
    </row>
    <row collapsed="false" customFormat="false" customHeight="false" hidden="false" ht="12.1" outlineLevel="0" r="6216">
      <c r="A6216" s="3" t="s">
        <f>=HYPERLINK("https://mp39851918.megaplan.ua/deals/124163/card/","21057")</f>
      </c>
      <c r="B6216" s="3" t="inlineStr">
        <is>
          <t>112-0301012-7775442</t>
        </is>
      </c>
      <c r="C6216" s="3" t="inlineStr">
        <is>
          <t>TuckerRocky</t>
        </is>
      </c>
    </row>
    <row collapsed="false" customFormat="false" customHeight="false" hidden="false" ht="12.1" outlineLevel="0" r="6217">
      <c r="A6217" s="3" t="s">
        <f>=HYPERLINK("https://mp39851918.megaplan.ua/deals/124168/card/","21058")</f>
      </c>
      <c r="B6217" s="3" t="inlineStr">
        <is>
          <t>112-5990495-1183425</t>
        </is>
      </c>
      <c r="C6217" s="3" t="inlineStr">
        <is>
          <t>PartsUnlimited</t>
        </is>
      </c>
    </row>
    <row collapsed="false" customFormat="false" customHeight="false" hidden="false" ht="12.1" outlineLevel="0" r="6218">
      <c r="A6218" s="3" t="s">
        <f>=HYPERLINK("https://mp39851918.megaplan.ua/deals/124170/card/","21059")</f>
      </c>
      <c r="B6218" s="3" t="inlineStr">
        <is>
          <t>114-6563888-1373043</t>
        </is>
      </c>
      <c r="C6218" s="3" t="inlineStr">
        <is>
          <t>RockyMountain</t>
        </is>
      </c>
    </row>
    <row collapsed="false" customFormat="false" customHeight="false" hidden="false" ht="12.1" outlineLevel="0" r="6219">
      <c r="A6219" s="3" t="s">
        <f>=HYPERLINK("https://mp39851918.megaplan.ua/deals/124178/card/","21061")</f>
      </c>
      <c r="B6219" s="3" t="inlineStr">
        <is>
          <t>111-9730299-1886629</t>
        </is>
      </c>
      <c r="C6219" s="3" t="inlineStr">
        <is>
          <t>Autodist</t>
        </is>
      </c>
    </row>
    <row collapsed="false" customFormat="false" customHeight="false" hidden="false" ht="12.1" outlineLevel="0" r="6220">
      <c r="A6220" s="3" t="s">
        <f>=HYPERLINK("https://mp39851918.megaplan.ua/deals/124179/card/","21062")</f>
      </c>
      <c r="B6220" s="3" t="inlineStr">
        <is>
          <t>113-5810890-2136215</t>
        </is>
      </c>
      <c r="C6220" s="3" t="inlineStr">
        <is>
          <t>TuckerRocky</t>
        </is>
      </c>
    </row>
    <row collapsed="false" customFormat="false" customHeight="false" hidden="false" ht="12.1" outlineLevel="0" r="6221">
      <c r="A6221" s="3" t="s">
        <f>=HYPERLINK("https://mp39851918.megaplan.ua/deals/124180/card/","21063")</f>
      </c>
      <c r="B6221" s="3" t="inlineStr">
        <is>
          <t>112-4271330-5156235</t>
        </is>
      </c>
      <c r="C6221" s="3" t="inlineStr">
        <is>
          <t>TuckerRocky</t>
        </is>
      </c>
    </row>
    <row collapsed="false" customFormat="false" customHeight="false" hidden="false" ht="12.1" outlineLevel="0" r="6222">
      <c r="A6222" s="3" t="s">
        <f>=HYPERLINK("https://mp39851918.megaplan.ua/deals/124183/card/","21064")</f>
      </c>
      <c r="B6222" s="3" t="inlineStr">
        <is>
          <t>113-2411042-5207458</t>
        </is>
      </c>
      <c r="C6222" s="3" t="inlineStr">
        <is>
          <t>PartsUnlimited</t>
        </is>
      </c>
    </row>
    <row collapsed="false" customFormat="false" customHeight="false" hidden="false" ht="12.1" outlineLevel="0" r="6223">
      <c r="A6223" s="3" t="s">
        <f>=HYPERLINK("https://mp39851918.megaplan.ua/deals/124184/card/","21065")</f>
      </c>
      <c r="B6223" s="3" t="inlineStr">
        <is>
          <t>112-5627948-2577864</t>
        </is>
      </c>
      <c r="C6223" s="3" t="inlineStr">
        <is>
          <t>TuckerRocky</t>
        </is>
      </c>
    </row>
    <row collapsed="false" customFormat="false" customHeight="false" hidden="false" ht="12.1" outlineLevel="0" r="6224">
      <c r="A6224" s="3" t="s">
        <f>=HYPERLINK("https://mp39851918.megaplan.ua/deals/124186/card/","21066")</f>
      </c>
      <c r="B6224" s="3" t="inlineStr">
        <is>
          <t>111-9865163-1692221</t>
        </is>
      </c>
      <c r="C6224" s="3" t="inlineStr">
        <is>
          <t>TuckerRocky</t>
        </is>
      </c>
    </row>
    <row collapsed="false" customFormat="false" customHeight="false" hidden="false" ht="12.1" outlineLevel="0" r="6225">
      <c r="A6225" s="3" t="s">
        <f>=HYPERLINK("https://mp39851918.megaplan.ua/deals/124198/card/","21067")</f>
      </c>
      <c r="B6225" s="3" t="inlineStr">
        <is>
          <t>113-0191783-2561004</t>
        </is>
      </c>
      <c r="C6225" s="3" t="inlineStr">
        <is>
          <t>TuckerRocky</t>
        </is>
      </c>
    </row>
    <row collapsed="false" customFormat="false" customHeight="false" hidden="false" ht="12.1" outlineLevel="0" r="6226">
      <c r="A6226" s="3" t="s">
        <f>=HYPERLINK("https://mp39851918.megaplan.ua/deals/124206/card/","21069")</f>
      </c>
      <c r="B6226" s="3" t="inlineStr">
        <is>
          <t>113-2805567-0422655</t>
        </is>
      </c>
      <c r="C6226" s="3" t="inlineStr">
        <is>
          <t>RockyMountain</t>
        </is>
      </c>
    </row>
    <row collapsed="false" customFormat="false" customHeight="false" hidden="false" ht="12.1" outlineLevel="0" r="6227">
      <c r="A6227" s="3" t="s">
        <f>=HYPERLINK("https://mp39851918.megaplan.ua/deals/124225/card/","21070")</f>
      </c>
      <c r="B6227" s="3" t="inlineStr">
        <is>
          <t>113-6069254-6641065</t>
        </is>
      </c>
      <c r="C6227" s="3" t="inlineStr">
        <is>
          <t>TuckerRocky</t>
        </is>
      </c>
    </row>
    <row collapsed="false" customFormat="false" customHeight="false" hidden="false" ht="12.1" outlineLevel="0" r="6228">
      <c r="A6228" s="3" t="s">
        <f>=HYPERLINK("https://mp39851918.megaplan.ua/deals/124229/card/","21071")</f>
      </c>
      <c r="B6228" s="3" t="inlineStr">
        <is>
          <t>113-7246104-4811403</t>
        </is>
      </c>
      <c r="C6228" s="3" t="inlineStr">
        <is>
          <t>PartsUnlimited</t>
        </is>
      </c>
    </row>
    <row collapsed="false" customFormat="false" customHeight="false" hidden="false" ht="12.1" outlineLevel="0" r="6229">
      <c r="A6229" s="3" t="s">
        <f>=HYPERLINK("https://mp39851918.megaplan.ua/deals/124236/card/","21073")</f>
      </c>
      <c r="B6229" s="3" t="inlineStr">
        <is>
          <t>112-3394057-0773053</t>
        </is>
      </c>
      <c r="C6229" s="3" t="inlineStr">
        <is>
          <t>PartsUnlimited</t>
        </is>
      </c>
    </row>
    <row collapsed="false" customFormat="false" customHeight="false" hidden="false" ht="12.1" outlineLevel="0" r="6230">
      <c r="A6230" s="3" t="s">
        <f>=HYPERLINK("https://mp39851918.megaplan.ua/deals/124248/card/","21075")</f>
      </c>
      <c r="B6230" s="3" t="inlineStr">
        <is>
          <t>113-7284427-4417010</t>
        </is>
      </c>
      <c r="C6230" s="3" t="inlineStr">
        <is>
          <t>TuckerRocky</t>
        </is>
      </c>
    </row>
    <row collapsed="false" customFormat="false" customHeight="false" hidden="false" ht="12.1" outlineLevel="0" r="6231">
      <c r="A6231" s="3" t="s">
        <f>=HYPERLINK("https://mp39851918.megaplan.ua/deals/124272/card/","21078")</f>
      </c>
      <c r="B6231" s="3" t="inlineStr">
        <is>
          <t>111-3992033-4841043</t>
        </is>
      </c>
      <c r="C6231" s="3" t="inlineStr">
        <is>
          <t>Autodist</t>
        </is>
      </c>
    </row>
    <row collapsed="false" customFormat="false" customHeight="false" hidden="false" ht="12.1" outlineLevel="0" r="6232">
      <c r="A6232" s="3" t="s">
        <f>=HYPERLINK("https://mp39851918.megaplan.ua/deals/124273/card/","21079")</f>
      </c>
      <c r="B6232" s="3" t="inlineStr">
        <is>
          <t>111-4339557-2517806</t>
        </is>
      </c>
      <c r="C6232" s="3" t="inlineStr">
        <is>
          <t>Autodist</t>
        </is>
      </c>
    </row>
    <row collapsed="false" customFormat="false" customHeight="false" hidden="false" ht="12.1" outlineLevel="0" r="6233">
      <c r="A6233" s="3" t="s">
        <f>=HYPERLINK("https://mp39851918.megaplan.ua/deals/124284/card/","21080")</f>
      </c>
      <c r="B6233" s="3" t="inlineStr">
        <is>
          <t>114-8006261-1619420</t>
        </is>
      </c>
      <c r="C6233" s="3" t="inlineStr">
        <is>
          <t>TuckerRocky</t>
        </is>
      </c>
    </row>
    <row collapsed="false" customFormat="false" customHeight="false" hidden="false" ht="12.1" outlineLevel="0" r="6234">
      <c r="A6234" s="3" t="s">
        <f>=HYPERLINK("https://mp39851918.megaplan.ua/deals/124288/card/","21081")</f>
      </c>
      <c r="B6234" s="3" t="inlineStr">
        <is>
          <t>113-8395619-4263460</t>
        </is>
      </c>
      <c r="C6234" s="3" t="inlineStr">
        <is>
          <t>TuckerRocky</t>
        </is>
      </c>
    </row>
    <row collapsed="false" customFormat="false" customHeight="false" hidden="false" ht="12.1" outlineLevel="0" r="6235">
      <c r="A6235" s="3" t="s">
        <f>=HYPERLINK("https://mp39851918.megaplan.ua/deals/124293/card/","21082")</f>
      </c>
      <c r="B6235" s="3" t="inlineStr">
        <is>
          <t>114-9033950-1411454</t>
        </is>
      </c>
      <c r="C6235" s="3" t="inlineStr">
        <is>
          <t>TuckerRocky</t>
        </is>
      </c>
    </row>
    <row collapsed="false" customFormat="false" customHeight="false" hidden="false" ht="12.1" outlineLevel="0" r="6236">
      <c r="A6236" s="3" t="s">
        <f>=HYPERLINK("https://mp39851918.megaplan.ua/deals/124300/card/","21083")</f>
      </c>
      <c r="B6236" s="3" t="inlineStr">
        <is>
          <t>111-3524169-2110608</t>
        </is>
      </c>
      <c r="C6236" s="3" t="inlineStr">
        <is>
          <t>Autodist</t>
        </is>
      </c>
    </row>
    <row collapsed="false" customFormat="false" customHeight="false" hidden="false" ht="12.1" outlineLevel="0" r="6237">
      <c r="A6237" s="3" t="s">
        <f>=HYPERLINK("https://mp39851918.megaplan.ua/deals/124318/card/","21086")</f>
      </c>
      <c r="B6237" s="3" t="inlineStr">
        <is>
          <t>112-0546123-4027413</t>
        </is>
      </c>
      <c r="C6237" s="3" t="inlineStr">
        <is>
          <t>RockyMountain</t>
        </is>
      </c>
    </row>
    <row collapsed="false" customFormat="false" customHeight="false" hidden="false" ht="12.1" outlineLevel="0" r="6238">
      <c r="A6238" s="3" t="s">
        <f>=HYPERLINK("https://mp39851918.megaplan.ua/deals/124322/card/","21087")</f>
      </c>
      <c r="B6238" s="3" t="inlineStr">
        <is>
          <t>114-5466189-0350644</t>
        </is>
      </c>
      <c r="C6238" s="3" t="inlineStr">
        <is>
          <t>TuckerRocky</t>
        </is>
      </c>
    </row>
    <row collapsed="false" customFormat="false" customHeight="false" hidden="false" ht="12.1" outlineLevel="0" r="6239">
      <c r="A6239" s="3" t="s">
        <f>=HYPERLINK("https://mp39851918.megaplan.ua/deals/124329/card/","21088")</f>
      </c>
      <c r="B6239" s="3" t="inlineStr">
        <is>
          <t>112-4719713-0557869</t>
        </is>
      </c>
      <c r="C6239" s="3" t="inlineStr">
        <is>
          <t>RockyMountain</t>
        </is>
      </c>
    </row>
    <row collapsed="false" customFormat="false" customHeight="false" hidden="false" ht="12.1" outlineLevel="0" r="6240">
      <c r="A6240" s="3" t="s">
        <f>=HYPERLINK("https://mp39851918.megaplan.ua/deals/124331/card/","21089")</f>
      </c>
      <c r="B6240" s="3" t="inlineStr">
        <is>
          <t>113-8454515-8803459</t>
        </is>
      </c>
      <c r="C6240" s="3" t="inlineStr">
        <is>
          <t>RockyMountain</t>
        </is>
      </c>
    </row>
    <row collapsed="false" customFormat="false" customHeight="false" hidden="false" ht="12.1" outlineLevel="0" r="6241">
      <c r="A6241" s="3" t="s">
        <f>=HYPERLINK("https://mp39851918.megaplan.ua/deals/124337/card/","21090")</f>
      </c>
      <c r="B6241" s="3" t="inlineStr">
        <is>
          <t>113-0110723-9657035</t>
        </is>
      </c>
      <c r="C6241" s="3" t="inlineStr">
        <is>
          <t>Autodist</t>
        </is>
      </c>
    </row>
    <row collapsed="false" customFormat="false" customHeight="false" hidden="false" ht="12.1" outlineLevel="0" r="6242">
      <c r="A6242" s="3" t="s">
        <f>=HYPERLINK("https://mp39851918.megaplan.ua/deals/124340/card/","21091")</f>
      </c>
      <c r="B6242" s="3" t="inlineStr">
        <is>
          <t>114-6709648-2101055</t>
        </is>
      </c>
      <c r="C6242" s="3" t="inlineStr">
        <is>
          <t>RockyMountain</t>
        </is>
      </c>
    </row>
    <row collapsed="false" customFormat="false" customHeight="false" hidden="false" ht="12.1" outlineLevel="0" r="6243">
      <c r="A6243" s="3" t="s">
        <f>=HYPERLINK("https://mp39851918.megaplan.ua/deals/124347/card/","21092")</f>
      </c>
      <c r="B6243" s="3" t="inlineStr">
        <is>
          <t>111-8093203-6534620</t>
        </is>
      </c>
      <c r="C6243" s="3" t="inlineStr">
        <is>
          <t>Autodist</t>
        </is>
      </c>
    </row>
    <row collapsed="false" customFormat="false" customHeight="false" hidden="false" ht="12.1" outlineLevel="0" r="6244">
      <c r="A6244" s="3" t="s">
        <f>=HYPERLINK("https://mp39851918.megaplan.ua/deals/124368/card/","21093")</f>
      </c>
      <c r="B6244" s="3" t="inlineStr">
        <is>
          <t>112-8332930-7489821</t>
        </is>
      </c>
      <c r="C6244" s="3" t="inlineStr">
        <is>
          <t>Autodist</t>
        </is>
      </c>
    </row>
    <row collapsed="false" customFormat="false" customHeight="false" hidden="false" ht="12.1" outlineLevel="0" r="6245">
      <c r="A6245" s="3" t="s">
        <f>=HYPERLINK("https://mp39851918.megaplan.ua/deals/124370/card/","21094")</f>
      </c>
      <c r="B6245" s="3" t="inlineStr">
        <is>
          <t>114-0210875-8041815</t>
        </is>
      </c>
      <c r="C6245" s="3" t="inlineStr">
        <is>
          <t>Autodist</t>
        </is>
      </c>
    </row>
    <row collapsed="false" customFormat="false" customHeight="false" hidden="false" ht="12.1" outlineLevel="0" r="6246">
      <c r="A6246" s="3" t="s">
        <f>=HYPERLINK("https://mp39851918.megaplan.ua/deals/124371/card/","21095")</f>
      </c>
      <c r="B6246" s="3" t="inlineStr">
        <is>
          <t>113-1041721-5971464</t>
        </is>
      </c>
      <c r="C6246" s="3" t="inlineStr">
        <is>
          <t>Autodist</t>
        </is>
      </c>
    </row>
    <row collapsed="false" customFormat="false" customHeight="false" hidden="false" ht="12.1" outlineLevel="0" r="6247">
      <c r="A6247" s="3" t="s">
        <f>=HYPERLINK("https://mp39851918.megaplan.ua/deals/124377/card/","21098")</f>
      </c>
      <c r="B6247" s="3" t="inlineStr">
        <is>
          <t>112-0310477-7742601</t>
        </is>
      </c>
      <c r="C6247" s="3" t="inlineStr">
        <is>
          <t>TuckerRocky</t>
        </is>
      </c>
    </row>
    <row collapsed="false" customFormat="false" customHeight="false" hidden="false" ht="12.1" outlineLevel="0" r="6248">
      <c r="A6248" s="3" t="s">
        <f>=HYPERLINK("https://mp39851918.megaplan.ua/deals/124389/card/","21099")</f>
      </c>
      <c r="B6248" s="3" t="inlineStr">
        <is>
          <t>114-6776250-3861023</t>
        </is>
      </c>
      <c r="C6248" s="3" t="inlineStr">
        <is>
          <t>Autodist</t>
        </is>
      </c>
    </row>
    <row collapsed="false" customFormat="false" customHeight="false" hidden="false" ht="12.1" outlineLevel="0" r="6249">
      <c r="A6249" s="3" t="s">
        <f>=HYPERLINK("https://mp39851918.megaplan.ua/deals/124393/card/","21100")</f>
      </c>
      <c r="B6249" s="3" t="inlineStr">
        <is>
          <t>112-5359658-8658600</t>
        </is>
      </c>
      <c r="C6249" s="3" t="inlineStr">
        <is>
          <t>RockyMountain</t>
        </is>
      </c>
    </row>
    <row collapsed="false" customFormat="false" customHeight="false" hidden="false" ht="12.1" outlineLevel="0" r="6250">
      <c r="A6250" s="3" t="s">
        <f>=HYPERLINK("https://mp39851918.megaplan.ua/deals/124395/card/","21101")</f>
      </c>
      <c r="B6250" s="3" t="inlineStr">
        <is>
          <t>112-5744236-1469827</t>
        </is>
      </c>
      <c r="C6250" s="3" t="inlineStr">
        <is>
          <t>RockyMountain</t>
        </is>
      </c>
    </row>
    <row collapsed="false" customFormat="false" customHeight="false" hidden="false" ht="12.1" outlineLevel="0" r="6251">
      <c r="A6251" s="3" t="s">
        <f>=HYPERLINK("https://mp39851918.megaplan.ua/deals/124408/card/","21102")</f>
      </c>
      <c r="B6251" s="3" t="inlineStr">
        <is>
          <t>112-8789257-7384202</t>
        </is>
      </c>
      <c r="C6251" s="3" t="inlineStr">
        <is>
          <t>Autodist</t>
        </is>
      </c>
    </row>
    <row collapsed="false" customFormat="false" customHeight="false" hidden="false" ht="12.1" outlineLevel="0" r="6252">
      <c r="A6252" s="3" t="s">
        <f>=HYPERLINK("https://mp39851918.megaplan.ua/deals/124414/card/","21103")</f>
      </c>
      <c r="B6252" s="3" t="inlineStr">
        <is>
          <t>111-3280142-6234631</t>
        </is>
      </c>
      <c r="C6252" s="3" t="inlineStr">
        <is>
          <t>RockyMountain</t>
        </is>
      </c>
    </row>
    <row collapsed="false" customFormat="false" customHeight="false" hidden="false" ht="12.1" outlineLevel="0" r="6253">
      <c r="A6253" s="3" t="s">
        <f>=HYPERLINK("https://mp39851918.megaplan.ua/deals/124426/card/","21104")</f>
      </c>
      <c r="B6253" s="3" t="inlineStr">
        <is>
          <t>111-1280463-5510616</t>
        </is>
      </c>
      <c r="C6253" s="3" t="inlineStr">
        <is>
          <t>RockyMountain</t>
        </is>
      </c>
    </row>
    <row collapsed="false" customFormat="false" customHeight="false" hidden="false" ht="12.1" outlineLevel="0" r="6254">
      <c r="A6254" s="3" t="s">
        <f>=HYPERLINK("https://mp39851918.megaplan.ua/deals/124429/card/","21105")</f>
      </c>
      <c r="B6254" s="3" t="inlineStr">
        <is>
          <t>114-9178709-3825852</t>
        </is>
      </c>
      <c r="C6254" s="3" t="inlineStr">
        <is>
          <t>RockyMountain</t>
        </is>
      </c>
    </row>
    <row collapsed="false" customFormat="false" customHeight="false" hidden="false" ht="12.1" outlineLevel="0" r="6255">
      <c r="A6255" s="3" t="s">
        <f>=HYPERLINK("https://mp39851918.megaplan.ua/deals/124441/card/","21107")</f>
      </c>
      <c r="B6255" s="3" t="inlineStr">
        <is>
          <t>112-6993017-6170608</t>
        </is>
      </c>
      <c r="C6255" s="3" t="inlineStr">
        <is>
          <t>RockyMountain</t>
        </is>
      </c>
    </row>
    <row collapsed="false" customFormat="false" customHeight="false" hidden="false" ht="12.1" outlineLevel="0" r="6256">
      <c r="A6256" s="3" t="s">
        <f>=HYPERLINK("https://mp39851918.megaplan.ua/deals/124442/card/","21108")</f>
      </c>
      <c r="B6256" s="3" t="inlineStr">
        <is>
          <t>113-4364499-0768233</t>
        </is>
      </c>
      <c r="C6256" s="3" t="inlineStr">
        <is>
          <t>RockyMountain</t>
        </is>
      </c>
    </row>
    <row collapsed="false" customFormat="false" customHeight="false" hidden="false" ht="12.1" outlineLevel="0" r="6257">
      <c r="A6257" s="3" t="s">
        <f>=HYPERLINK("https://mp39851918.megaplan.ua/deals/124443/card/","21109")</f>
      </c>
      <c r="B6257" s="3" t="inlineStr">
        <is>
          <t>112-6564073-2322664</t>
        </is>
      </c>
      <c r="C6257" s="3" t="inlineStr">
        <is>
          <t>TuckerRocky</t>
        </is>
      </c>
    </row>
    <row collapsed="false" customFormat="false" customHeight="false" hidden="false" ht="12.1" outlineLevel="0" r="6258">
      <c r="A6258" s="3" t="s">
        <f>=HYPERLINK("https://mp39851918.megaplan.ua/deals/124455/card/","21111")</f>
      </c>
      <c r="B6258" s="3" t="inlineStr">
        <is>
          <t>114-8091752-4898623</t>
        </is>
      </c>
      <c r="C6258" s="3" t="inlineStr">
        <is>
          <t>RockyMountain</t>
        </is>
      </c>
    </row>
    <row collapsed="false" customFormat="false" customHeight="false" hidden="false" ht="12.1" outlineLevel="0" r="6259">
      <c r="A6259" s="3" t="s">
        <f>=HYPERLINK("https://mp39851918.megaplan.ua/deals/124458/card/","21112")</f>
      </c>
      <c r="B6259" s="3" t="inlineStr">
        <is>
          <t>114-1706232-3320232</t>
        </is>
      </c>
      <c r="C6259" s="3" t="inlineStr">
        <is>
          <t>RockyMountain</t>
        </is>
      </c>
    </row>
    <row collapsed="false" customFormat="false" customHeight="false" hidden="false" ht="12.1" outlineLevel="0" r="6260">
      <c r="A6260" s="3" t="s">
        <f>=HYPERLINK("https://mp39851918.megaplan.ua/deals/124470/card/","21113")</f>
      </c>
      <c r="B6260" s="3" t="inlineStr">
        <is>
          <t>113-1136703-6566641</t>
        </is>
      </c>
      <c r="C6260" s="3" t="inlineStr">
        <is>
          <t>RockyMountain</t>
        </is>
      </c>
    </row>
    <row collapsed="false" customFormat="false" customHeight="false" hidden="false" ht="12.1" outlineLevel="0" r="6261">
      <c r="A6261" s="3" t="s">
        <f>=HYPERLINK("https://mp39851918.megaplan.ua/deals/124471/card/","21114")</f>
      </c>
      <c r="B6261" s="3" t="inlineStr">
        <is>
          <t>112-7467347-5040217</t>
        </is>
      </c>
      <c r="C6261" s="3" t="inlineStr">
        <is>
          <t>Autodist</t>
        </is>
      </c>
    </row>
    <row collapsed="false" customFormat="false" customHeight="false" hidden="false" ht="12.1" outlineLevel="0" r="6262">
      <c r="A6262" s="3" t="s">
        <f>=HYPERLINK("https://mp39851918.megaplan.ua/deals/124472/card/","21115")</f>
      </c>
      <c r="B6262" s="3" t="inlineStr">
        <is>
          <t>113-5139524-9951433</t>
        </is>
      </c>
      <c r="C6262" s="3" t="inlineStr">
        <is>
          <t>TuckerRocky</t>
        </is>
      </c>
    </row>
    <row collapsed="false" customFormat="false" customHeight="false" hidden="false" ht="12.1" outlineLevel="0" r="6263">
      <c r="A6263" s="3" t="s">
        <f>=HYPERLINK("https://mp39851918.megaplan.ua/deals/124480/card/","21116")</f>
      </c>
      <c r="B6263" s="3" t="inlineStr">
        <is>
          <t>113-1705877-2510607</t>
        </is>
      </c>
      <c r="C6263" s="3" t="inlineStr">
        <is>
          <t>TuckerRocky</t>
        </is>
      </c>
    </row>
    <row collapsed="false" customFormat="false" customHeight="false" hidden="false" ht="12.1" outlineLevel="0" r="6264">
      <c r="A6264" s="3" t="s">
        <f>=HYPERLINK("https://mp39851918.megaplan.ua/deals/124481/card/","21117")</f>
      </c>
      <c r="B6264" s="3" t="inlineStr">
        <is>
          <t>114-0844811-2667450</t>
        </is>
      </c>
      <c r="C6264" s="3" t="inlineStr">
        <is>
          <t>RockyMountain</t>
        </is>
      </c>
    </row>
    <row collapsed="false" customFormat="false" customHeight="false" hidden="false" ht="12.1" outlineLevel="0" r="6265">
      <c r="A6265" s="3" t="s">
        <f>=HYPERLINK("https://mp39851918.megaplan.ua/deals/124482/card/","21118")</f>
      </c>
      <c r="B6265" s="3" t="inlineStr">
        <is>
          <t>114-0256998-0797019</t>
        </is>
      </c>
      <c r="C6265" s="3" t="inlineStr">
        <is>
          <t>Autodist</t>
        </is>
      </c>
    </row>
    <row collapsed="false" customFormat="false" customHeight="false" hidden="false" ht="12.1" outlineLevel="0" r="6266">
      <c r="A6266" s="3" t="s">
        <f>=HYPERLINK("https://mp39851918.megaplan.ua/deals/124483/card/","21119")</f>
      </c>
      <c r="B6266" s="3" t="inlineStr">
        <is>
          <t>111-3710995-7811467</t>
        </is>
      </c>
      <c r="C6266" s="3" t="inlineStr">
        <is>
          <t>RockyMountain</t>
        </is>
      </c>
    </row>
    <row collapsed="false" customFormat="false" customHeight="false" hidden="false" ht="12.1" outlineLevel="0" r="6267">
      <c r="A6267" s="3" t="s">
        <f>=HYPERLINK("https://mp39851918.megaplan.ua/deals/124485/card/","21120")</f>
      </c>
      <c r="B6267" s="3" t="inlineStr">
        <is>
          <t>113-2470739-1146626</t>
        </is>
      </c>
      <c r="C6267" s="3" t="inlineStr">
        <is>
          <t>TuckerRocky</t>
        </is>
      </c>
    </row>
    <row collapsed="false" customFormat="false" customHeight="false" hidden="false" ht="12.1" outlineLevel="0" r="6268">
      <c r="A6268" s="3" t="s">
        <f>=HYPERLINK("https://mp39851918.megaplan.ua/deals/124486/card/","21121")</f>
      </c>
      <c r="B6268" s="3" t="inlineStr">
        <is>
          <t>111-9173256-0066658</t>
        </is>
      </c>
      <c r="C6268" s="3" t="inlineStr">
        <is>
          <t>RockyMountain</t>
        </is>
      </c>
    </row>
    <row collapsed="false" customFormat="false" customHeight="false" hidden="false" ht="12.1" outlineLevel="0" r="6269">
      <c r="A6269" s="3" t="s">
        <f>=HYPERLINK("https://mp39851918.megaplan.ua/deals/124487/card/","21122")</f>
      </c>
      <c r="B6269" s="3" t="inlineStr">
        <is>
          <t>111-2954997-9950603</t>
        </is>
      </c>
      <c r="C6269" s="3" t="inlineStr">
        <is>
          <t>RockyMountain</t>
        </is>
      </c>
    </row>
    <row collapsed="false" customFormat="false" customHeight="false" hidden="false" ht="12.1" outlineLevel="0" r="6270">
      <c r="A6270" s="3" t="s">
        <f>=HYPERLINK("https://mp39851918.megaplan.ua/deals/124492/card/","21123")</f>
      </c>
      <c r="B6270" s="3" t="inlineStr">
        <is>
          <t>113-1627480-2183456</t>
        </is>
      </c>
      <c r="C6270" s="3" t="inlineStr">
        <is>
          <t>PartsUnlimited</t>
        </is>
      </c>
    </row>
    <row collapsed="false" customFormat="false" customHeight="false" hidden="false" ht="12.1" outlineLevel="0" r="6271">
      <c r="A6271" s="3" t="s">
        <f>=HYPERLINK("https://mp39851918.megaplan.ua/deals/124517/card/","21126")</f>
      </c>
      <c r="B6271" s="3" t="inlineStr">
        <is>
          <t>111-3028865-1788230</t>
        </is>
      </c>
      <c r="C6271" s="3" t="inlineStr">
        <is>
          <t>Autodist</t>
        </is>
      </c>
    </row>
    <row collapsed="false" customFormat="false" customHeight="false" hidden="false" ht="12.1" outlineLevel="0" r="6272">
      <c r="A6272" s="3" t="s">
        <f>=HYPERLINK("https://mp39851918.megaplan.ua/deals/124518/card/","21127")</f>
      </c>
      <c r="B6272" s="3" t="inlineStr">
        <is>
          <t>111-6222442-4407456</t>
        </is>
      </c>
      <c r="C6272" s="3" t="inlineStr">
        <is>
          <t>RockyMountain</t>
        </is>
      </c>
    </row>
    <row collapsed="false" customFormat="false" customHeight="false" hidden="false" ht="12.1" outlineLevel="0" r="6273">
      <c r="A6273" s="3" t="s">
        <f>=HYPERLINK("https://mp39851918.megaplan.ua/deals/124519/card/","21128")</f>
      </c>
      <c r="B6273" s="3" t="inlineStr">
        <is>
          <t>111-6531816-0901044</t>
        </is>
      </c>
      <c r="C6273" s="3" t="inlineStr">
        <is>
          <t>RockyMountain</t>
        </is>
      </c>
    </row>
    <row collapsed="false" customFormat="false" customHeight="false" hidden="false" ht="12.1" outlineLevel="0" r="6274">
      <c r="A6274" s="3" t="s">
        <f>=HYPERLINK("https://mp39851918.megaplan.ua/deals/124529/card/","21129")</f>
      </c>
      <c r="B6274" s="3" t="inlineStr">
        <is>
          <t>111-3240588-4087413</t>
        </is>
      </c>
      <c r="C6274" s="3" t="inlineStr">
        <is>
          <t>RockyMountain</t>
        </is>
      </c>
    </row>
    <row collapsed="false" customFormat="false" customHeight="false" hidden="false" ht="12.1" outlineLevel="0" r="6275">
      <c r="A6275" s="3" t="s">
        <f>=HYPERLINK("https://mp39851918.megaplan.ua/deals/124532/card/","21130")</f>
      </c>
      <c r="B6275" s="3" t="inlineStr">
        <is>
          <t>113-1952611-0597043</t>
        </is>
      </c>
      <c r="C6275" s="3" t="inlineStr">
        <is>
          <t>TuckerRocky</t>
        </is>
      </c>
    </row>
    <row collapsed="false" customFormat="false" customHeight="false" hidden="false" ht="12.1" outlineLevel="0" r="6276">
      <c r="A6276" s="3" t="s">
        <f>=HYPERLINK("https://mp39851918.megaplan.ua/deals/124546/card/","21131")</f>
      </c>
      <c r="B6276" s="3" t="inlineStr">
        <is>
          <t>114-0542872-2725842</t>
        </is>
      </c>
      <c r="C6276" s="3" t="inlineStr">
        <is>
          <t>Autodist</t>
        </is>
      </c>
    </row>
    <row collapsed="false" customFormat="false" customHeight="false" hidden="false" ht="12.1" outlineLevel="0" r="6277">
      <c r="A6277" s="3" t="s">
        <f>=HYPERLINK("https://mp39851918.megaplan.ua/deals/124565/card/","21132")</f>
      </c>
      <c r="B6277" s="3" t="inlineStr">
        <is>
          <t>112-8134819-7974620</t>
        </is>
      </c>
      <c r="C6277" s="3" t="inlineStr">
        <is>
          <t>RockyMountain</t>
        </is>
      </c>
    </row>
    <row collapsed="false" customFormat="false" customHeight="false" hidden="false" ht="12.1" outlineLevel="0" r="6278">
      <c r="A6278" s="3" t="s">
        <f>=HYPERLINK("https://mp39851918.megaplan.ua/deals/124609/card/","21135")</f>
      </c>
      <c r="B6278" s="3" t="inlineStr">
        <is>
          <t>113-0506371-8604241</t>
        </is>
      </c>
      <c r="C6278" s="3" t="inlineStr">
        <is>
          <t>TuckerRocky</t>
        </is>
      </c>
    </row>
    <row collapsed="false" customFormat="false" customHeight="false" hidden="false" ht="12.1" outlineLevel="0" r="6279">
      <c r="A6279" s="3" t="s">
        <f>=HYPERLINK("https://mp39851918.megaplan.ua/deals/124617/card/","21136")</f>
      </c>
      <c r="B6279" s="3" t="inlineStr">
        <is>
          <t>112-4301532-6133060</t>
        </is>
      </c>
      <c r="C6279" s="3" t="inlineStr">
        <is>
          <t>TuckerRocky</t>
        </is>
      </c>
    </row>
    <row collapsed="false" customFormat="false" customHeight="false" hidden="false" ht="12.1" outlineLevel="0" r="6280">
      <c r="A6280" s="3" t="s">
        <f>=HYPERLINK("https://mp39851918.megaplan.ua/deals/124618/card/","21137")</f>
      </c>
      <c r="B6280" s="3" t="inlineStr">
        <is>
          <t>114-4713152-0969860</t>
        </is>
      </c>
      <c r="C6280" s="3" t="inlineStr">
        <is>
          <t>RockyMountain</t>
        </is>
      </c>
    </row>
    <row collapsed="false" customFormat="false" customHeight="false" hidden="false" ht="12.1" outlineLevel="0" r="6281">
      <c r="A6281" s="3" t="s">
        <f>=HYPERLINK("https://mp39851918.megaplan.ua/deals/124625/card/","21138")</f>
      </c>
      <c r="B6281" s="3" t="inlineStr">
        <is>
          <t>114-9529814-0934658</t>
        </is>
      </c>
      <c r="C6281" s="3" t="inlineStr">
        <is>
          <t>TuckerRocky</t>
        </is>
      </c>
    </row>
    <row collapsed="false" customFormat="false" customHeight="false" hidden="false" ht="12.1" outlineLevel="0" r="6282">
      <c r="A6282" s="3" t="s">
        <f>=HYPERLINK("https://mp39851918.megaplan.ua/deals/124626/card/","21139")</f>
      </c>
      <c r="B6282" s="3" t="inlineStr">
        <is>
          <t>113-5402205-6582628</t>
        </is>
      </c>
      <c r="C6282" s="3" t="inlineStr">
        <is>
          <t>RockyMountain</t>
        </is>
      </c>
    </row>
    <row collapsed="false" customFormat="false" customHeight="false" hidden="false" ht="12.1" outlineLevel="0" r="6283">
      <c r="A6283" s="3" t="s">
        <f>=HYPERLINK("https://mp39851918.megaplan.ua/deals/124627/card/","21140")</f>
      </c>
      <c r="B6283" s="3" t="inlineStr">
        <is>
          <t>111-1894269-8758654</t>
        </is>
      </c>
      <c r="C6283" s="3" t="inlineStr">
        <is>
          <t>TuckerRocky</t>
        </is>
      </c>
    </row>
    <row collapsed="false" customFormat="false" customHeight="false" hidden="false" ht="12.1" outlineLevel="0" r="6284">
      <c r="A6284" s="3" t="s">
        <f>=HYPERLINK("https://mp39851918.megaplan.ua/deals/124630/card/","21141")</f>
      </c>
      <c r="B6284" s="3" t="inlineStr">
        <is>
          <t>114-1146200-3345044</t>
        </is>
      </c>
      <c r="C6284" s="3" t="inlineStr">
        <is>
          <t>RockyMountain</t>
        </is>
      </c>
    </row>
    <row collapsed="false" customFormat="false" customHeight="false" hidden="false" ht="12.1" outlineLevel="0" r="6285">
      <c r="A6285" s="3" t="s">
        <f>=HYPERLINK("https://mp39851918.megaplan.ua/deals/124633/card/","21143")</f>
      </c>
      <c r="B6285" s="3" t="inlineStr">
        <is>
          <t>113-9275910-8377023</t>
        </is>
      </c>
      <c r="C6285" s="3" t="inlineStr">
        <is>
          <t>Autodist</t>
        </is>
      </c>
    </row>
    <row collapsed="false" customFormat="false" customHeight="false" hidden="false" ht="12.1" outlineLevel="0" r="6286">
      <c r="A6286" s="3" t="s">
        <f>=HYPERLINK("https://mp39851918.megaplan.ua/deals/124645/card/","21144")</f>
      </c>
      <c r="B6286" s="3" t="inlineStr">
        <is>
          <t>111-0424162-1141009</t>
        </is>
      </c>
      <c r="C6286" s="3" t="inlineStr">
        <is>
          <t>PartsUnlimited</t>
        </is>
      </c>
    </row>
    <row collapsed="false" customFormat="false" customHeight="false" hidden="false" ht="12.1" outlineLevel="0" r="6287">
      <c r="A6287" s="3" t="s">
        <f>=HYPERLINK("https://mp39851918.megaplan.ua/deals/124666/card/","21145")</f>
      </c>
      <c r="B6287" s="3" t="inlineStr">
        <is>
          <t>111-3485888-8031425</t>
        </is>
      </c>
      <c r="C6287" s="3" t="inlineStr">
        <is>
          <t>RockyMountain</t>
        </is>
      </c>
    </row>
    <row collapsed="false" customFormat="false" customHeight="false" hidden="false" ht="12.1" outlineLevel="0" r="6288">
      <c r="A6288" s="3" t="s">
        <f>=HYPERLINK("https://mp39851918.megaplan.ua/deals/124668/card/","21146")</f>
      </c>
      <c r="B6288" s="3" t="inlineStr">
        <is>
          <t>111-6377769-5657010</t>
        </is>
      </c>
      <c r="C6288" s="3" t="inlineStr">
        <is>
          <t>TuckerRocky</t>
        </is>
      </c>
    </row>
    <row collapsed="false" customFormat="false" customHeight="false" hidden="false" ht="12.1" outlineLevel="0" r="6289">
      <c r="A6289" s="3" t="s">
        <f>=HYPERLINK("https://mp39851918.megaplan.ua/deals/124674/card/","21148")</f>
      </c>
      <c r="B6289" s="3" t="inlineStr">
        <is>
          <t>113-9943000-9412219</t>
        </is>
      </c>
      <c r="C6289" s="3" t="inlineStr">
        <is>
          <t>PartsUnlimited</t>
        </is>
      </c>
    </row>
    <row collapsed="false" customFormat="false" customHeight="false" hidden="false" ht="12.1" outlineLevel="0" r="6290">
      <c r="A6290" s="3" t="s">
        <f>=HYPERLINK("https://mp39851918.megaplan.ua/deals/124675/card/","21149")</f>
      </c>
      <c r="B6290" s="3" t="inlineStr">
        <is>
          <t>114-9821193-4619453</t>
        </is>
      </c>
      <c r="C6290" s="3" t="inlineStr">
        <is>
          <t>RockyMountain</t>
        </is>
      </c>
    </row>
    <row collapsed="false" customFormat="false" customHeight="false" hidden="false" ht="12.1" outlineLevel="0" r="6291">
      <c r="A6291" s="3" t="s">
        <f>=HYPERLINK("https://mp39851918.megaplan.ua/deals/124686/card/","21150")</f>
      </c>
      <c r="B6291" s="3" t="inlineStr">
        <is>
          <t>112-7949904-2213054</t>
        </is>
      </c>
      <c r="C6291" s="3" t="inlineStr">
        <is>
          <t>RockyMountain</t>
        </is>
      </c>
    </row>
    <row collapsed="false" customFormat="false" customHeight="false" hidden="false" ht="12.1" outlineLevel="0" r="6292">
      <c r="A6292" s="3" t="s">
        <f>=HYPERLINK("https://mp39851918.megaplan.ua/deals/124694/card/","21151")</f>
      </c>
      <c r="B6292" s="3" t="inlineStr">
        <is>
          <t>113-5844528-2209018</t>
        </is>
      </c>
      <c r="C6292" s="3" t="inlineStr">
        <is>
          <t>Autodist</t>
        </is>
      </c>
    </row>
    <row collapsed="false" customFormat="false" customHeight="false" hidden="false" ht="12.1" outlineLevel="0" r="6293">
      <c r="A6293" s="3" t="s">
        <f>=HYPERLINK("https://mp39851918.megaplan.ua/deals/124700/card/","21153")</f>
      </c>
      <c r="B6293" s="3" t="inlineStr">
        <is>
          <t>112-8091583-7337858</t>
        </is>
      </c>
      <c r="C6293" s="3" t="inlineStr">
        <is>
          <t>RockyMountain</t>
        </is>
      </c>
    </row>
    <row collapsed="false" customFormat="false" customHeight="false" hidden="false" ht="12.1" outlineLevel="0" r="6294">
      <c r="A6294" s="3" t="s">
        <f>=HYPERLINK("https://mp39851918.megaplan.ua/deals/124701/card/","21154")</f>
      </c>
      <c r="B6294" s="3" t="inlineStr">
        <is>
          <t>112-7755269-4058640</t>
        </is>
      </c>
      <c r="C6294" s="3" t="inlineStr">
        <is>
          <t>Autodist</t>
        </is>
      </c>
    </row>
    <row collapsed="false" customFormat="false" customHeight="false" hidden="false" ht="12.1" outlineLevel="0" r="6295">
      <c r="A6295" s="3" t="s">
        <f>=HYPERLINK("https://mp39851918.megaplan.ua/deals/124708/card/","21155")</f>
      </c>
      <c r="B6295" s="3" t="inlineStr">
        <is>
          <t>111-3125854-9017837</t>
        </is>
      </c>
      <c r="C6295" s="3" t="inlineStr">
        <is>
          <t>RockyMountain</t>
        </is>
      </c>
    </row>
    <row collapsed="false" customFormat="false" customHeight="false" hidden="false" ht="12.1" outlineLevel="0" r="6296">
      <c r="A6296" s="3" t="s">
        <f>=HYPERLINK("https://mp39851918.megaplan.ua/deals/124718/card/","21156")</f>
      </c>
      <c r="B6296" s="3" t="inlineStr">
        <is>
          <t>111-4640253-0328248</t>
        </is>
      </c>
      <c r="C6296" s="3" t="inlineStr">
        <is>
          <t>PartsUnlimited</t>
        </is>
      </c>
    </row>
    <row collapsed="false" customFormat="false" customHeight="false" hidden="false" ht="12.1" outlineLevel="0" r="6297">
      <c r="A6297" s="3" t="s">
        <f>=HYPERLINK("https://mp39851918.megaplan.ua/deals/124719/card/","21157")</f>
      </c>
      <c r="B6297" s="3" t="inlineStr">
        <is>
          <t>111-6635798-7773050</t>
        </is>
      </c>
      <c r="C6297" s="3" t="inlineStr">
        <is>
          <t>RockyMountain</t>
        </is>
      </c>
    </row>
    <row collapsed="false" customFormat="false" customHeight="false" hidden="false" ht="12.1" outlineLevel="0" r="6298">
      <c r="A6298" s="3" t="s">
        <f>=HYPERLINK("https://mp39851918.megaplan.ua/deals/124720/card/","21158")</f>
      </c>
      <c r="B6298" s="3" t="inlineStr">
        <is>
          <t>114-9943820-4617007</t>
        </is>
      </c>
      <c r="C6298" s="3" t="inlineStr">
        <is>
          <t>Autodist</t>
        </is>
      </c>
    </row>
    <row collapsed="false" customFormat="false" customHeight="false" hidden="false" ht="12.1" outlineLevel="0" r="6299">
      <c r="A6299" s="3" t="s">
        <f>=HYPERLINK("https://mp39851918.megaplan.ua/deals/124725/card/","21159")</f>
      </c>
      <c r="B6299" s="3" t="inlineStr">
        <is>
          <t>114-8597951-2393841</t>
        </is>
      </c>
      <c r="C6299" s="3" t="inlineStr">
        <is>
          <t>PartsUnlimited</t>
        </is>
      </c>
    </row>
    <row collapsed="false" customFormat="false" customHeight="false" hidden="false" ht="12.1" outlineLevel="0" r="6300">
      <c r="A6300" s="3" t="s">
        <f>=HYPERLINK("https://mp39851918.megaplan.ua/deals/124732/card/","21160")</f>
      </c>
      <c r="B6300" s="3" t="inlineStr">
        <is>
          <t>114-8708868-0489816</t>
        </is>
      </c>
      <c r="C6300" s="3" t="inlineStr">
        <is>
          <t>RockyMountain</t>
        </is>
      </c>
    </row>
    <row collapsed="false" customFormat="false" customHeight="false" hidden="false" ht="12.1" outlineLevel="0" r="6301">
      <c r="A6301" s="3" t="s">
        <f>=HYPERLINK("https://mp39851918.megaplan.ua/deals/124733/card/","21161")</f>
      </c>
      <c r="B6301" s="3" t="inlineStr">
        <is>
          <t>112-7620071-9271439</t>
        </is>
      </c>
      <c r="C6301" s="3" t="inlineStr">
        <is>
          <t>PartsUnlimited</t>
        </is>
      </c>
    </row>
    <row collapsed="false" customFormat="false" customHeight="false" hidden="false" ht="12.1" outlineLevel="0" r="6302">
      <c r="A6302" s="3" t="s">
        <f>=HYPERLINK("https://mp39851918.megaplan.ua/deals/124738/card/","21162")</f>
      </c>
      <c r="B6302" s="3" t="inlineStr">
        <is>
          <t>111-0417327-8520225</t>
        </is>
      </c>
      <c r="C6302" s="3" t="inlineStr">
        <is>
          <t>RockyMountain</t>
        </is>
      </c>
    </row>
    <row collapsed="false" customFormat="false" customHeight="false" hidden="false" ht="12.1" outlineLevel="0" r="6303">
      <c r="A6303" s="3" t="s">
        <f>=HYPERLINK("https://mp39851918.megaplan.ua/deals/124739/card/","21163")</f>
      </c>
      <c r="B6303" s="3" t="inlineStr">
        <is>
          <t>114-5968198-0857064</t>
        </is>
      </c>
      <c r="C6303" s="3" t="inlineStr">
        <is>
          <t>PartsUnlimited</t>
        </is>
      </c>
    </row>
    <row collapsed="false" customFormat="false" customHeight="false" hidden="false" ht="12.1" outlineLevel="0" r="6304">
      <c r="A6304" s="3" t="s">
        <f>=HYPERLINK("https://mp39851918.megaplan.ua/deals/124741/card/","21164")</f>
      </c>
      <c r="B6304" s="3" t="inlineStr">
        <is>
          <t>111-8424308-5315459</t>
        </is>
      </c>
      <c r="C6304" s="3" t="inlineStr">
        <is>
          <t>Autodist</t>
        </is>
      </c>
    </row>
    <row collapsed="false" customFormat="false" customHeight="false" hidden="false" ht="12.1" outlineLevel="0" r="6305">
      <c r="A6305" s="3" t="s">
        <f>=HYPERLINK("https://mp39851918.megaplan.ua/deals/124744/card/","21165")</f>
      </c>
      <c r="B6305" s="3" t="inlineStr">
        <is>
          <t>114-8481524-9453846</t>
        </is>
      </c>
      <c r="C6305" s="3" t="inlineStr">
        <is>
          <t>PartsUnlimited</t>
        </is>
      </c>
    </row>
    <row collapsed="false" customFormat="false" customHeight="false" hidden="false" ht="12.1" outlineLevel="0" r="6306">
      <c r="A6306" s="3" t="s">
        <f>=HYPERLINK("https://mp39851918.megaplan.ua/deals/124758/card/","21167")</f>
      </c>
      <c r="B6306" s="3" t="inlineStr">
        <is>
          <t>112-8093427-7929864</t>
        </is>
      </c>
      <c r="C6306" s="3" t="inlineStr">
        <is>
          <t>PartsUnlimited</t>
        </is>
      </c>
    </row>
    <row collapsed="false" customFormat="false" customHeight="false" hidden="false" ht="12.1" outlineLevel="0" r="6307">
      <c r="A6307" s="3" t="s">
        <f>=HYPERLINK("https://mp39851918.megaplan.ua/deals/124761/card/","21168")</f>
      </c>
      <c r="B6307" s="3" t="inlineStr">
        <is>
          <t>113-0988654-3936263</t>
        </is>
      </c>
      <c r="C6307" s="3" t="inlineStr">
        <is>
          <t>TuckerRocky</t>
        </is>
      </c>
    </row>
    <row collapsed="false" customFormat="false" customHeight="false" hidden="false" ht="12.1" outlineLevel="0" r="6308">
      <c r="A6308" s="3" t="s">
        <f>=HYPERLINK("https://mp39851918.megaplan.ua/deals/124765/card/","21169")</f>
      </c>
      <c r="B6308" s="3" t="inlineStr">
        <is>
          <t>111-1113022-4373053</t>
        </is>
      </c>
      <c r="C6308" s="3" t="inlineStr">
        <is>
          <t>RockyMountain</t>
        </is>
      </c>
    </row>
    <row collapsed="false" customFormat="false" customHeight="false" hidden="false" ht="12.1" outlineLevel="0" r="6309">
      <c r="A6309" s="3" t="s">
        <f>=HYPERLINK("https://mp39851918.megaplan.ua/deals/124766/card/","21170")</f>
      </c>
      <c r="B6309" s="3" t="inlineStr">
        <is>
          <t>114-9034338-6846624</t>
        </is>
      </c>
      <c r="C6309" s="3" t="inlineStr">
        <is>
          <t>TuckerRocky</t>
        </is>
      </c>
    </row>
    <row collapsed="false" customFormat="false" customHeight="false" hidden="false" ht="12.1" outlineLevel="0" r="6310">
      <c r="A6310" s="3" t="s">
        <f>=HYPERLINK("https://mp39851918.megaplan.ua/deals/124767/card/","21171")</f>
      </c>
      <c r="B6310" s="3" t="inlineStr">
        <is>
          <t>111-1525083-3413822</t>
        </is>
      </c>
      <c r="C6310" s="3" t="inlineStr">
        <is>
          <t>Autodist</t>
        </is>
      </c>
    </row>
    <row collapsed="false" customFormat="false" customHeight="false" hidden="false" ht="12.1" outlineLevel="0" r="6311">
      <c r="A6311" s="3" t="s">
        <f>=HYPERLINK("https://mp39851918.megaplan.ua/deals/124779/card/","21173")</f>
      </c>
      <c r="B6311" s="3" t="inlineStr">
        <is>
          <t>111-9290009-7219440</t>
        </is>
      </c>
      <c r="C6311" s="3" t="inlineStr">
        <is>
          <t>RockyMountain</t>
        </is>
      </c>
    </row>
    <row collapsed="false" customFormat="false" customHeight="false" hidden="false" ht="12.1" outlineLevel="0" r="6312">
      <c r="A6312" s="3" t="s">
        <f>=HYPERLINK("https://mp39851918.megaplan.ua/deals/124790/card/","21174")</f>
      </c>
      <c r="B6312" s="3" t="inlineStr">
        <is>
          <t>113-8214370-2543430</t>
        </is>
      </c>
      <c r="C6312" s="3" t="inlineStr">
        <is>
          <t>TuckerRocky</t>
        </is>
      </c>
    </row>
    <row collapsed="false" customFormat="false" customHeight="false" hidden="false" ht="12.1" outlineLevel="0" r="6313">
      <c r="A6313" s="3" t="s">
        <f>=HYPERLINK("https://mp39851918.megaplan.ua/deals/124813/card/","21175")</f>
      </c>
      <c r="B6313" s="3" t="inlineStr">
        <is>
          <t>114-1044603-0389830</t>
        </is>
      </c>
      <c r="C6313" s="3" t="inlineStr">
        <is>
          <t>RockyMountain</t>
        </is>
      </c>
    </row>
    <row collapsed="false" customFormat="false" customHeight="false" hidden="false" ht="12.1" outlineLevel="0" r="6314">
      <c r="A6314" s="3" t="s">
        <f>=HYPERLINK("https://mp39851918.megaplan.ua/deals/124814/card/","21176")</f>
      </c>
      <c r="B6314" s="3" t="inlineStr">
        <is>
          <t>113-1470380-9905850</t>
        </is>
      </c>
      <c r="C6314" s="3" t="inlineStr">
        <is>
          <t>PartsUnlimited</t>
        </is>
      </c>
    </row>
    <row collapsed="false" customFormat="false" customHeight="false" hidden="false" ht="12.1" outlineLevel="0" r="6315">
      <c r="A6315" s="3" t="s">
        <f>=HYPERLINK("https://mp39851918.megaplan.ua/deals/124815/card/","21177")</f>
      </c>
      <c r="B6315" s="3" t="inlineStr">
        <is>
          <t>113-8849672-9078628</t>
        </is>
      </c>
      <c r="C6315" s="3" t="inlineStr">
        <is>
          <t>TuckerRocky</t>
        </is>
      </c>
    </row>
    <row collapsed="false" customFormat="false" customHeight="false" hidden="false" ht="12.1" outlineLevel="0" r="6316">
      <c r="A6316" s="3" t="s">
        <f>=HYPERLINK("https://mp39851918.megaplan.ua/deals/124816/card/","21178")</f>
      </c>
      <c r="B6316" s="3" t="inlineStr">
        <is>
          <t>113-6182493-3870611</t>
        </is>
      </c>
      <c r="C6316" s="3" t="inlineStr">
        <is>
          <t>RockyMountain</t>
        </is>
      </c>
    </row>
    <row collapsed="false" customFormat="false" customHeight="false" hidden="false" ht="12.1" outlineLevel="0" r="6317">
      <c r="A6317" s="3" t="s">
        <f>=HYPERLINK("https://mp39851918.megaplan.ua/deals/124817/card/","21179")</f>
      </c>
      <c r="B6317" s="3" t="inlineStr">
        <is>
          <t>111-0263369-0370601</t>
        </is>
      </c>
      <c r="C6317" s="3" t="inlineStr">
        <is>
          <t>Autodist</t>
        </is>
      </c>
    </row>
    <row collapsed="false" customFormat="false" customHeight="false" hidden="false" ht="12.1" outlineLevel="0" r="6318">
      <c r="A6318" s="3" t="s">
        <f>=HYPERLINK("https://mp39851918.megaplan.ua/deals/124818/card/","21180")</f>
      </c>
      <c r="B6318" s="3" t="inlineStr">
        <is>
          <t>114-1185203-0110609</t>
        </is>
      </c>
      <c r="C6318" s="3" t="inlineStr">
        <is>
          <t>TuckerRocky</t>
        </is>
      </c>
    </row>
    <row collapsed="false" customFormat="false" customHeight="false" hidden="false" ht="12.1" outlineLevel="0" r="6319">
      <c r="A6319" s="3" t="s">
        <f>=HYPERLINK("https://mp39851918.megaplan.ua/deals/124819/card/","21181")</f>
      </c>
      <c r="B6319" s="3" t="inlineStr">
        <is>
          <t>114-1298809-4633829</t>
        </is>
      </c>
      <c r="C6319" s="3" t="inlineStr">
        <is>
          <t>TuckerRocky</t>
        </is>
      </c>
    </row>
    <row collapsed="false" customFormat="false" customHeight="false" hidden="false" ht="12.1" outlineLevel="0" r="6320">
      <c r="A6320" s="3" t="s">
        <f>=HYPERLINK("https://mp39851918.megaplan.ua/deals/124821/card/","21182")</f>
      </c>
      <c r="B6320" s="3" t="inlineStr">
        <is>
          <t>111-9829063-6401861</t>
        </is>
      </c>
      <c r="C6320" s="3" t="inlineStr">
        <is>
          <t>RockyMountain</t>
        </is>
      </c>
    </row>
    <row collapsed="false" customFormat="false" customHeight="false" hidden="false" ht="12.1" outlineLevel="0" r="6321">
      <c r="A6321" s="3" t="s">
        <f>=HYPERLINK("https://mp39851918.megaplan.ua/deals/124822/card/","21183")</f>
      </c>
      <c r="B6321" s="3" t="inlineStr">
        <is>
          <t>111-5647541-5156205</t>
        </is>
      </c>
      <c r="C6321" s="3" t="inlineStr">
        <is>
          <t>TuckerRocky</t>
        </is>
      </c>
    </row>
    <row collapsed="false" customFormat="false" customHeight="false" hidden="false" ht="12.1" outlineLevel="0" r="6322">
      <c r="A6322" s="3" t="s">
        <f>=HYPERLINK("https://mp39851918.megaplan.ua/deals/124826/card/","21184")</f>
      </c>
      <c r="B6322" s="3" t="inlineStr">
        <is>
          <t>113-8544386-9233821</t>
        </is>
      </c>
      <c r="C6322" s="3" t="inlineStr">
        <is>
          <t>RockyMountain</t>
        </is>
      </c>
    </row>
    <row collapsed="false" customFormat="false" customHeight="false" hidden="false" ht="12.1" outlineLevel="0" r="6323">
      <c r="A6323" s="3" t="s">
        <f>=HYPERLINK("https://mp39851918.megaplan.ua/deals/124829/card/","21185")</f>
      </c>
      <c r="B6323" s="3" t="inlineStr">
        <is>
          <t>113-7214131-4473816</t>
        </is>
      </c>
      <c r="C6323" s="3" t="inlineStr">
        <is>
          <t>TuckerRocky</t>
        </is>
      </c>
    </row>
    <row collapsed="false" customFormat="false" customHeight="false" hidden="false" ht="12.1" outlineLevel="0" r="6324">
      <c r="A6324" s="3" t="s">
        <f>=HYPERLINK("https://mp39851918.megaplan.ua/deals/124830/card/","21186")</f>
      </c>
      <c r="B6324" s="3" t="inlineStr">
        <is>
          <t>111-0909442-8834655</t>
        </is>
      </c>
      <c r="C6324" s="3" t="inlineStr">
        <is>
          <t>TuckerRocky</t>
        </is>
      </c>
    </row>
    <row collapsed="false" customFormat="false" customHeight="false" hidden="false" ht="12.1" outlineLevel="0" r="6325">
      <c r="A6325" s="3" t="s">
        <f>=HYPERLINK("https://mp39851918.megaplan.ua/deals/124841/card/","21187")</f>
      </c>
      <c r="B6325" s="3" t="inlineStr">
        <is>
          <t>112-8059620-3081820</t>
        </is>
      </c>
      <c r="C6325" s="3" t="inlineStr">
        <is>
          <t>PartsUnlimited</t>
        </is>
      </c>
    </row>
    <row collapsed="false" customFormat="false" customHeight="false" hidden="false" ht="12.1" outlineLevel="0" r="6326">
      <c r="A6326" s="3" t="s">
        <f>=HYPERLINK("https://mp39851918.megaplan.ua/deals/124849/card/","21191")</f>
      </c>
      <c r="B6326" s="3" t="inlineStr">
        <is>
          <t>113-2351549-3121034</t>
        </is>
      </c>
      <c r="C6326" s="3" t="inlineStr">
        <is>
          <t>Autodist</t>
        </is>
      </c>
    </row>
    <row collapsed="false" customFormat="false" customHeight="false" hidden="false" ht="12.1" outlineLevel="0" r="6327">
      <c r="A6327" s="3" t="s">
        <f>=HYPERLINK("https://mp39851918.megaplan.ua/deals/124857/card/","21192")</f>
      </c>
      <c r="B6327" s="3" t="inlineStr">
        <is>
          <t>113-7597491-7979466</t>
        </is>
      </c>
      <c r="C6327" s="3" t="inlineStr">
        <is>
          <t>RockyMountain</t>
        </is>
      </c>
    </row>
    <row collapsed="false" customFormat="false" customHeight="false" hidden="false" ht="12.1" outlineLevel="0" r="6328">
      <c r="A6328" s="3" t="s">
        <f>=HYPERLINK("https://mp39851918.megaplan.ua/deals/124858/card/","21193")</f>
      </c>
      <c r="B6328" s="3" t="inlineStr">
        <is>
          <t>112-7724925-8314648</t>
        </is>
      </c>
      <c r="C6328" s="3" t="inlineStr">
        <is>
          <t>TuckerRocky</t>
        </is>
      </c>
    </row>
    <row collapsed="false" customFormat="false" customHeight="false" hidden="false" ht="12.1" outlineLevel="0" r="6329">
      <c r="A6329" s="3" t="s">
        <f>=HYPERLINK("https://mp39851918.megaplan.ua/deals/124864/card/","21194")</f>
      </c>
      <c r="B6329" s="3" t="inlineStr">
        <is>
          <t>111-3178241-5513804</t>
        </is>
      </c>
      <c r="C6329" s="3" t="inlineStr">
        <is>
          <t>RockyMountain</t>
        </is>
      </c>
    </row>
    <row collapsed="false" customFormat="false" customHeight="false" hidden="false" ht="12.1" outlineLevel="0" r="6330">
      <c r="A6330" s="3" t="s">
        <f>=HYPERLINK("https://mp39851918.megaplan.ua/deals/124866/card/","21195")</f>
      </c>
      <c r="B6330" s="3" t="inlineStr">
        <is>
          <t>112-9757454-6479460</t>
        </is>
      </c>
      <c r="C6330" s="3" t="inlineStr">
        <is>
          <t>RockyMountain</t>
        </is>
      </c>
    </row>
    <row collapsed="false" customFormat="false" customHeight="false" hidden="false" ht="12.1" outlineLevel="0" r="6331">
      <c r="A6331" s="3" t="s">
        <f>=HYPERLINK("https://mp39851918.megaplan.ua/deals/124879/card/","21197")</f>
      </c>
      <c r="B6331" s="3" t="inlineStr">
        <is>
          <t>111-4395156-4534603</t>
        </is>
      </c>
      <c r="C6331" s="3" t="inlineStr">
        <is>
          <t>RockyMountain</t>
        </is>
      </c>
    </row>
    <row collapsed="false" customFormat="false" customHeight="false" hidden="false" ht="12.1" outlineLevel="0" r="6332">
      <c r="A6332" s="3" t="s">
        <f>=HYPERLINK("https://mp39851918.megaplan.ua/deals/124885/card/","21198")</f>
      </c>
      <c r="B6332" s="3" t="inlineStr">
        <is>
          <t>111-3292042-9288229</t>
        </is>
      </c>
      <c r="C6332" s="3" t="inlineStr">
        <is>
          <t>RockyMountain</t>
        </is>
      </c>
    </row>
    <row collapsed="false" customFormat="false" customHeight="false" hidden="false" ht="12.1" outlineLevel="0" r="6333">
      <c r="A6333" s="3" t="s">
        <f>=HYPERLINK("https://mp39851918.megaplan.ua/deals/124894/card/","21199")</f>
      </c>
      <c r="B6333" s="3" t="inlineStr">
        <is>
          <t>114-5168669-9973051</t>
        </is>
      </c>
      <c r="C6333" s="3" t="inlineStr">
        <is>
          <t>TuckerRocky</t>
        </is>
      </c>
    </row>
    <row collapsed="false" customFormat="false" customHeight="false" hidden="false" ht="12.1" outlineLevel="0" r="6334">
      <c r="A6334" s="3" t="s">
        <f>=HYPERLINK("https://mp39851918.megaplan.ua/deals/124900/card/","21200")</f>
      </c>
      <c r="B6334" s="3" t="inlineStr">
        <is>
          <t>112-5852356-8082658</t>
        </is>
      </c>
      <c r="C6334" s="3" t="inlineStr">
        <is>
          <t>TuckerRocky</t>
        </is>
      </c>
    </row>
    <row collapsed="false" customFormat="false" customHeight="false" hidden="false" ht="12.1" outlineLevel="0" r="6335">
      <c r="A6335" s="3" t="s">
        <f>=HYPERLINK("https://mp39851918.megaplan.ua/deals/124911/card/","21201")</f>
      </c>
      <c r="B6335" s="3" t="inlineStr">
        <is>
          <t>111-3119822-2195414</t>
        </is>
      </c>
      <c r="C6335" s="3" t="inlineStr">
        <is>
          <t>RockyMountain</t>
        </is>
      </c>
    </row>
    <row collapsed="false" customFormat="false" customHeight="false" hidden="false" ht="12.1" outlineLevel="0" r="6336">
      <c r="A6336" s="3" t="s">
        <f>=HYPERLINK("https://mp39851918.megaplan.ua/deals/124917/card/","21202")</f>
      </c>
      <c r="B6336" s="3" t="inlineStr">
        <is>
          <t>111-7407967-8063421</t>
        </is>
      </c>
      <c r="C6336" s="3" t="inlineStr">
        <is>
          <t>TuckerRocky</t>
        </is>
      </c>
    </row>
    <row collapsed="false" customFormat="false" customHeight="false" hidden="false" ht="12.1" outlineLevel="0" r="6337">
      <c r="A6337" s="3" t="s">
        <f>=HYPERLINK("https://mp39851918.megaplan.ua/deals/124920/card/","21203")</f>
      </c>
      <c r="B6337" s="3" t="inlineStr">
        <is>
          <t>114-8824984-2859427</t>
        </is>
      </c>
      <c r="C6337" s="3" t="inlineStr">
        <is>
          <t>RockyMountain</t>
        </is>
      </c>
    </row>
    <row collapsed="false" customFormat="false" customHeight="false" hidden="false" ht="12.1" outlineLevel="0" r="6338">
      <c r="A6338" s="3" t="s">
        <f>=HYPERLINK("https://mp39851918.megaplan.ua/deals/124923/card/","21204")</f>
      </c>
      <c r="B6338" s="3" t="inlineStr">
        <is>
          <t>114-0022718-6328276</t>
        </is>
      </c>
      <c r="C6338" s="3" t="inlineStr">
        <is>
          <t>RockyMountain</t>
        </is>
      </c>
    </row>
    <row collapsed="false" customFormat="false" customHeight="false" hidden="false" ht="12.1" outlineLevel="0" r="6339">
      <c r="A6339" s="3" t="s">
        <f>=HYPERLINK("https://mp39851918.megaplan.ua/deals/124924/card/","21205")</f>
      </c>
      <c r="B6339" s="3" t="inlineStr">
        <is>
          <t>114-4957217-5491444</t>
        </is>
      </c>
      <c r="C6339" s="3" t="inlineStr">
        <is>
          <t>TuckerRocky</t>
        </is>
      </c>
    </row>
    <row collapsed="false" customFormat="false" customHeight="false" hidden="false" ht="12.1" outlineLevel="0" r="6340">
      <c r="A6340" s="3" t="s">
        <f>=HYPERLINK("https://mp39851918.megaplan.ua/deals/124927/card/","21206")</f>
      </c>
      <c r="B6340" s="3" t="inlineStr">
        <is>
          <t>112-9954141-8453808</t>
        </is>
      </c>
      <c r="C6340" s="3" t="inlineStr">
        <is>
          <t>TuckerRocky</t>
        </is>
      </c>
    </row>
    <row collapsed="false" customFormat="false" customHeight="false" hidden="false" ht="12.1" outlineLevel="0" r="6341">
      <c r="A6341" s="3" t="s">
        <f>=HYPERLINK("https://mp39851918.megaplan.ua/deals/124935/card/","21207")</f>
      </c>
      <c r="B6341" s="3" t="inlineStr">
        <is>
          <t>112-3819854-7542660</t>
        </is>
      </c>
      <c r="C6341" s="3" t="inlineStr">
        <is>
          <t>TuckerRocky</t>
        </is>
      </c>
    </row>
    <row collapsed="false" customFormat="false" customHeight="false" hidden="false" ht="12.1" outlineLevel="0" r="6342">
      <c r="A6342" s="3" t="s">
        <f>=HYPERLINK("https://mp39851918.megaplan.ua/deals/124938/card/","21208")</f>
      </c>
      <c r="B6342" s="3" t="inlineStr">
        <is>
          <t>111-6883433-7908224</t>
        </is>
      </c>
      <c r="C6342" s="3" t="inlineStr">
        <is>
          <t>RockyMountain</t>
        </is>
      </c>
    </row>
    <row collapsed="false" customFormat="false" customHeight="false" hidden="false" ht="12.1" outlineLevel="0" r="6343">
      <c r="A6343" s="3" t="s">
        <f>=HYPERLINK("https://mp39851918.megaplan.ua/deals/124945/card/","21209")</f>
      </c>
      <c r="B6343" s="3" t="inlineStr">
        <is>
          <t>111-7794104-3786623</t>
        </is>
      </c>
      <c r="C6343" s="3" t="inlineStr">
        <is>
          <t>TuckerRocky</t>
        </is>
      </c>
    </row>
    <row collapsed="false" customFormat="false" customHeight="false" hidden="false" ht="12.1" outlineLevel="0" r="6344">
      <c r="A6344" s="3" t="s">
        <f>=HYPERLINK("https://mp39851918.megaplan.ua/deals/124946/card/","21210")</f>
      </c>
      <c r="B6344" s="3" t="inlineStr">
        <is>
          <t>112-2116333-5365818</t>
        </is>
      </c>
      <c r="C6344" s="3" t="inlineStr">
        <is>
          <t>RockyMountain</t>
        </is>
      </c>
    </row>
    <row collapsed="false" customFormat="false" customHeight="false" hidden="false" ht="12.1" outlineLevel="0" r="6345">
      <c r="A6345" s="3" t="s">
        <f>=HYPERLINK("https://mp39851918.megaplan.ua/deals/124949/card/","21211")</f>
      </c>
      <c r="B6345" s="3" t="inlineStr">
        <is>
          <t>111-4674195-9549008</t>
        </is>
      </c>
      <c r="C6345" s="3" t="inlineStr">
        <is>
          <t>TuckerRocky</t>
        </is>
      </c>
    </row>
    <row collapsed="false" customFormat="false" customHeight="false" hidden="false" ht="12.1" outlineLevel="0" r="6346">
      <c r="A6346" s="3" t="s">
        <f>=HYPERLINK("https://mp39851918.megaplan.ua/deals/124950/card/","21212")</f>
      </c>
      <c r="B6346" s="3" t="inlineStr">
        <is>
          <t>113-7995870-1352234</t>
        </is>
      </c>
      <c r="C6346" s="3" t="inlineStr">
        <is>
          <t>TuckerRocky</t>
        </is>
      </c>
    </row>
    <row collapsed="false" customFormat="false" customHeight="false" hidden="false" ht="12.1" outlineLevel="0" r="6347">
      <c r="A6347" s="3" t="s">
        <f>=HYPERLINK("https://mp39851918.megaplan.ua/deals/124952/card/","21213")</f>
      </c>
      <c r="B6347" s="3" t="inlineStr">
        <is>
          <t>112-8983522-3337016</t>
        </is>
      </c>
      <c r="C6347" s="3" t="inlineStr">
        <is>
          <t>TuckerRocky</t>
        </is>
      </c>
    </row>
    <row collapsed="false" customFormat="false" customHeight="false" hidden="false" ht="12.1" outlineLevel="0" r="6348">
      <c r="A6348" s="3" t="s">
        <f>=HYPERLINK("https://mp39851918.megaplan.ua/deals/124958/card/","21214")</f>
      </c>
      <c r="B6348" s="3" t="inlineStr">
        <is>
          <t>114-4522435-8601068</t>
        </is>
      </c>
      <c r="C6348" s="3" t="inlineStr">
        <is>
          <t>TuckerRocky</t>
        </is>
      </c>
    </row>
    <row collapsed="false" customFormat="false" customHeight="false" hidden="false" ht="12.1" outlineLevel="0" r="6349">
      <c r="A6349" s="3" t="s">
        <f>=HYPERLINK("https://mp39851918.megaplan.ua/deals/124959/card/","21215")</f>
      </c>
      <c r="B6349" s="3" t="inlineStr">
        <is>
          <t>113-8029141-7695467</t>
        </is>
      </c>
      <c r="C6349" s="3" t="inlineStr">
        <is>
          <t>TuckerRocky</t>
        </is>
      </c>
    </row>
    <row collapsed="false" customFormat="false" customHeight="false" hidden="false" ht="12.1" outlineLevel="0" r="6350">
      <c r="A6350" s="3" t="s">
        <f>=HYPERLINK("https://mp39851918.megaplan.ua/deals/124965/card/","21216")</f>
      </c>
      <c r="B6350" s="3" t="inlineStr">
        <is>
          <t>112-4388996-8400204</t>
        </is>
      </c>
      <c r="C6350" s="3" t="inlineStr">
        <is>
          <t>RockyMountain</t>
        </is>
      </c>
    </row>
    <row collapsed="false" customFormat="false" customHeight="false" hidden="false" ht="12.1" outlineLevel="0" r="6351">
      <c r="A6351" s="3" t="s">
        <f>=HYPERLINK("https://mp39851918.megaplan.ua/deals/124970/card/","21217")</f>
      </c>
      <c r="B6351" s="3" t="inlineStr">
        <is>
          <t>114-4636730-1651453</t>
        </is>
      </c>
      <c r="C6351" s="3" t="inlineStr">
        <is>
          <t>TuckerRocky</t>
        </is>
      </c>
    </row>
    <row collapsed="false" customFormat="false" customHeight="false" hidden="false" ht="12.1" outlineLevel="0" r="6352">
      <c r="A6352" s="3" t="s">
        <f>=HYPERLINK("https://mp39851918.megaplan.ua/deals/124979/card/","21219")</f>
      </c>
      <c r="B6352" s="3" t="inlineStr">
        <is>
          <t>112-4593577-4607437</t>
        </is>
      </c>
      <c r="C6352" s="3" t="inlineStr">
        <is>
          <t>RockyMountain</t>
        </is>
      </c>
    </row>
    <row collapsed="false" customFormat="false" customHeight="false" hidden="false" ht="12.1" outlineLevel="0" r="6353">
      <c r="A6353" s="3" t="s">
        <f>=HYPERLINK("https://mp39851918.megaplan.ua/deals/124980/card/","21220")</f>
      </c>
      <c r="B6353" s="3" t="inlineStr">
        <is>
          <t>114-9495441-7771401</t>
        </is>
      </c>
      <c r="C6353" s="3" t="inlineStr">
        <is>
          <t>TuckerRocky</t>
        </is>
      </c>
    </row>
    <row collapsed="false" customFormat="false" customHeight="false" hidden="false" ht="12.1" outlineLevel="0" r="6354">
      <c r="A6354" s="3" t="s">
        <f>=HYPERLINK("https://mp39851918.megaplan.ua/deals/124988/card/","21222")</f>
      </c>
      <c r="B6354" s="3" t="inlineStr">
        <is>
          <t>111-9703485-2869045</t>
        </is>
      </c>
      <c r="C6354" s="3" t="inlineStr">
        <is>
          <t>RockyMountain</t>
        </is>
      </c>
    </row>
    <row collapsed="false" customFormat="false" customHeight="false" hidden="false" ht="12.1" outlineLevel="0" r="6355">
      <c r="A6355" s="3" t="s">
        <f>=HYPERLINK("https://mp39851918.megaplan.ua/deals/124995/card/","21224")</f>
      </c>
      <c r="B6355" s="3" t="inlineStr">
        <is>
          <t>112-6803044-5536266</t>
        </is>
      </c>
      <c r="C6355" s="3" t="inlineStr">
        <is>
          <t>Autodist</t>
        </is>
      </c>
    </row>
    <row collapsed="false" customFormat="false" customHeight="false" hidden="false" ht="12.1" outlineLevel="0" r="6356">
      <c r="A6356" s="3" t="s">
        <f>=HYPERLINK("https://mp39851918.megaplan.ua/deals/124996/card/","21225")</f>
      </c>
      <c r="B6356" s="3" t="inlineStr">
        <is>
          <t>112-4014942-1273816</t>
        </is>
      </c>
      <c r="C6356" s="3" t="inlineStr">
        <is>
          <t>Autodist</t>
        </is>
      </c>
    </row>
    <row collapsed="false" customFormat="false" customHeight="false" hidden="false" ht="12.1" outlineLevel="0" r="6357">
      <c r="A6357" s="3" t="s">
        <f>=HYPERLINK("https://mp39851918.megaplan.ua/deals/125006/card/","21226")</f>
      </c>
      <c r="B6357" s="3" t="inlineStr">
        <is>
          <t>112-9713636-4257047</t>
        </is>
      </c>
      <c r="C6357" s="3" t="inlineStr">
        <is>
          <t>RockyMountain</t>
        </is>
      </c>
    </row>
    <row collapsed="false" customFormat="false" customHeight="false" hidden="false" ht="12.1" outlineLevel="0" r="6358">
      <c r="A6358" s="3" t="s">
        <f>=HYPERLINK("https://mp39851918.megaplan.ua/deals/125007/card/","21227")</f>
      </c>
      <c r="B6358" s="3" t="inlineStr">
        <is>
          <t>113-2434687-3265868</t>
        </is>
      </c>
      <c r="C6358" s="3" t="inlineStr">
        <is>
          <t>RockyMountain</t>
        </is>
      </c>
    </row>
    <row collapsed="false" customFormat="false" customHeight="false" hidden="false" ht="12.1" outlineLevel="0" r="6359">
      <c r="A6359" s="3" t="s">
        <f>=HYPERLINK("https://mp39851918.megaplan.ua/deals/125010/card/","21228")</f>
      </c>
      <c r="B6359" s="3" t="inlineStr">
        <is>
          <t>111-6714675-8333814</t>
        </is>
      </c>
      <c r="C6359" s="3" t="inlineStr">
        <is>
          <t>TuckerRocky</t>
        </is>
      </c>
    </row>
    <row collapsed="false" customFormat="false" customHeight="false" hidden="false" ht="12.1" outlineLevel="0" r="6360">
      <c r="A6360" s="3" t="s">
        <f>=HYPERLINK("https://mp39851918.megaplan.ua/deals/125025/card/","21229")</f>
      </c>
      <c r="B6360" s="3" t="inlineStr">
        <is>
          <t>112-4481338-3761865</t>
        </is>
      </c>
      <c r="C6360" s="3" t="inlineStr">
        <is>
          <t>Autodist</t>
        </is>
      </c>
    </row>
    <row collapsed="false" customFormat="false" customHeight="false" hidden="false" ht="12.1" outlineLevel="0" r="6361">
      <c r="A6361" s="3" t="s">
        <f>=HYPERLINK("https://mp39851918.megaplan.ua/deals/125028/card/","21230")</f>
      </c>
      <c r="B6361" s="3" t="inlineStr">
        <is>
          <t>114-9315875-5527443</t>
        </is>
      </c>
      <c r="C6361" s="3" t="inlineStr">
        <is>
          <t>Autodist</t>
        </is>
      </c>
    </row>
    <row collapsed="false" customFormat="false" customHeight="false" hidden="false" ht="12.1" outlineLevel="0" r="6362">
      <c r="A6362" s="3" t="s">
        <f>=HYPERLINK("https://mp39851918.megaplan.ua/deals/125030/card/","21231")</f>
      </c>
      <c r="B6362" s="3" t="inlineStr">
        <is>
          <t>113-3458412-3982655</t>
        </is>
      </c>
      <c r="C6362" s="3" t="inlineStr">
        <is>
          <t>RockyMountain</t>
        </is>
      </c>
    </row>
    <row collapsed="false" customFormat="false" customHeight="false" hidden="false" ht="12.1" outlineLevel="0" r="6363">
      <c r="A6363" s="3" t="s">
        <f>=HYPERLINK("https://mp39851918.megaplan.ua/deals/125031/card/","21232")</f>
      </c>
      <c r="B6363" s="3" t="inlineStr">
        <is>
          <t>114-9658346-8261067</t>
        </is>
      </c>
      <c r="C6363" s="3" t="inlineStr">
        <is>
          <t>TuckerRocky</t>
        </is>
      </c>
    </row>
    <row collapsed="false" customFormat="false" customHeight="false" hidden="false" ht="12.1" outlineLevel="0" r="6364">
      <c r="A6364" s="3" t="s">
        <f>=HYPERLINK("https://mp39851918.megaplan.ua/deals/125032/card/","21233")</f>
      </c>
      <c r="B6364" s="3" t="inlineStr">
        <is>
          <t>113-5763518-6897033</t>
        </is>
      </c>
      <c r="C6364" s="3" t="inlineStr">
        <is>
          <t>RockyMountain</t>
        </is>
      </c>
    </row>
    <row collapsed="false" customFormat="false" customHeight="false" hidden="false" ht="12.1" outlineLevel="0" r="6365">
      <c r="A6365" s="3" t="s">
        <f>=HYPERLINK("https://mp39851918.megaplan.ua/deals/125033/card/","21234")</f>
      </c>
      <c r="B6365" s="3" t="inlineStr">
        <is>
          <t>114-6972620-6462603</t>
        </is>
      </c>
      <c r="C6365" s="3" t="inlineStr">
        <is>
          <t>Autodist</t>
        </is>
      </c>
    </row>
    <row collapsed="false" customFormat="false" customHeight="false" hidden="false" ht="12.1" outlineLevel="0" r="6366">
      <c r="A6366" s="3" t="s">
        <f>=HYPERLINK("https://mp39851918.megaplan.ua/deals/125044/card/","21235")</f>
      </c>
      <c r="B6366" s="3" t="inlineStr">
        <is>
          <t>111-6991357-4249805</t>
        </is>
      </c>
      <c r="C6366" s="3" t="inlineStr">
        <is>
          <t>RockyMountain</t>
        </is>
      </c>
    </row>
    <row collapsed="false" customFormat="false" customHeight="false" hidden="false" ht="12.1" outlineLevel="0" r="6367">
      <c r="A6367" s="3" t="s">
        <f>=HYPERLINK("https://mp39851918.megaplan.ua/deals/125053/card/","21236")</f>
      </c>
      <c r="B6367" s="3" t="inlineStr">
        <is>
          <t>112-2687366-9120215</t>
        </is>
      </c>
      <c r="C6367" s="3" t="inlineStr">
        <is>
          <t>TuckerRocky</t>
        </is>
      </c>
    </row>
    <row collapsed="false" customFormat="false" customHeight="false" hidden="false" ht="12.1" outlineLevel="0" r="6368">
      <c r="A6368" s="3" t="s">
        <f>=HYPERLINK("https://mp39851918.megaplan.ua/deals/125059/card/","21237")</f>
      </c>
      <c r="B6368" s="3" t="inlineStr">
        <is>
          <t>113-7120846-8809039</t>
        </is>
      </c>
      <c r="C6368" s="3" t="inlineStr">
        <is>
          <t>PartsUnlimited</t>
        </is>
      </c>
    </row>
    <row collapsed="false" customFormat="false" customHeight="false" hidden="false" ht="12.1" outlineLevel="0" r="6369">
      <c r="A6369" s="3" t="s">
        <f>=HYPERLINK("https://mp39851918.megaplan.ua/deals/125061/card/","21238")</f>
      </c>
      <c r="B6369" s="3" t="inlineStr">
        <is>
          <t>114-2966577-5997806</t>
        </is>
      </c>
      <c r="C6369" s="3" t="inlineStr">
        <is>
          <t>TuckerRocky</t>
        </is>
      </c>
    </row>
    <row collapsed="false" customFormat="false" customHeight="false" hidden="false" ht="12.1" outlineLevel="0" r="6370">
      <c r="A6370" s="3" t="s">
        <f>=HYPERLINK("https://mp39851918.megaplan.ua/deals/125069/card/","21240")</f>
      </c>
      <c r="B6370" s="3" t="inlineStr">
        <is>
          <t>111-3988908-1504243</t>
        </is>
      </c>
      <c r="C6370" s="3" t="inlineStr">
        <is>
          <t>TuckerRocky</t>
        </is>
      </c>
    </row>
    <row collapsed="false" customFormat="false" customHeight="false" hidden="false" ht="12.1" outlineLevel="0" r="6371">
      <c r="A6371" s="3" t="s">
        <f>=HYPERLINK("https://mp39851918.megaplan.ua/deals/125079/card/","21241")</f>
      </c>
      <c r="B6371" s="3" t="inlineStr">
        <is>
          <t>113-1236588-6227400</t>
        </is>
      </c>
      <c r="C6371" s="3" t="inlineStr">
        <is>
          <t>TuckerRocky</t>
        </is>
      </c>
    </row>
    <row collapsed="false" customFormat="false" customHeight="false" hidden="false" ht="12.1" outlineLevel="0" r="6372">
      <c r="A6372" s="3" t="s">
        <f>=HYPERLINK("https://mp39851918.megaplan.ua/deals/125097/card/","21243")</f>
      </c>
      <c r="B6372" s="3" t="inlineStr">
        <is>
          <t>113-9951804-4525805</t>
        </is>
      </c>
      <c r="C6372" s="3" t="inlineStr">
        <is>
          <t>RockyMountain</t>
        </is>
      </c>
    </row>
    <row collapsed="false" customFormat="false" customHeight="false" hidden="false" ht="12.1" outlineLevel="0" r="6373">
      <c r="A6373" s="3" t="s">
        <f>=HYPERLINK("https://mp39851918.megaplan.ua/deals/125098/card/","21244")</f>
      </c>
      <c r="B6373" s="3" t="inlineStr">
        <is>
          <t>112-3454528-7438625</t>
        </is>
      </c>
      <c r="C6373" s="3" t="inlineStr">
        <is>
          <t>PartsUnlimited</t>
        </is>
      </c>
    </row>
    <row collapsed="false" customFormat="false" customHeight="false" hidden="false" ht="12.1" outlineLevel="0" r="6374">
      <c r="A6374" s="3" t="s">
        <f>=HYPERLINK("https://mp39851918.megaplan.ua/deals/125100/card/","21245")</f>
      </c>
      <c r="B6374" s="3" t="inlineStr">
        <is>
          <t>111-4108656-0937017</t>
        </is>
      </c>
      <c r="C6374" s="3" t="inlineStr">
        <is>
          <t>TuckerRocky</t>
        </is>
      </c>
    </row>
    <row collapsed="false" customFormat="false" customHeight="false" hidden="false" ht="12.1" outlineLevel="0" r="6375">
      <c r="A6375" s="3" t="s">
        <f>=HYPERLINK("https://mp39851918.megaplan.ua/deals/125101/card/","21246")</f>
      </c>
      <c r="B6375" s="3" t="inlineStr">
        <is>
          <t>113-8471834-2514651</t>
        </is>
      </c>
      <c r="C6375" s="3" t="inlineStr">
        <is>
          <t>RockyMountain</t>
        </is>
      </c>
    </row>
    <row collapsed="false" customFormat="false" customHeight="false" hidden="false" ht="12.1" outlineLevel="0" r="6376">
      <c r="A6376" s="3" t="s">
        <f>=HYPERLINK("https://mp39851918.megaplan.ua/deals/125112/card/","21248")</f>
      </c>
      <c r="B6376" s="3" t="inlineStr">
        <is>
          <t>111-7155663-8957807</t>
        </is>
      </c>
      <c r="C6376" s="3" t="inlineStr">
        <is>
          <t>RockyMountain</t>
        </is>
      </c>
    </row>
    <row collapsed="false" customFormat="false" customHeight="false" hidden="false" ht="12.1" outlineLevel="0" r="6377">
      <c r="A6377" s="3" t="s">
        <f>=HYPERLINK("https://mp39851918.megaplan.ua/deals/125116/card/","21249")</f>
      </c>
      <c r="B6377" s="3" t="inlineStr">
        <is>
          <t>114-7102264-1047437</t>
        </is>
      </c>
      <c r="C6377" s="3" t="inlineStr">
        <is>
          <t>Autodist</t>
        </is>
      </c>
    </row>
    <row collapsed="false" customFormat="false" customHeight="false" hidden="false" ht="12.1" outlineLevel="0" r="6378">
      <c r="A6378" s="3" t="s">
        <f>=HYPERLINK("https://mp39851918.megaplan.ua/deals/125121/card/","21250")</f>
      </c>
      <c r="B6378" s="3" t="inlineStr">
        <is>
          <t>114-5498376-7335409</t>
        </is>
      </c>
      <c r="C6378" s="3" t="inlineStr">
        <is>
          <t>PartsUnlimited</t>
        </is>
      </c>
    </row>
    <row collapsed="false" customFormat="false" customHeight="false" hidden="false" ht="12.1" outlineLevel="0" r="6379">
      <c r="A6379" s="3" t="s">
        <f>=HYPERLINK("https://mp39851918.megaplan.ua/deals/125124/card/","21251")</f>
      </c>
      <c r="B6379" s="3" t="inlineStr">
        <is>
          <t>112-8325188-0718602</t>
        </is>
      </c>
      <c r="C6379" s="3" t="inlineStr">
        <is>
          <t>TuckerRocky</t>
        </is>
      </c>
    </row>
    <row collapsed="false" customFormat="false" customHeight="false" hidden="false" ht="12.1" outlineLevel="0" r="6380">
      <c r="A6380" s="3" t="s">
        <f>=HYPERLINK("https://mp39851918.megaplan.ua/deals/125125/card/","21252")</f>
      </c>
      <c r="B6380" s="3" t="inlineStr">
        <is>
          <t>112-1852273-1042648</t>
        </is>
      </c>
      <c r="C6380" s="3" t="inlineStr">
        <is>
          <t>RockyMountain</t>
        </is>
      </c>
    </row>
    <row collapsed="false" customFormat="false" customHeight="false" hidden="false" ht="12.1" outlineLevel="0" r="6381">
      <c r="A6381" s="3" t="s">
        <f>=HYPERLINK("https://mp39851918.megaplan.ua/deals/125130/card/","21254")</f>
      </c>
      <c r="B6381" s="3" t="inlineStr">
        <is>
          <t>114-3994419-2010644</t>
        </is>
      </c>
      <c r="C6381" s="3" t="inlineStr">
        <is>
          <t>RockyMountain</t>
        </is>
      </c>
    </row>
    <row collapsed="false" customFormat="false" customHeight="false" hidden="false" ht="12.1" outlineLevel="0" r="6382">
      <c r="A6382" s="3" t="s">
        <f>=HYPERLINK("https://mp39851918.megaplan.ua/deals/125131/card/","21255")</f>
      </c>
      <c r="B6382" s="3" t="inlineStr">
        <is>
          <t>113-8584327-8278605</t>
        </is>
      </c>
      <c r="C6382" s="3" t="inlineStr">
        <is>
          <t>TuckerRocky</t>
        </is>
      </c>
    </row>
    <row collapsed="false" customFormat="false" customHeight="false" hidden="false" ht="12.1" outlineLevel="0" r="6383">
      <c r="A6383" s="3" t="s">
        <f>=HYPERLINK("https://mp39851918.megaplan.ua/deals/125140/card/","21257")</f>
      </c>
      <c r="B6383" s="3" t="inlineStr">
        <is>
          <t>114-7742097-1245853</t>
        </is>
      </c>
      <c r="C6383" s="3" t="inlineStr">
        <is>
          <t>TuckerRocky</t>
        </is>
      </c>
    </row>
    <row collapsed="false" customFormat="false" customHeight="false" hidden="false" ht="12.1" outlineLevel="0" r="6384">
      <c r="A6384" s="3" t="s">
        <f>=HYPERLINK("https://mp39851918.megaplan.ua/deals/125141/card/","21258")</f>
      </c>
      <c r="B6384" s="3" t="inlineStr">
        <is>
          <t>114-9572561-2027444</t>
        </is>
      </c>
      <c r="C6384" s="3" t="inlineStr">
        <is>
          <t>RockyMountain</t>
        </is>
      </c>
    </row>
    <row collapsed="false" customFormat="false" customHeight="false" hidden="false" ht="12.1" outlineLevel="0" r="6385">
      <c r="A6385" s="3" t="s">
        <f>=HYPERLINK("https://mp39851918.megaplan.ua/deals/125149/card/","21259")</f>
      </c>
      <c r="B6385" s="3" t="inlineStr">
        <is>
          <t>112-2636319-5397849</t>
        </is>
      </c>
      <c r="C6385" s="3" t="inlineStr">
        <is>
          <t>TuckerRocky</t>
        </is>
      </c>
    </row>
    <row collapsed="false" customFormat="false" customHeight="false" hidden="false" ht="12.1" outlineLevel="0" r="6386">
      <c r="A6386" s="3" t="s">
        <f>=HYPERLINK("https://mp39851918.megaplan.ua/deals/125154/card/","21261")</f>
      </c>
      <c r="B6386" s="3" t="inlineStr">
        <is>
          <t>111-9003410-2980215</t>
        </is>
      </c>
      <c r="C6386" s="3" t="inlineStr">
        <is>
          <t>Autodist</t>
        </is>
      </c>
    </row>
    <row collapsed="false" customFormat="false" customHeight="false" hidden="false" ht="12.1" outlineLevel="0" r="6387">
      <c r="A6387" s="3" t="s">
        <f>=HYPERLINK("https://mp39851918.megaplan.ua/deals/125164/card/","21262")</f>
      </c>
      <c r="B6387" s="3" t="inlineStr">
        <is>
          <t>113-4625287-8650653</t>
        </is>
      </c>
      <c r="C6387" s="3" t="inlineStr">
        <is>
          <t>TuckerRocky</t>
        </is>
      </c>
    </row>
    <row collapsed="false" customFormat="false" customHeight="false" hidden="false" ht="12.1" outlineLevel="0" r="6388">
      <c r="A6388" s="3" t="s">
        <f>=HYPERLINK("https://mp39851918.megaplan.ua/deals/125165/card/","21263")</f>
      </c>
      <c r="B6388" s="3" t="inlineStr">
        <is>
          <t>113-8378130-5348258</t>
        </is>
      </c>
      <c r="C6388" s="3" t="inlineStr">
        <is>
          <t>TuckerRocky</t>
        </is>
      </c>
    </row>
    <row collapsed="false" customFormat="false" customHeight="false" hidden="false" ht="12.1" outlineLevel="0" r="6389">
      <c r="A6389" s="3" t="s">
        <f>=HYPERLINK("https://mp39851918.megaplan.ua/deals/125166/card/","21264")</f>
      </c>
      <c r="B6389" s="3" t="inlineStr">
        <is>
          <t>112-0095505-4326639</t>
        </is>
      </c>
      <c r="C6389" s="3" t="inlineStr">
        <is>
          <t>RockyMountain</t>
        </is>
      </c>
    </row>
    <row collapsed="false" customFormat="false" customHeight="false" hidden="false" ht="12.1" outlineLevel="0" r="6390">
      <c r="A6390" s="3" t="s">
        <f>=HYPERLINK("https://mp39851918.megaplan.ua/deals/125167/card/","21265")</f>
      </c>
      <c r="B6390" s="3" t="inlineStr">
        <is>
          <t>111-9504102-7366617</t>
        </is>
      </c>
      <c r="C6390" s="3" t="inlineStr">
        <is>
          <t>TuckerRocky</t>
        </is>
      </c>
    </row>
    <row collapsed="false" customFormat="false" customHeight="false" hidden="false" ht="12.1" outlineLevel="0" r="6391">
      <c r="A6391" s="3" t="s">
        <f>=HYPERLINK("https://mp39851918.megaplan.ua/deals/125168/card/","21266")</f>
      </c>
      <c r="B6391" s="3" t="inlineStr">
        <is>
          <t>111-5885413-9523437</t>
        </is>
      </c>
      <c r="C6391" s="3" t="inlineStr">
        <is>
          <t>TuckerRocky</t>
        </is>
      </c>
    </row>
    <row collapsed="false" customFormat="false" customHeight="false" hidden="false" ht="12.1" outlineLevel="0" r="6392">
      <c r="A6392" s="3" t="s">
        <f>=HYPERLINK("https://mp39851918.megaplan.ua/deals/125169/card/","21267")</f>
      </c>
      <c r="B6392" s="3" t="inlineStr">
        <is>
          <t>112-1218462-9889035</t>
        </is>
      </c>
      <c r="C6392" s="3" t="inlineStr">
        <is>
          <t>TuckerRocky</t>
        </is>
      </c>
    </row>
    <row collapsed="false" customFormat="false" customHeight="false" hidden="false" ht="12.1" outlineLevel="0" r="6393">
      <c r="A6393" s="3" t="s">
        <f>=HYPERLINK("https://mp39851918.megaplan.ua/deals/125171/card/","21268")</f>
      </c>
      <c r="B6393" s="3" t="inlineStr">
        <is>
          <t>111-8458104-6587467</t>
        </is>
      </c>
      <c r="C6393" s="3" t="inlineStr">
        <is>
          <t>TuckerRocky</t>
        </is>
      </c>
    </row>
    <row collapsed="false" customFormat="false" customHeight="false" hidden="false" ht="12.1" outlineLevel="0" r="6394">
      <c r="A6394" s="3" t="s">
        <f>=HYPERLINK("https://mp39851918.megaplan.ua/deals/125214/card/","21270")</f>
      </c>
      <c r="B6394" s="3" t="inlineStr">
        <is>
          <t>111-7408631-3694644</t>
        </is>
      </c>
      <c r="C6394" s="3" t="inlineStr">
        <is>
          <t>TuckerRocky</t>
        </is>
      </c>
    </row>
    <row collapsed="false" customFormat="false" customHeight="false" hidden="false" ht="12.1" outlineLevel="0" r="6395">
      <c r="A6395" s="3" t="s">
        <f>=HYPERLINK("https://mp39851918.megaplan.ua/deals/125216/card/","21271")</f>
      </c>
      <c r="B6395" s="3" t="inlineStr">
        <is>
          <t>114-5844141-2393000</t>
        </is>
      </c>
      <c r="C6395" s="3" t="inlineStr">
        <is>
          <t>RockyMountain</t>
        </is>
      </c>
    </row>
    <row collapsed="false" customFormat="false" customHeight="false" hidden="false" ht="12.1" outlineLevel="0" r="6396">
      <c r="A6396" s="3" t="s">
        <f>=HYPERLINK("https://mp39851918.megaplan.ua/deals/125219/card/","21272")</f>
      </c>
      <c r="B6396" s="3" t="inlineStr">
        <is>
          <t>113-2266162-7707414</t>
        </is>
      </c>
      <c r="C6396" s="3" t="inlineStr">
        <is>
          <t>TuckerRocky</t>
        </is>
      </c>
    </row>
    <row collapsed="false" customFormat="false" customHeight="false" hidden="false" ht="12.1" outlineLevel="0" r="6397">
      <c r="A6397" s="3" t="s">
        <f>=HYPERLINK("https://mp39851918.megaplan.ua/deals/125224/card/","21273")</f>
      </c>
      <c r="B6397" s="3" t="inlineStr">
        <is>
          <t>111-1846667-0889860</t>
        </is>
      </c>
      <c r="C6397" s="3" t="inlineStr">
        <is>
          <t>RockyMountain</t>
        </is>
      </c>
    </row>
    <row collapsed="false" customFormat="false" customHeight="false" hidden="false" ht="12.1" outlineLevel="0" r="6398">
      <c r="A6398" s="3" t="s">
        <f>=HYPERLINK("https://mp39851918.megaplan.ua/deals/125226/card/","21274")</f>
      </c>
      <c r="B6398" s="3" t="inlineStr">
        <is>
          <t>114-8590518-6625010</t>
        </is>
      </c>
      <c r="C6398" s="3" t="inlineStr">
        <is>
          <t>TuckerRocky</t>
        </is>
      </c>
    </row>
    <row collapsed="false" customFormat="false" customHeight="false" hidden="false" ht="12.1" outlineLevel="0" r="6399">
      <c r="A6399" s="3" t="s">
        <f>=HYPERLINK("https://mp39851918.megaplan.ua/deals/125228/card/","21275")</f>
      </c>
      <c r="B6399" s="3" t="inlineStr">
        <is>
          <t>114-1376882-4240257</t>
        </is>
      </c>
      <c r="C6399" s="3" t="inlineStr">
        <is>
          <t>PartsUnlimited</t>
        </is>
      </c>
    </row>
    <row collapsed="false" customFormat="false" customHeight="false" hidden="false" ht="12.1" outlineLevel="0" r="6400">
      <c r="A6400" s="3" t="s">
        <f>=HYPERLINK("https://mp39851918.megaplan.ua/deals/125229/card/","21276")</f>
      </c>
      <c r="B6400" s="3" t="inlineStr">
        <is>
          <t>114-3971693-2413812</t>
        </is>
      </c>
      <c r="C6400" s="3" t="inlineStr">
        <is>
          <t>TuckerRocky</t>
        </is>
      </c>
    </row>
    <row collapsed="false" customFormat="false" customHeight="false" hidden="false" ht="12.1" outlineLevel="0" r="6401">
      <c r="A6401" s="3" t="s">
        <f>=HYPERLINK("https://mp39851918.megaplan.ua/deals/125240/card/","21278")</f>
      </c>
      <c r="B6401" s="3" t="inlineStr">
        <is>
          <t>114-4203227-0544229</t>
        </is>
      </c>
      <c r="C6401" s="3" t="inlineStr">
        <is>
          <t>RockyMountain</t>
        </is>
      </c>
    </row>
    <row collapsed="false" customFormat="false" customHeight="false" hidden="false" ht="12.1" outlineLevel="0" r="6402">
      <c r="A6402" s="3" t="s">
        <f>=HYPERLINK("https://mp39851918.megaplan.ua/deals/125241/card/","21279")</f>
      </c>
      <c r="B6402" s="3" t="inlineStr">
        <is>
          <t>114-6857451-9759441</t>
        </is>
      </c>
      <c r="C6402" s="3" t="inlineStr">
        <is>
          <t>Autodist</t>
        </is>
      </c>
    </row>
    <row collapsed="false" customFormat="false" customHeight="false" hidden="false" ht="12.1" outlineLevel="0" r="6403">
      <c r="A6403" s="3" t="s">
        <f>=HYPERLINK("https://mp39851918.megaplan.ua/deals/125245/card/","21280")</f>
      </c>
      <c r="B6403" s="3" t="inlineStr">
        <is>
          <t>111-1901793-7542607</t>
        </is>
      </c>
      <c r="C6403" s="3" t="inlineStr">
        <is>
          <t>PartsUnlimited</t>
        </is>
      </c>
    </row>
    <row collapsed="false" customFormat="false" customHeight="false" hidden="false" ht="12.1" outlineLevel="0" r="6404">
      <c r="A6404" s="3" t="s">
        <f>=HYPERLINK("https://mp39851918.megaplan.ua/deals/125251/card/","21281")</f>
      </c>
      <c r="B6404" s="3" t="inlineStr">
        <is>
          <t>113-7054411-1914622</t>
        </is>
      </c>
      <c r="C6404" s="3" t="inlineStr">
        <is>
          <t>TuckerRocky</t>
        </is>
      </c>
    </row>
    <row collapsed="false" customFormat="false" customHeight="false" hidden="false" ht="12.1" outlineLevel="0" r="6405">
      <c r="A6405" s="3" t="s">
        <f>=HYPERLINK("https://mp39851918.megaplan.ua/deals/125259/card/","21282")</f>
      </c>
      <c r="B6405" s="3" t="inlineStr">
        <is>
          <t>111-8821640-1036230</t>
        </is>
      </c>
      <c r="C6405" s="3" t="inlineStr">
        <is>
          <t>Autodist</t>
        </is>
      </c>
    </row>
    <row collapsed="false" customFormat="false" customHeight="false" hidden="false" ht="12.1" outlineLevel="0" r="6406">
      <c r="A6406" s="3" t="s">
        <f>=HYPERLINK("https://mp39851918.megaplan.ua/deals/125261/card/","21283")</f>
      </c>
      <c r="B6406" s="3" t="inlineStr">
        <is>
          <t>111-8831337-5281016</t>
        </is>
      </c>
      <c r="C6406" s="3" t="inlineStr">
        <is>
          <t>Autodist</t>
        </is>
      </c>
    </row>
    <row collapsed="false" customFormat="false" customHeight="false" hidden="false" ht="12.1" outlineLevel="0" r="6407">
      <c r="A6407" s="3" t="s">
        <f>=HYPERLINK("https://mp39851918.megaplan.ua/deals/125263/card/","21284")</f>
      </c>
      <c r="B6407" s="3" t="inlineStr">
        <is>
          <t>113-8369555-2039455</t>
        </is>
      </c>
      <c r="C6407" s="3" t="inlineStr">
        <is>
          <t>RockyMountain</t>
        </is>
      </c>
    </row>
    <row collapsed="false" customFormat="false" customHeight="false" hidden="false" ht="12.1" outlineLevel="0" r="6408">
      <c r="A6408" s="3" t="s">
        <f>=HYPERLINK("https://mp39851918.megaplan.ua/deals/125269/card/","21285")</f>
      </c>
      <c r="B6408" s="3" t="inlineStr">
        <is>
          <t>114-6230275-2599452</t>
        </is>
      </c>
      <c r="C6408" s="3" t="inlineStr">
        <is>
          <t>RockyMountain</t>
        </is>
      </c>
    </row>
    <row collapsed="false" customFormat="false" customHeight="false" hidden="false" ht="12.1" outlineLevel="0" r="6409">
      <c r="A6409" s="3" t="s">
        <f>=HYPERLINK("https://mp39851918.megaplan.ua/deals/125276/card/","21287")</f>
      </c>
      <c r="B6409" s="3" t="inlineStr">
        <is>
          <t>114-9821822-4276245</t>
        </is>
      </c>
      <c r="C6409" s="3" t="inlineStr">
        <is>
          <t>TuckerRocky</t>
        </is>
      </c>
    </row>
    <row collapsed="false" customFormat="false" customHeight="false" hidden="false" ht="12.1" outlineLevel="0" r="6410">
      <c r="A6410" s="3" t="s">
        <f>=HYPERLINK("https://mp39851918.megaplan.ua/deals/125287/card/","21289")</f>
      </c>
      <c r="B6410" s="3" t="inlineStr">
        <is>
          <t>114-6145591-9585830</t>
        </is>
      </c>
      <c r="C6410" s="3" t="inlineStr">
        <is>
          <t>Autodist</t>
        </is>
      </c>
    </row>
    <row collapsed="false" customFormat="false" customHeight="false" hidden="false" ht="12.1" outlineLevel="0" r="6411">
      <c r="A6411" s="3" t="s">
        <f>=HYPERLINK("https://mp39851918.megaplan.ua/deals/125288/card/","21290")</f>
      </c>
      <c r="B6411" s="3" t="inlineStr">
        <is>
          <t>113-3538073-1169850</t>
        </is>
      </c>
      <c r="C6411" s="3" t="inlineStr">
        <is>
          <t>Autodist</t>
        </is>
      </c>
    </row>
    <row collapsed="false" customFormat="false" customHeight="false" hidden="false" ht="12.1" outlineLevel="0" r="6412">
      <c r="A6412" s="3" t="s">
        <f>=HYPERLINK("https://mp39851918.megaplan.ua/deals/125302/card/","21291")</f>
      </c>
      <c r="B6412" s="3" t="inlineStr">
        <is>
          <t>111-0184412-2109016</t>
        </is>
      </c>
      <c r="C6412" s="3" t="inlineStr">
        <is>
          <t>RockyMountain</t>
        </is>
      </c>
    </row>
    <row collapsed="false" customFormat="false" customHeight="false" hidden="false" ht="12.1" outlineLevel="0" r="6413">
      <c r="A6413" s="3" t="s">
        <f>=HYPERLINK("https://mp39851918.megaplan.ua/deals/125318/card/","21292")</f>
      </c>
      <c r="B6413" s="3" t="inlineStr">
        <is>
          <t>111-9831905-9858641</t>
        </is>
      </c>
      <c r="C6413" s="3" t="inlineStr">
        <is>
          <t>TuckerRocky</t>
        </is>
      </c>
    </row>
    <row collapsed="false" customFormat="false" customHeight="false" hidden="false" ht="12.1" outlineLevel="0" r="6414">
      <c r="A6414" s="3" t="s">
        <f>=HYPERLINK("https://mp39851918.megaplan.ua/deals/125324/card/","21293")</f>
      </c>
      <c r="B6414" s="3" t="inlineStr">
        <is>
          <t>114-5520264-0517866</t>
        </is>
      </c>
      <c r="C6414" s="3" t="inlineStr">
        <is>
          <t>RockyMountain</t>
        </is>
      </c>
    </row>
    <row collapsed="false" customFormat="false" customHeight="false" hidden="false" ht="12.1" outlineLevel="0" r="6415">
      <c r="A6415" s="3" t="s">
        <f>=HYPERLINK("https://mp39851918.megaplan.ua/deals/125325/card/","21294")</f>
      </c>
      <c r="B6415" s="3" t="inlineStr">
        <is>
          <t>114-6816368-6693028</t>
        </is>
      </c>
      <c r="C6415" s="3" t="inlineStr">
        <is>
          <t>TuckerRocky</t>
        </is>
      </c>
    </row>
    <row collapsed="false" customFormat="false" customHeight="false" hidden="false" ht="12.1" outlineLevel="0" r="6416">
      <c r="A6416" s="3" t="s">
        <f>=HYPERLINK("https://mp39851918.megaplan.ua/deals/125329/card/","21295")</f>
      </c>
      <c r="B6416" s="3" t="inlineStr">
        <is>
          <t>114-3484159-6423404</t>
        </is>
      </c>
      <c r="C6416" s="3" t="inlineStr">
        <is>
          <t>RockyMountain</t>
        </is>
      </c>
    </row>
    <row collapsed="false" customFormat="false" customHeight="false" hidden="false" ht="12.1" outlineLevel="0" r="6417">
      <c r="A6417" s="3" t="s">
        <f>=HYPERLINK("https://mp39851918.megaplan.ua/deals/125330/card/","21296")</f>
      </c>
      <c r="B6417" s="3" t="inlineStr">
        <is>
          <t>112-0662681-8729811</t>
        </is>
      </c>
      <c r="C6417" s="3" t="inlineStr">
        <is>
          <t>TuckerRocky</t>
        </is>
      </c>
    </row>
    <row collapsed="false" customFormat="false" customHeight="false" hidden="false" ht="12.1" outlineLevel="0" r="6418">
      <c r="A6418" s="3" t="s">
        <f>=HYPERLINK("https://mp39851918.megaplan.ua/deals/125339/card/","21298")</f>
      </c>
      <c r="B6418" s="3" t="inlineStr">
        <is>
          <t>112-3833423-9565047</t>
        </is>
      </c>
      <c r="C6418" s="3" t="inlineStr">
        <is>
          <t>TuckerRocky</t>
        </is>
      </c>
    </row>
    <row collapsed="false" customFormat="false" customHeight="false" hidden="false" ht="12.1" outlineLevel="0" r="6419">
      <c r="A6419" s="3" t="s">
        <f>=HYPERLINK("https://mp39851918.megaplan.ua/deals/125340/card/","21299")</f>
      </c>
      <c r="B6419" s="3" t="inlineStr">
        <is>
          <t>112-3924198-1353865</t>
        </is>
      </c>
      <c r="C6419" s="3" t="inlineStr">
        <is>
          <t>RockyMountain</t>
        </is>
      </c>
    </row>
    <row collapsed="false" customFormat="false" customHeight="false" hidden="false" ht="12.1" outlineLevel="0" r="6420">
      <c r="A6420" s="3" t="s">
        <f>=HYPERLINK("https://mp39851918.megaplan.ua/deals/125346/card/","21300")</f>
      </c>
      <c r="B6420" s="3" t="inlineStr">
        <is>
          <t>111-4404432-6130645</t>
        </is>
      </c>
      <c r="C6420" s="3" t="inlineStr">
        <is>
          <t>Autodist</t>
        </is>
      </c>
    </row>
    <row collapsed="false" customFormat="false" customHeight="false" hidden="false" ht="12.1" outlineLevel="0" r="6421">
      <c r="A6421" s="3" t="s">
        <f>=HYPERLINK("https://mp39851918.megaplan.ua/deals/125354/card/","21302")</f>
      </c>
      <c r="B6421" s="3" t="inlineStr">
        <is>
          <t>112-3391829-3184260</t>
        </is>
      </c>
      <c r="C6421" s="3" t="inlineStr">
        <is>
          <t>RockyMountain</t>
        </is>
      </c>
    </row>
    <row collapsed="false" customFormat="false" customHeight="false" hidden="false" ht="12.1" outlineLevel="0" r="6422">
      <c r="A6422" s="3" t="s">
        <f>=HYPERLINK("https://mp39851918.megaplan.ua/deals/125361/card/","21303")</f>
      </c>
      <c r="B6422" s="3" t="inlineStr">
        <is>
          <t>113-0477251-9846649</t>
        </is>
      </c>
      <c r="C6422" s="3" t="inlineStr">
        <is>
          <t>RockyMountain</t>
        </is>
      </c>
    </row>
    <row collapsed="false" customFormat="false" customHeight="false" hidden="false" ht="12.1" outlineLevel="0" r="6423">
      <c r="A6423" s="3" t="s">
        <f>=HYPERLINK("https://mp39851918.megaplan.ua/deals/125362/card/","21304")</f>
      </c>
      <c r="B6423" s="3" t="inlineStr">
        <is>
          <t>114-8888365-7088252</t>
        </is>
      </c>
      <c r="C6423" s="3" t="inlineStr">
        <is>
          <t>TuckerRocky</t>
        </is>
      </c>
    </row>
    <row collapsed="false" customFormat="false" customHeight="false" hidden="false" ht="12.1" outlineLevel="0" r="6424">
      <c r="A6424" s="3" t="s">
        <f>=HYPERLINK("https://mp39851918.megaplan.ua/deals/125374/card/","21307")</f>
      </c>
      <c r="B6424" s="3" t="inlineStr">
        <is>
          <t>114-9887736-1089823</t>
        </is>
      </c>
      <c r="C6424" s="3" t="inlineStr">
        <is>
          <t>PartsUnlimited</t>
        </is>
      </c>
    </row>
    <row collapsed="false" customFormat="false" customHeight="false" hidden="false" ht="12.1" outlineLevel="0" r="6425">
      <c r="A6425" s="3" t="s">
        <f>=HYPERLINK("https://mp39851918.megaplan.ua/deals/125377/card/","21308")</f>
      </c>
      <c r="B6425" s="3" t="inlineStr">
        <is>
          <t>113-3991316-6882638</t>
        </is>
      </c>
      <c r="C6425" s="3" t="inlineStr">
        <is>
          <t>TuckerRocky</t>
        </is>
      </c>
    </row>
    <row collapsed="false" customFormat="false" customHeight="false" hidden="false" ht="12.1" outlineLevel="0" r="6426">
      <c r="A6426" s="3" t="s">
        <f>=HYPERLINK("https://mp39851918.megaplan.ua/deals/125383/card/","21309")</f>
      </c>
      <c r="B6426" s="3" t="inlineStr">
        <is>
          <t>113-6866363-7363449</t>
        </is>
      </c>
      <c r="C6426" s="3" t="inlineStr">
        <is>
          <t>TuckerRocky</t>
        </is>
      </c>
    </row>
    <row collapsed="false" customFormat="false" customHeight="false" hidden="false" ht="12.1" outlineLevel="0" r="6427">
      <c r="A6427" s="3" t="s">
        <f>=HYPERLINK("https://mp39851918.megaplan.ua/deals/125393/card/","21312")</f>
      </c>
      <c r="B6427" s="3" t="inlineStr">
        <is>
          <t>112-4323484-2049805</t>
        </is>
      </c>
      <c r="C6427" s="3" t="inlineStr">
        <is>
          <t>RockyMountain</t>
        </is>
      </c>
    </row>
    <row collapsed="false" customFormat="false" customHeight="false" hidden="false" ht="12.1" outlineLevel="0" r="6428">
      <c r="A6428" s="3" t="s">
        <f>=HYPERLINK("https://mp39851918.megaplan.ua/deals/125409/card/","21313")</f>
      </c>
      <c r="B6428" s="3" t="inlineStr">
        <is>
          <t>114-1233945-4390668</t>
        </is>
      </c>
      <c r="C6428" s="3" t="inlineStr">
        <is>
          <t>Autodist</t>
        </is>
      </c>
    </row>
    <row collapsed="false" customFormat="false" customHeight="false" hidden="false" ht="12.1" outlineLevel="0" r="6429">
      <c r="A6429" s="3" t="s">
        <f>=HYPERLINK("https://mp39851918.megaplan.ua/deals/125413/card/","21314")</f>
      </c>
      <c r="B6429" s="3" t="inlineStr">
        <is>
          <t>112-6984341-1582663</t>
        </is>
      </c>
      <c r="C6429" s="3" t="inlineStr">
        <is>
          <t>Autodist</t>
        </is>
      </c>
    </row>
    <row collapsed="false" customFormat="false" customHeight="false" hidden="false" ht="12.1" outlineLevel="0" r="6430">
      <c r="A6430" s="3" t="s">
        <f>=HYPERLINK("https://mp39851918.megaplan.ua/deals/125414/card/","21315")</f>
      </c>
      <c r="B6430" s="3" t="inlineStr">
        <is>
          <t>113-5407359-8735450</t>
        </is>
      </c>
      <c r="C6430" s="3" t="inlineStr">
        <is>
          <t>Autodist</t>
        </is>
      </c>
    </row>
    <row collapsed="false" customFormat="false" customHeight="false" hidden="false" ht="12.1" outlineLevel="0" r="6431">
      <c r="A6431" s="3" t="s">
        <f>=HYPERLINK("https://mp39851918.megaplan.ua/deals/125441/card/","21316")</f>
      </c>
      <c r="B6431" s="3" t="inlineStr">
        <is>
          <t>111-0671329-4037042</t>
        </is>
      </c>
      <c r="C6431" s="3" t="inlineStr">
        <is>
          <t>PartsUnlimited</t>
        </is>
      </c>
    </row>
    <row collapsed="false" customFormat="false" customHeight="false" hidden="false" ht="12.1" outlineLevel="0" r="6432">
      <c r="A6432" s="3" t="s">
        <f>=HYPERLINK("https://mp39851918.megaplan.ua/deals/125443/card/","21317")</f>
      </c>
      <c r="B6432" s="3" t="inlineStr">
        <is>
          <t>113-9895256-9922653</t>
        </is>
      </c>
      <c r="C6432" s="3" t="inlineStr">
        <is>
          <t>Autodist</t>
        </is>
      </c>
    </row>
    <row collapsed="false" customFormat="false" customHeight="false" hidden="false" ht="12.1" outlineLevel="0" r="6433">
      <c r="A6433" s="3" t="s">
        <f>=HYPERLINK("https://mp39851918.megaplan.ua/deals/125451/card/","21318")</f>
      </c>
      <c r="B6433" s="3" t="inlineStr">
        <is>
          <t>113-4428114-9576263</t>
        </is>
      </c>
      <c r="C6433" s="3" t="inlineStr">
        <is>
          <t>RockyMountain</t>
        </is>
      </c>
    </row>
    <row collapsed="false" customFormat="false" customHeight="false" hidden="false" ht="12.1" outlineLevel="0" r="6434">
      <c r="A6434" s="3" t="s">
        <f>=HYPERLINK("https://mp39851918.megaplan.ua/deals/125460/card/","21319")</f>
      </c>
      <c r="B6434" s="3" t="inlineStr">
        <is>
          <t>114-9862538-3001801</t>
        </is>
      </c>
      <c r="C6434" s="3" t="inlineStr">
        <is>
          <t>Autodist</t>
        </is>
      </c>
    </row>
    <row collapsed="false" customFormat="false" customHeight="false" hidden="false" ht="12.1" outlineLevel="0" r="6435">
      <c r="A6435" s="3" t="s">
        <f>=HYPERLINK("https://mp39851918.megaplan.ua/deals/125463/card/","21320")</f>
      </c>
      <c r="B6435" s="3" t="inlineStr">
        <is>
          <t>112-6842454-4073014</t>
        </is>
      </c>
      <c r="C6435" s="3" t="inlineStr">
        <is>
          <t>TuckerRocky</t>
        </is>
      </c>
    </row>
    <row collapsed="false" customFormat="false" customHeight="false" hidden="false" ht="12.1" outlineLevel="0" r="6436">
      <c r="A6436" s="3" t="s">
        <f>=HYPERLINK("https://mp39851918.megaplan.ua/deals/125466/card/","21321")</f>
      </c>
      <c r="B6436" s="3" t="inlineStr">
        <is>
          <t>111-6356214-8357816</t>
        </is>
      </c>
      <c r="C6436" s="3" t="inlineStr">
        <is>
          <t>TuckerRocky</t>
        </is>
      </c>
    </row>
    <row collapsed="false" customFormat="false" customHeight="false" hidden="false" ht="12.1" outlineLevel="0" r="6437">
      <c r="A6437" s="3" t="s">
        <f>=HYPERLINK("https://mp39851918.megaplan.ua/deals/125467/card/","21322")</f>
      </c>
      <c r="B6437" s="3" t="inlineStr">
        <is>
          <t>112-8508726-7216221</t>
        </is>
      </c>
      <c r="C6437" s="3" t="inlineStr">
        <is>
          <t>TuckerRocky</t>
        </is>
      </c>
    </row>
    <row collapsed="false" customFormat="false" customHeight="false" hidden="false" ht="12.1" outlineLevel="0" r="6438">
      <c r="A6438" s="3" t="s">
        <f>=HYPERLINK("https://mp39851918.megaplan.ua/deals/125468/card/","21323")</f>
      </c>
      <c r="B6438" s="3" t="inlineStr">
        <is>
          <t>111-6517798-2027429</t>
        </is>
      </c>
      <c r="C6438" s="3" t="inlineStr">
        <is>
          <t>TuckerRocky</t>
        </is>
      </c>
    </row>
    <row collapsed="false" customFormat="false" customHeight="false" hidden="false" ht="12.1" outlineLevel="0" r="6439">
      <c r="A6439" s="3" t="s">
        <f>=HYPERLINK("https://mp39851918.megaplan.ua/deals/125471/card/","21324")</f>
      </c>
      <c r="B6439" s="3" t="inlineStr">
        <is>
          <t>114-2986426-7996220</t>
        </is>
      </c>
      <c r="C6439" s="3" t="inlineStr">
        <is>
          <t>Autodist</t>
        </is>
      </c>
    </row>
    <row collapsed="false" customFormat="false" customHeight="false" hidden="false" ht="12.1" outlineLevel="0" r="6440">
      <c r="A6440" s="3" t="s">
        <f>=HYPERLINK("https://mp39851918.megaplan.ua/deals/125472/card/","21325")</f>
      </c>
      <c r="B6440" s="3" t="inlineStr">
        <is>
          <t>112-5170378-2267457</t>
        </is>
      </c>
      <c r="C6440" s="3" t="inlineStr">
        <is>
          <t>TuckerRocky</t>
        </is>
      </c>
    </row>
    <row collapsed="false" customFormat="false" customHeight="false" hidden="false" ht="12.1" outlineLevel="0" r="6441">
      <c r="A6441" s="3" t="s">
        <f>=HYPERLINK("https://mp39851918.megaplan.ua/deals/125473/card/","21326")</f>
      </c>
      <c r="B6441" s="3" t="inlineStr">
        <is>
          <t>114-2352124-3353005</t>
        </is>
      </c>
      <c r="C6441" s="3" t="inlineStr">
        <is>
          <t>TuckerRocky</t>
        </is>
      </c>
    </row>
    <row collapsed="false" customFormat="false" customHeight="false" hidden="false" ht="12.1" outlineLevel="0" r="6442">
      <c r="A6442" s="3" t="s">
        <f>=HYPERLINK("https://mp39851918.megaplan.ua/deals/125475/card/","21327")</f>
      </c>
      <c r="B6442" s="3" t="inlineStr">
        <is>
          <t>114-4750777-8205029</t>
        </is>
      </c>
      <c r="C6442" s="3" t="inlineStr">
        <is>
          <t>TuckerRocky</t>
        </is>
      </c>
    </row>
    <row collapsed="false" customFormat="false" customHeight="false" hidden="false" ht="12.1" outlineLevel="0" r="6443">
      <c r="A6443" s="3" t="s">
        <f>=HYPERLINK("https://mp39851918.megaplan.ua/deals/125478/card/","21328")</f>
      </c>
      <c r="B6443" s="3" t="inlineStr">
        <is>
          <t>111-0764601-2142605</t>
        </is>
      </c>
      <c r="C6443" s="3" t="inlineStr">
        <is>
          <t>RockyMountain</t>
        </is>
      </c>
    </row>
    <row collapsed="false" customFormat="false" customHeight="false" hidden="false" ht="12.1" outlineLevel="0" r="6444">
      <c r="A6444" s="3" t="s">
        <f>=HYPERLINK("https://mp39851918.megaplan.ua/deals/125481/card/","21329")</f>
      </c>
      <c r="B6444" s="3" t="inlineStr">
        <is>
          <t>114-4080323-6132207</t>
        </is>
      </c>
      <c r="C6444" s="3" t="inlineStr">
        <is>
          <t>Autodist</t>
        </is>
      </c>
    </row>
    <row collapsed="false" customFormat="false" customHeight="false" hidden="false" ht="12.1" outlineLevel="0" r="6445">
      <c r="A6445" s="3" t="s">
        <f>=HYPERLINK("https://mp39851918.megaplan.ua/deals/125482/card/","21330")</f>
      </c>
      <c r="B6445" s="3" t="inlineStr">
        <is>
          <t>111-5521726-3849836</t>
        </is>
      </c>
      <c r="C6445" s="3" t="inlineStr">
        <is>
          <t>TuckerRocky</t>
        </is>
      </c>
    </row>
    <row collapsed="false" customFormat="false" customHeight="false" hidden="false" ht="12.1" outlineLevel="0" r="6446">
      <c r="A6446" s="3" t="s">
        <f>=HYPERLINK("https://mp39851918.megaplan.ua/deals/125483/card/","21331")</f>
      </c>
      <c r="B6446" s="3" t="inlineStr">
        <is>
          <t>113-1901659-7848264</t>
        </is>
      </c>
      <c r="C6446" s="3" t="inlineStr">
        <is>
          <t>TuckerRocky</t>
        </is>
      </c>
    </row>
    <row collapsed="false" customFormat="false" customHeight="false" hidden="false" ht="12.1" outlineLevel="0" r="6447">
      <c r="A6447" s="3" t="s">
        <f>=HYPERLINK("https://mp39851918.megaplan.ua/deals/125484/card/","21332")</f>
      </c>
      <c r="B6447" s="3" t="inlineStr">
        <is>
          <t>111-8664681-0957063</t>
        </is>
      </c>
      <c r="C6447" s="3" t="inlineStr">
        <is>
          <t>TuckerRocky</t>
        </is>
      </c>
    </row>
    <row collapsed="false" customFormat="false" customHeight="false" hidden="false" ht="12.1" outlineLevel="0" r="6448">
      <c r="A6448" s="3" t="s">
        <f>=HYPERLINK("https://mp39851918.megaplan.ua/deals/125486/card/","21333")</f>
      </c>
      <c r="B6448" s="3" t="inlineStr">
        <is>
          <t>112-7932239-2098612</t>
        </is>
      </c>
      <c r="C6448" s="3" t="inlineStr">
        <is>
          <t>RockyMountain</t>
        </is>
      </c>
    </row>
    <row collapsed="false" customFormat="false" customHeight="false" hidden="false" ht="12.1" outlineLevel="0" r="6449">
      <c r="A6449" s="3" t="s">
        <f>=HYPERLINK("https://mp39851918.megaplan.ua/deals/125487/card/","21334")</f>
      </c>
      <c r="B6449" s="3" t="inlineStr">
        <is>
          <t>111-4309520-9637802</t>
        </is>
      </c>
      <c r="C6449" s="3" t="inlineStr">
        <is>
          <t>TuckerRocky</t>
        </is>
      </c>
    </row>
    <row collapsed="false" customFormat="false" customHeight="false" hidden="false" ht="12.1" outlineLevel="0" r="6450">
      <c r="A6450" s="3" t="s">
        <f>=HYPERLINK("https://mp39851918.megaplan.ua/deals/125490/card/","21335")</f>
      </c>
      <c r="B6450" s="3" t="inlineStr">
        <is>
          <t>113-2271296-0738654</t>
        </is>
      </c>
      <c r="C6450" s="3" t="inlineStr">
        <is>
          <t>Autodist</t>
        </is>
      </c>
    </row>
    <row collapsed="false" customFormat="false" customHeight="false" hidden="false" ht="12.1" outlineLevel="0" r="6451">
      <c r="A6451" s="3" t="s">
        <f>=HYPERLINK("https://mp39851918.megaplan.ua/deals/125494/card/","21336")</f>
      </c>
      <c r="B6451" s="3" t="inlineStr">
        <is>
          <t>112-7253293-3532216</t>
        </is>
      </c>
      <c r="C6451" s="3" t="inlineStr">
        <is>
          <t>RockyMountain</t>
        </is>
      </c>
    </row>
    <row collapsed="false" customFormat="false" customHeight="false" hidden="false" ht="12.1" outlineLevel="0" r="6452">
      <c r="A6452" s="3" t="s">
        <f>=HYPERLINK("https://mp39851918.megaplan.ua/deals/125498/card/","21337")</f>
      </c>
      <c r="B6452" s="3" t="inlineStr">
        <is>
          <t>113-9412589-5718652</t>
        </is>
      </c>
      <c r="C6452" s="3" t="inlineStr">
        <is>
          <t>Autodist</t>
        </is>
      </c>
    </row>
    <row collapsed="false" customFormat="false" customHeight="false" hidden="false" ht="12.1" outlineLevel="0" r="6453">
      <c r="A6453" s="3" t="s">
        <f>=HYPERLINK("https://mp39851918.megaplan.ua/deals/125502/card/","21339")</f>
      </c>
      <c r="B6453" s="3" t="inlineStr">
        <is>
          <t>114-8613460-6241832</t>
        </is>
      </c>
      <c r="C6453" s="3" t="inlineStr">
        <is>
          <t>RockyMountain</t>
        </is>
      </c>
    </row>
    <row collapsed="false" customFormat="false" customHeight="false" hidden="false" ht="12.1" outlineLevel="0" r="6454">
      <c r="A6454" s="3" t="s">
        <f>=HYPERLINK("https://mp39851918.megaplan.ua/deals/125507/card/","21340")</f>
      </c>
      <c r="B6454" s="3" t="inlineStr">
        <is>
          <t>113-7292309-6635421</t>
        </is>
      </c>
      <c r="C6454" s="3" t="inlineStr">
        <is>
          <t>RockyMountain</t>
        </is>
      </c>
    </row>
    <row collapsed="false" customFormat="false" customHeight="false" hidden="false" ht="12.1" outlineLevel="0" r="6455">
      <c r="A6455" s="3" t="s">
        <f>=HYPERLINK("https://mp39851918.megaplan.ua/deals/125508/card/","21341")</f>
      </c>
      <c r="B6455" s="3" t="inlineStr">
        <is>
          <t>112-6042944-0769056</t>
        </is>
      </c>
      <c r="C6455" s="3" t="inlineStr">
        <is>
          <t>TuckerRocky</t>
        </is>
      </c>
    </row>
    <row collapsed="false" customFormat="false" customHeight="false" hidden="false" ht="12.1" outlineLevel="0" r="6456">
      <c r="A6456" s="3" t="s">
        <f>=HYPERLINK("https://mp39851918.megaplan.ua/deals/125514/card/","21342")</f>
      </c>
      <c r="B6456" s="3" t="inlineStr">
        <is>
          <t>111-1280601-8361050</t>
        </is>
      </c>
      <c r="C6456" s="3" t="inlineStr">
        <is>
          <t>PartsUnlimited</t>
        </is>
      </c>
    </row>
    <row collapsed="false" customFormat="false" customHeight="false" hidden="false" ht="12.1" outlineLevel="0" r="6457">
      <c r="A6457" s="3" t="s">
        <f>=HYPERLINK("https://mp39851918.megaplan.ua/deals/125522/card/","21344")</f>
      </c>
      <c r="B6457" s="3" t="inlineStr">
        <is>
          <t>111-3122549-2413868</t>
        </is>
      </c>
      <c r="C6457" s="3" t="inlineStr">
        <is>
          <t>RockyMountain</t>
        </is>
      </c>
    </row>
    <row collapsed="false" customFormat="false" customHeight="false" hidden="false" ht="12.1" outlineLevel="0" r="6458">
      <c r="A6458" s="3" t="s">
        <f>=HYPERLINK("https://mp39851918.megaplan.ua/deals/125523/card/","21345")</f>
      </c>
      <c r="B6458" s="3" t="inlineStr">
        <is>
          <t>112-8007642-1319410</t>
        </is>
      </c>
      <c r="C6458" s="3" t="inlineStr">
        <is>
          <t>TuckerRocky</t>
        </is>
      </c>
    </row>
    <row collapsed="false" customFormat="false" customHeight="false" hidden="false" ht="12.1" outlineLevel="0" r="6459">
      <c r="A6459" s="3" t="s">
        <f>=HYPERLINK("https://mp39851918.megaplan.ua/deals/125524/card/","21346")</f>
      </c>
      <c r="B6459" s="3" t="inlineStr">
        <is>
          <t>112-5110664-3114655</t>
        </is>
      </c>
      <c r="C6459" s="3" t="inlineStr">
        <is>
          <t>Autodist</t>
        </is>
      </c>
    </row>
    <row collapsed="false" customFormat="false" customHeight="false" hidden="false" ht="12.1" outlineLevel="0" r="6460">
      <c r="A6460" s="3" t="s">
        <f>=HYPERLINK("https://mp39851918.megaplan.ua/deals/125540/card/","21347")</f>
      </c>
      <c r="B6460" s="3" t="inlineStr">
        <is>
          <t>113-9375132-0412259</t>
        </is>
      </c>
      <c r="C6460" s="3" t="inlineStr">
        <is>
          <t>TuckerRocky</t>
        </is>
      </c>
    </row>
    <row collapsed="false" customFormat="false" customHeight="false" hidden="false" ht="12.1" outlineLevel="0" r="6461">
      <c r="A6461" s="3" t="s">
        <f>=HYPERLINK("https://mp39851918.megaplan.ua/deals/125541/card/","21348")</f>
      </c>
      <c r="B6461" s="3" t="inlineStr">
        <is>
          <t>114-9750548-8905811</t>
        </is>
      </c>
      <c r="C6461" s="3" t="inlineStr">
        <is>
          <t>TuckerRocky</t>
        </is>
      </c>
    </row>
    <row collapsed="false" customFormat="false" customHeight="false" hidden="false" ht="12.1" outlineLevel="0" r="6462">
      <c r="A6462" s="3" t="s">
        <f>=HYPERLINK("https://mp39851918.megaplan.ua/deals/125557/card/","21353")</f>
      </c>
      <c r="B6462" s="3" t="inlineStr">
        <is>
          <t>111-1042961-3689815</t>
        </is>
      </c>
      <c r="C6462" s="3" t="inlineStr">
        <is>
          <t>RockyMountain</t>
        </is>
      </c>
    </row>
    <row collapsed="false" customFormat="false" customHeight="false" hidden="false" ht="12.1" outlineLevel="0" r="6463">
      <c r="A6463" s="3" t="s">
        <f>=HYPERLINK("https://mp39851918.megaplan.ua/deals/125567/card/","21354")</f>
      </c>
      <c r="B6463" s="3" t="inlineStr">
        <is>
          <t>112-9283979-3435404</t>
        </is>
      </c>
      <c r="C6463" s="3" t="inlineStr">
        <is>
          <t>TuckerRocky</t>
        </is>
      </c>
    </row>
    <row collapsed="false" customFormat="false" customHeight="false" hidden="false" ht="12.1" outlineLevel="0" r="6464">
      <c r="A6464" s="3" t="s">
        <f>=HYPERLINK("https://mp39851918.megaplan.ua/deals/125578/card/","21355")</f>
      </c>
      <c r="B6464" s="3" t="inlineStr">
        <is>
          <t>111-0445062-2646643</t>
        </is>
      </c>
      <c r="C6464" s="3" t="inlineStr">
        <is>
          <t>TuckerRocky</t>
        </is>
      </c>
    </row>
    <row collapsed="false" customFormat="false" customHeight="false" hidden="false" ht="12.1" outlineLevel="0" r="6465">
      <c r="A6465" s="3" t="s">
        <f>=HYPERLINK("https://mp39851918.megaplan.ua/deals/125604/card/","21356")</f>
      </c>
      <c r="B6465" s="3" t="inlineStr">
        <is>
          <t>112-7114938-2443430</t>
        </is>
      </c>
      <c r="C6465" s="3" t="inlineStr">
        <is>
          <t>TuckerRocky</t>
        </is>
      </c>
    </row>
    <row collapsed="false" customFormat="false" customHeight="false" hidden="false" ht="12.1" outlineLevel="0" r="6466">
      <c r="A6466" s="3" t="s">
        <f>=HYPERLINK("https://mp39851918.megaplan.ua/deals/125605/card/","21357")</f>
      </c>
      <c r="B6466" s="3" t="inlineStr">
        <is>
          <t>114-5150209-0137003</t>
        </is>
      </c>
      <c r="C6466" s="3" t="inlineStr">
        <is>
          <t>TuckerRocky</t>
        </is>
      </c>
    </row>
    <row collapsed="false" customFormat="false" customHeight="false" hidden="false" ht="12.1" outlineLevel="0" r="6467">
      <c r="A6467" s="3" t="s">
        <f>=HYPERLINK("https://mp39851918.megaplan.ua/deals/125610/card/","21358")</f>
      </c>
      <c r="B6467" s="3" t="inlineStr">
        <is>
          <t>111-3880722-6060227</t>
        </is>
      </c>
      <c r="C6467" s="3" t="inlineStr">
        <is>
          <t>RockyMountain</t>
        </is>
      </c>
    </row>
    <row collapsed="false" customFormat="false" customHeight="false" hidden="false" ht="12.1" outlineLevel="0" r="6468">
      <c r="A6468" s="3" t="s">
        <f>=HYPERLINK("https://mp39851918.megaplan.ua/deals/125613/card/","21359")</f>
      </c>
      <c r="B6468" s="3" t="inlineStr">
        <is>
          <t>113-2516184-6101825</t>
        </is>
      </c>
      <c r="C6468" s="3" t="inlineStr">
        <is>
          <t>RockyMountain</t>
        </is>
      </c>
    </row>
    <row collapsed="false" customFormat="false" customHeight="false" hidden="false" ht="12.1" outlineLevel="0" r="6469">
      <c r="A6469" s="3" t="s">
        <f>=HYPERLINK("https://mp39851918.megaplan.ua/deals/125616/card/","21360")</f>
      </c>
      <c r="B6469" s="3" t="inlineStr">
        <is>
          <t>112-0875387-1877022</t>
        </is>
      </c>
      <c r="C6469" s="3" t="inlineStr">
        <is>
          <t>RockyMountain</t>
        </is>
      </c>
    </row>
    <row collapsed="false" customFormat="false" customHeight="false" hidden="false" ht="12.1" outlineLevel="0" r="6470">
      <c r="A6470" s="3" t="s">
        <f>=HYPERLINK("https://mp39851918.megaplan.ua/deals/125628/card/","21361")</f>
      </c>
      <c r="B6470" s="3" t="inlineStr">
        <is>
          <t>114-2499661-5547461</t>
        </is>
      </c>
      <c r="C6470" s="3" t="inlineStr">
        <is>
          <t>PartsUnlimited</t>
        </is>
      </c>
    </row>
    <row collapsed="false" customFormat="false" customHeight="false" hidden="false" ht="12.1" outlineLevel="0" r="6471">
      <c r="A6471" s="3" t="s">
        <f>=HYPERLINK("https://mp39851918.megaplan.ua/deals/125634/card/","21362")</f>
      </c>
      <c r="B6471" s="3" t="inlineStr">
        <is>
          <t>113-1146120-1959400</t>
        </is>
      </c>
      <c r="C6471" s="3" t="inlineStr">
        <is>
          <t>Autodist</t>
        </is>
      </c>
    </row>
    <row collapsed="false" customFormat="false" customHeight="false" hidden="false" ht="12.1" outlineLevel="0" r="6472">
      <c r="A6472" s="3" t="s">
        <f>=HYPERLINK("https://mp39851918.megaplan.ua/deals/125635/card/","21363")</f>
      </c>
      <c r="B6472" s="3" t="inlineStr">
        <is>
          <t>111-9890579-2944250</t>
        </is>
      </c>
      <c r="C6472" s="3" t="inlineStr">
        <is>
          <t>TuckerRocky</t>
        </is>
      </c>
    </row>
    <row collapsed="false" customFormat="false" customHeight="false" hidden="false" ht="12.1" outlineLevel="0" r="6473">
      <c r="A6473" s="3" t="s">
        <f>=HYPERLINK("https://mp39851918.megaplan.ua/deals/125642/card/","21364")</f>
      </c>
      <c r="B6473" s="3" t="inlineStr">
        <is>
          <t>113-5687743-1716226</t>
        </is>
      </c>
      <c r="C6473" s="3" t="inlineStr">
        <is>
          <t>RockyMountain</t>
        </is>
      </c>
    </row>
    <row collapsed="false" customFormat="false" customHeight="false" hidden="false" ht="12.1" outlineLevel="0" r="6474">
      <c r="A6474" s="3" t="s">
        <f>=HYPERLINK("https://mp39851918.megaplan.ua/deals/125653/card/","21366")</f>
      </c>
      <c r="B6474" s="3" t="inlineStr">
        <is>
          <t>111-4964484-0413000</t>
        </is>
      </c>
      <c r="C6474" s="3" t="inlineStr">
        <is>
          <t>PartsUnlimited</t>
        </is>
      </c>
    </row>
    <row collapsed="false" customFormat="false" customHeight="false" hidden="false" ht="12.1" outlineLevel="0" r="6475">
      <c r="A6475" s="3" t="s">
        <f>=HYPERLINK("https://mp39851918.megaplan.ua/deals/125659/card/","21367")</f>
      </c>
      <c r="B6475" s="3" t="inlineStr">
        <is>
          <t>112-6242590-0989054</t>
        </is>
      </c>
      <c r="C6475" s="3" t="inlineStr">
        <is>
          <t>Autodist</t>
        </is>
      </c>
    </row>
    <row collapsed="false" customFormat="false" customHeight="false" hidden="false" ht="12.1" outlineLevel="0" r="6476">
      <c r="A6476" s="3" t="s">
        <f>=HYPERLINK("https://mp39851918.megaplan.ua/deals/125662/card/","21368")</f>
      </c>
      <c r="B6476" s="3" t="inlineStr">
        <is>
          <t>112-7686300-0230635</t>
        </is>
      </c>
      <c r="C6476" s="3" t="inlineStr">
        <is>
          <t>TuckerRocky</t>
        </is>
      </c>
    </row>
    <row collapsed="false" customFormat="false" customHeight="false" hidden="false" ht="12.1" outlineLevel="0" r="6477">
      <c r="A6477" s="3" t="s">
        <f>=HYPERLINK("https://mp39851918.megaplan.ua/deals/125668/card/","21369")</f>
      </c>
      <c r="B6477" s="3" t="inlineStr">
        <is>
          <t>111-4413789-1237833</t>
        </is>
      </c>
      <c r="C6477" s="3" t="inlineStr">
        <is>
          <t>TuckerRocky</t>
        </is>
      </c>
    </row>
    <row collapsed="false" customFormat="false" customHeight="false" hidden="false" ht="12.1" outlineLevel="0" r="6478">
      <c r="A6478" s="3" t="s">
        <f>=HYPERLINK("https://mp39851918.megaplan.ua/deals/125673/card/","21370")</f>
      </c>
      <c r="B6478" s="3" t="inlineStr">
        <is>
          <t>112-7725480-8562628</t>
        </is>
      </c>
      <c r="C6478" s="3" t="inlineStr">
        <is>
          <t>PartsUnlimited</t>
        </is>
      </c>
    </row>
    <row collapsed="false" customFormat="false" customHeight="false" hidden="false" ht="12.1" outlineLevel="0" r="6479">
      <c r="A6479" s="3" t="s">
        <f>=HYPERLINK("https://mp39851918.megaplan.ua/deals/125684/card/","21371")</f>
      </c>
      <c r="B6479" s="3" t="inlineStr">
        <is>
          <t>112-6961907-5446615</t>
        </is>
      </c>
      <c r="C6479" s="3" t="inlineStr">
        <is>
          <t>TuckerRocky</t>
        </is>
      </c>
    </row>
    <row collapsed="false" customFormat="false" customHeight="false" hidden="false" ht="12.1" outlineLevel="0" r="6480">
      <c r="A6480" s="3" t="s">
        <f>=HYPERLINK("https://mp39851918.megaplan.ua/deals/125685/card/","21372")</f>
      </c>
      <c r="B6480" s="3" t="inlineStr">
        <is>
          <t>113-5987562-6550661</t>
        </is>
      </c>
      <c r="C6480" s="3" t="inlineStr">
        <is>
          <t>TuckerRocky</t>
        </is>
      </c>
    </row>
    <row collapsed="false" customFormat="false" customHeight="false" hidden="false" ht="12.1" outlineLevel="0" r="6481">
      <c r="A6481" s="3" t="s">
        <f>=HYPERLINK("https://mp39851918.megaplan.ua/deals/125686/card/","21373")</f>
      </c>
      <c r="B6481" s="3" t="inlineStr">
        <is>
          <t>111-9840991-4373057</t>
        </is>
      </c>
      <c r="C6481" s="3" t="inlineStr">
        <is>
          <t>PartsUnlimited</t>
        </is>
      </c>
    </row>
    <row collapsed="false" customFormat="false" customHeight="false" hidden="false" ht="12.1" outlineLevel="0" r="6482">
      <c r="A6482" s="3" t="s">
        <f>=HYPERLINK("https://mp39851918.megaplan.ua/deals/125698/card/","21374")</f>
      </c>
      <c r="B6482" s="3" t="inlineStr">
        <is>
          <t>111-9229621-8782648</t>
        </is>
      </c>
      <c r="C6482" s="3" t="inlineStr">
        <is>
          <t>PartsUnlimited</t>
        </is>
      </c>
    </row>
    <row collapsed="false" customFormat="false" customHeight="false" hidden="false" ht="12.1" outlineLevel="0" r="6483">
      <c r="A6483" s="3" t="s">
        <f>=HYPERLINK("https://mp39851918.megaplan.ua/deals/125699/card/","21375")</f>
      </c>
      <c r="B6483" s="3" t="inlineStr">
        <is>
          <t>112-2893071-0487451</t>
        </is>
      </c>
      <c r="C6483" s="3" t="inlineStr">
        <is>
          <t>RockyMountain</t>
        </is>
      </c>
    </row>
    <row collapsed="false" customFormat="false" customHeight="false" hidden="false" ht="12.1" outlineLevel="0" r="6484">
      <c r="A6484" s="3" t="s">
        <f>=HYPERLINK("https://mp39851918.megaplan.ua/deals/125713/card/","21377")</f>
      </c>
      <c r="B6484" s="3" t="inlineStr">
        <is>
          <t>113-3918745-4562607</t>
        </is>
      </c>
      <c r="C6484" s="3" t="inlineStr">
        <is>
          <t>PartsUnlimited</t>
        </is>
      </c>
    </row>
    <row collapsed="false" customFormat="false" customHeight="false" hidden="false" ht="12.1" outlineLevel="0" r="6485">
      <c r="A6485" s="3" t="s">
        <f>=HYPERLINK("https://mp39851918.megaplan.ua/deals/125717/card/","21378")</f>
      </c>
      <c r="B6485" s="3" t="inlineStr">
        <is>
          <t>114-0807761-4903433</t>
        </is>
      </c>
      <c r="C6485" s="3" t="inlineStr">
        <is>
          <t>TuckerRocky</t>
        </is>
      </c>
    </row>
    <row collapsed="false" customFormat="false" customHeight="false" hidden="false" ht="12.1" outlineLevel="0" r="6486">
      <c r="A6486" s="3" t="s">
        <f>=HYPERLINK("https://mp39851918.megaplan.ua/deals/125727/card/","21379")</f>
      </c>
      <c r="B6486" s="3" t="inlineStr">
        <is>
          <t>113-9408531-9805849</t>
        </is>
      </c>
      <c r="C6486" s="3" t="inlineStr">
        <is>
          <t>TuckerRocky</t>
        </is>
      </c>
    </row>
    <row collapsed="false" customFormat="false" customHeight="false" hidden="false" ht="12.1" outlineLevel="0" r="6487">
      <c r="A6487" s="3" t="s">
        <f>=HYPERLINK("https://mp39851918.megaplan.ua/deals/125735/card/","21380")</f>
      </c>
      <c r="B6487" s="3" t="inlineStr">
        <is>
          <t>111-8148080-4842610</t>
        </is>
      </c>
      <c r="C6487" s="3" t="inlineStr">
        <is>
          <t>TuckerRocky</t>
        </is>
      </c>
    </row>
    <row collapsed="false" customFormat="false" customHeight="false" hidden="false" ht="12.1" outlineLevel="0" r="6488">
      <c r="A6488" s="3" t="s">
        <f>=HYPERLINK("https://mp39851918.megaplan.ua/deals/125736/card/","21381")</f>
      </c>
      <c r="B6488" s="3" t="inlineStr">
        <is>
          <t>114-8639258-2130620</t>
        </is>
      </c>
      <c r="C6488" s="3" t="inlineStr">
        <is>
          <t>TuckerRocky</t>
        </is>
      </c>
    </row>
    <row collapsed="false" customFormat="false" customHeight="false" hidden="false" ht="12.1" outlineLevel="0" r="6489">
      <c r="A6489" s="3" t="s">
        <f>=HYPERLINK("https://mp39851918.megaplan.ua/deals/125742/card/","21383")</f>
      </c>
      <c r="B6489" s="3" t="inlineStr">
        <is>
          <t>112-9988815-2356201</t>
        </is>
      </c>
      <c r="C6489" s="3" t="inlineStr">
        <is>
          <t>PartsUnlimited</t>
        </is>
      </c>
    </row>
    <row collapsed="false" customFormat="false" customHeight="false" hidden="false" ht="12.1" outlineLevel="0" r="6490">
      <c r="A6490" s="3" t="s">
        <f>=HYPERLINK("https://mp39851918.megaplan.ua/deals/125743/card/","21384")</f>
      </c>
      <c r="B6490" s="3" t="inlineStr">
        <is>
          <t>111-7580579-7831417</t>
        </is>
      </c>
      <c r="C6490" s="3" t="inlineStr">
        <is>
          <t>Autodist</t>
        </is>
      </c>
    </row>
    <row collapsed="false" customFormat="false" customHeight="false" hidden="false" ht="12.1" outlineLevel="0" r="6491">
      <c r="A6491" s="3" t="s">
        <f>=HYPERLINK("https://mp39851918.megaplan.ua/deals/125744/card/","21385")</f>
      </c>
      <c r="B6491" s="3" t="inlineStr">
        <is>
          <t>113-5095158-5688253</t>
        </is>
      </c>
      <c r="C6491" s="3" t="inlineStr">
        <is>
          <t>TuckerRocky</t>
        </is>
      </c>
    </row>
    <row collapsed="false" customFormat="false" customHeight="false" hidden="false" ht="12.1" outlineLevel="0" r="6492">
      <c r="A6492" s="3" t="s">
        <f>=HYPERLINK("https://mp39851918.megaplan.ua/deals/125746/card/","21386")</f>
      </c>
      <c r="B6492" s="3" t="inlineStr">
        <is>
          <t>114-5007583-3867427</t>
        </is>
      </c>
      <c r="C6492" s="3" t="inlineStr">
        <is>
          <t>PartsUnlimited</t>
        </is>
      </c>
    </row>
    <row collapsed="false" customFormat="false" customHeight="false" hidden="false" ht="12.1" outlineLevel="0" r="6493">
      <c r="A6493" s="3" t="s">
        <f>=HYPERLINK("https://mp39851918.megaplan.ua/deals/125752/card/","21387")</f>
      </c>
      <c r="B6493" s="3" t="inlineStr">
        <is>
          <t>114-0810990-1711414</t>
        </is>
      </c>
      <c r="C6493" s="3" t="inlineStr">
        <is>
          <t>TuckerRocky</t>
        </is>
      </c>
    </row>
    <row collapsed="false" customFormat="false" customHeight="false" hidden="false" ht="12.1" outlineLevel="0" r="6494">
      <c r="A6494" s="3" t="s">
        <f>=HYPERLINK("https://mp39851918.megaplan.ua/deals/125753/card/","21388")</f>
      </c>
      <c r="B6494" s="3" t="inlineStr">
        <is>
          <t>111-0015841-1548204</t>
        </is>
      </c>
      <c r="C6494" s="3" t="inlineStr">
        <is>
          <t>TuckerRocky</t>
        </is>
      </c>
    </row>
    <row collapsed="false" customFormat="false" customHeight="false" hidden="false" ht="12.1" outlineLevel="0" r="6495">
      <c r="A6495" s="3" t="s">
        <f>=HYPERLINK("https://mp39851918.megaplan.ua/deals/125758/card/","21389")</f>
      </c>
      <c r="B6495" s="3" t="inlineStr">
        <is>
          <t>113-6489749-6969803</t>
        </is>
      </c>
      <c r="C6495" s="3" t="inlineStr">
        <is>
          <t>TuckerRocky</t>
        </is>
      </c>
    </row>
    <row collapsed="false" customFormat="false" customHeight="false" hidden="false" ht="12.1" outlineLevel="0" r="6496">
      <c r="A6496" s="3" t="s">
        <f>=HYPERLINK("https://mp39851918.megaplan.ua/deals/125766/card/","21391")</f>
      </c>
      <c r="B6496" s="3" t="inlineStr">
        <is>
          <t>111-1690422-7263464</t>
        </is>
      </c>
      <c r="C6496" s="3" t="inlineStr">
        <is>
          <t>Autodist</t>
        </is>
      </c>
    </row>
    <row collapsed="false" customFormat="false" customHeight="false" hidden="false" ht="12.1" outlineLevel="0" r="6497">
      <c r="A6497" s="3" t="s">
        <f>=HYPERLINK("https://mp39851918.megaplan.ua/deals/125767/card/","21392")</f>
      </c>
      <c r="B6497" s="3" t="inlineStr">
        <is>
          <t>111-6443935-8192214</t>
        </is>
      </c>
      <c r="C6497" s="3" t="inlineStr">
        <is>
          <t>PartsUnlimited</t>
        </is>
      </c>
    </row>
    <row collapsed="false" customFormat="false" customHeight="false" hidden="false" ht="12.1" outlineLevel="0" r="6498">
      <c r="A6498" s="3" t="s">
        <f>=HYPERLINK("https://mp39851918.megaplan.ua/deals/125768/card/","21393")</f>
      </c>
      <c r="B6498" s="3" t="inlineStr">
        <is>
          <t>112-0678765-1744202</t>
        </is>
      </c>
      <c r="C6498" s="3" t="inlineStr">
        <is>
          <t>TuckerRocky</t>
        </is>
      </c>
    </row>
    <row collapsed="false" customFormat="false" customHeight="false" hidden="false" ht="12.1" outlineLevel="0" r="6499">
      <c r="A6499" s="3" t="s">
        <f>=HYPERLINK("https://mp39851918.megaplan.ua/deals/125789/card/","21395")</f>
      </c>
      <c r="B6499" s="3" t="inlineStr">
        <is>
          <t>113-7481239-2414619</t>
        </is>
      </c>
      <c r="C6499" s="3" t="inlineStr">
        <is>
          <t>RockyMountain</t>
        </is>
      </c>
    </row>
    <row collapsed="false" customFormat="false" customHeight="false" hidden="false" ht="12.1" outlineLevel="0" r="6500">
      <c r="A6500" s="3" t="s">
        <f>=HYPERLINK("https://mp39851918.megaplan.ua/deals/125792/card/","21396")</f>
      </c>
      <c r="B6500" s="3" t="inlineStr">
        <is>
          <t>111-5518233-0077839</t>
        </is>
      </c>
      <c r="C6500" s="3" t="inlineStr">
        <is>
          <t>PartsUnlimited</t>
        </is>
      </c>
    </row>
    <row collapsed="false" customFormat="false" customHeight="false" hidden="false" ht="12.1" outlineLevel="0" r="6501">
      <c r="A6501" s="3" t="s">
        <f>=HYPERLINK("https://mp39851918.megaplan.ua/deals/125793/card/","21397")</f>
      </c>
      <c r="B6501" s="3" t="inlineStr">
        <is>
          <t>114-9403147-3808227</t>
        </is>
      </c>
      <c r="C6501" s="3" t="inlineStr">
        <is>
          <t>Autodist</t>
        </is>
      </c>
    </row>
    <row collapsed="false" customFormat="false" customHeight="false" hidden="false" ht="12.1" outlineLevel="0" r="6502">
      <c r="A6502" s="3" t="s">
        <f>=HYPERLINK("https://mp39851918.megaplan.ua/deals/125800/card/","21398")</f>
      </c>
      <c r="B6502" s="3" t="inlineStr">
        <is>
          <t>111-5269344-3556244</t>
        </is>
      </c>
      <c r="C6502" s="3" t="inlineStr">
        <is>
          <t>PartsUnlimited</t>
        </is>
      </c>
    </row>
    <row collapsed="false" customFormat="false" customHeight="false" hidden="false" ht="12.1" outlineLevel="0" r="6503">
      <c r="A6503" s="3" t="s">
        <f>=HYPERLINK("https://mp39851918.megaplan.ua/deals/125807/card/","21399")</f>
      </c>
      <c r="B6503" s="3" t="inlineStr">
        <is>
          <t>112-2937710-5013860</t>
        </is>
      </c>
      <c r="C6503" s="3" t="inlineStr">
        <is>
          <t>TuckerRocky</t>
        </is>
      </c>
    </row>
    <row collapsed="false" customFormat="false" customHeight="false" hidden="false" ht="12.1" outlineLevel="0" r="6504">
      <c r="A6504" s="3" t="s">
        <f>=HYPERLINK("https://mp39851918.megaplan.ua/deals/125816/card/","21400")</f>
      </c>
      <c r="B6504" s="3" t="inlineStr">
        <is>
          <t>111-1599984-4448201</t>
        </is>
      </c>
      <c r="C6504" s="3" t="inlineStr">
        <is>
          <t>Autodist</t>
        </is>
      </c>
    </row>
    <row collapsed="false" customFormat="false" customHeight="false" hidden="false" ht="12.1" outlineLevel="0" r="6505">
      <c r="A6505" s="3" t="s">
        <f>=HYPERLINK("https://mp39851918.megaplan.ua/deals/125818/card/","21401")</f>
      </c>
      <c r="B6505" s="3" t="inlineStr">
        <is>
          <t>114-1377139-1583445</t>
        </is>
      </c>
      <c r="C6505" s="3" t="inlineStr">
        <is>
          <t>Autodist</t>
        </is>
      </c>
    </row>
    <row collapsed="false" customFormat="false" customHeight="false" hidden="false" ht="12.1" outlineLevel="0" r="6506">
      <c r="A6506" s="3" t="s">
        <f>=HYPERLINK("https://mp39851918.megaplan.ua/deals/125821/card/","21402")</f>
      </c>
      <c r="B6506" s="3" t="inlineStr">
        <is>
          <t>111-6986253-4732229</t>
        </is>
      </c>
      <c r="C6506" s="3" t="inlineStr">
        <is>
          <t>TuckerRocky</t>
        </is>
      </c>
    </row>
    <row collapsed="false" customFormat="false" customHeight="false" hidden="false" ht="12.1" outlineLevel="0" r="6507">
      <c r="A6507" s="3" t="s">
        <f>=HYPERLINK("https://mp39851918.megaplan.ua/deals/125822/card/","21403")</f>
      </c>
      <c r="B6507" s="3" t="inlineStr">
        <is>
          <t>111-1294317-1035465</t>
        </is>
      </c>
      <c r="C6507" s="3" t="inlineStr">
        <is>
          <t>RockyMountain</t>
        </is>
      </c>
    </row>
    <row collapsed="false" customFormat="false" customHeight="false" hidden="false" ht="12.1" outlineLevel="0" r="6508">
      <c r="A6508" s="3" t="s">
        <f>=HYPERLINK("https://mp39851918.megaplan.ua/deals/125825/card/","21404")</f>
      </c>
      <c r="B6508" s="3" t="inlineStr">
        <is>
          <t>112-0547483-9223444</t>
        </is>
      </c>
      <c r="C6508" s="3" t="inlineStr">
        <is>
          <t>RockyMountain</t>
        </is>
      </c>
    </row>
    <row collapsed="false" customFormat="false" customHeight="false" hidden="false" ht="12.1" outlineLevel="0" r="6509">
      <c r="A6509" s="3" t="s">
        <f>=HYPERLINK("https://mp39851918.megaplan.ua/deals/125842/card/","21405")</f>
      </c>
      <c r="B6509" s="3" t="inlineStr">
        <is>
          <t>114-0177836-1893056</t>
        </is>
      </c>
      <c r="C6509" s="3" t="inlineStr">
        <is>
          <t>TuckerRocky</t>
        </is>
      </c>
    </row>
    <row collapsed="false" customFormat="false" customHeight="false" hidden="false" ht="12.1" outlineLevel="0" r="6510">
      <c r="A6510" s="3" t="s">
        <f>=HYPERLINK("https://mp39851918.megaplan.ua/deals/125860/card/","21407")</f>
      </c>
      <c r="B6510" s="3" t="inlineStr">
        <is>
          <t>111-2788657-4167428</t>
        </is>
      </c>
      <c r="C6510" s="3" t="inlineStr">
        <is>
          <t>TuckerRocky</t>
        </is>
      </c>
    </row>
    <row collapsed="false" customFormat="false" customHeight="false" hidden="false" ht="12.1" outlineLevel="0" r="6511">
      <c r="A6511" s="3" t="s">
        <f>=HYPERLINK("https://mp39851918.megaplan.ua/deals/125873/card/","21408")</f>
      </c>
      <c r="B6511" s="3" t="inlineStr">
        <is>
          <t>111-6049802-8764213</t>
        </is>
      </c>
      <c r="C6511" s="3" t="inlineStr">
        <is>
          <t>RockyMountain</t>
        </is>
      </c>
    </row>
    <row collapsed="false" customFormat="false" customHeight="false" hidden="false" ht="12.1" outlineLevel="0" r="6512">
      <c r="A6512" s="3" t="s">
        <f>=HYPERLINK("https://mp39851918.megaplan.ua/deals/125881/card/","21409")</f>
      </c>
      <c r="B6512" s="3" t="inlineStr">
        <is>
          <t>114-7215723-7388264</t>
        </is>
      </c>
      <c r="C6512" s="3" t="inlineStr">
        <is>
          <t>RockyMountain</t>
        </is>
      </c>
    </row>
    <row collapsed="false" customFormat="false" customHeight="false" hidden="false" ht="12.1" outlineLevel="0" r="6513">
      <c r="A6513" s="3" t="s">
        <f>=HYPERLINK("https://mp39851918.megaplan.ua/deals/125884/card/","21410")</f>
      </c>
      <c r="B6513" s="3" t="inlineStr">
        <is>
          <t>112-1951102-4158625</t>
        </is>
      </c>
      <c r="C6513" s="3" t="inlineStr">
        <is>
          <t>RockyMountain</t>
        </is>
      </c>
    </row>
    <row collapsed="false" customFormat="false" customHeight="false" hidden="false" ht="12.1" outlineLevel="0" r="6514">
      <c r="A6514" s="3" t="s">
        <f>=HYPERLINK("https://mp39851918.megaplan.ua/deals/125885/card/","21411")</f>
      </c>
      <c r="B6514" s="3" t="inlineStr">
        <is>
          <t>113-1082905-0336255</t>
        </is>
      </c>
      <c r="C6514" s="3" t="inlineStr">
        <is>
          <t>RockyMountain</t>
        </is>
      </c>
    </row>
    <row collapsed="false" customFormat="false" customHeight="false" hidden="false" ht="12.1" outlineLevel="0" r="6515">
      <c r="A6515" s="3" t="s">
        <f>=HYPERLINK("https://mp39851918.megaplan.ua/deals/125886/card/","21412")</f>
      </c>
      <c r="B6515" s="3" t="inlineStr">
        <is>
          <t>113-0385767-9285006</t>
        </is>
      </c>
      <c r="C6515" s="3" t="inlineStr">
        <is>
          <t>Autodist</t>
        </is>
      </c>
    </row>
    <row collapsed="false" customFormat="false" customHeight="false" hidden="false" ht="12.1" outlineLevel="0" r="6516">
      <c r="A6516" s="3" t="s">
        <f>=HYPERLINK("https://mp39851918.megaplan.ua/deals/125887/card/","21413")</f>
      </c>
      <c r="B6516" s="3" t="inlineStr">
        <is>
          <t>114-9539270-1346644</t>
        </is>
      </c>
      <c r="C6516" s="3" t="inlineStr">
        <is>
          <t>Autodist</t>
        </is>
      </c>
    </row>
    <row collapsed="false" customFormat="false" customHeight="false" hidden="false" ht="12.1" outlineLevel="0" r="6517">
      <c r="A6517" s="3" t="s">
        <f>=HYPERLINK("https://mp39851918.megaplan.ua/deals/125889/card/","21414")</f>
      </c>
      <c r="B6517" s="3" t="inlineStr">
        <is>
          <t>111-6117676-6457023</t>
        </is>
      </c>
      <c r="C6517" s="3" t="inlineStr">
        <is>
          <t>RockyMountain</t>
        </is>
      </c>
    </row>
    <row collapsed="false" customFormat="false" customHeight="false" hidden="false" ht="12.1" outlineLevel="0" r="6518">
      <c r="A6518" s="3" t="s">
        <f>=HYPERLINK("https://mp39851918.megaplan.ua/deals/125906/card/","21415")</f>
      </c>
      <c r="B6518" s="3" t="inlineStr">
        <is>
          <t>111-4370660-0607443</t>
        </is>
      </c>
      <c r="C6518" s="3" t="inlineStr">
        <is>
          <t>PartsUnlimited</t>
        </is>
      </c>
    </row>
    <row collapsed="false" customFormat="false" customHeight="false" hidden="false" ht="12.1" outlineLevel="0" r="6519">
      <c r="A6519" s="3" t="s">
        <f>=HYPERLINK("https://mp39851918.megaplan.ua/deals/125907/card/","21416")</f>
      </c>
      <c r="B6519" s="3" t="inlineStr">
        <is>
          <t>112-9710334-0229005</t>
        </is>
      </c>
      <c r="C6519" s="3" t="inlineStr">
        <is>
          <t>TuckerRocky</t>
        </is>
      </c>
    </row>
    <row collapsed="false" customFormat="false" customHeight="false" hidden="false" ht="12.1" outlineLevel="0" r="6520">
      <c r="A6520" s="3" t="s">
        <f>=HYPERLINK("https://mp39851918.megaplan.ua/deals/125919/card/","21418")</f>
      </c>
      <c r="B6520" s="3" t="inlineStr">
        <is>
          <t>113-6899482-4797003</t>
        </is>
      </c>
      <c r="C6520" s="3" t="inlineStr">
        <is>
          <t>RockyMountain</t>
        </is>
      </c>
    </row>
    <row collapsed="false" customFormat="false" customHeight="false" hidden="false" ht="12.1" outlineLevel="0" r="6521">
      <c r="A6521" s="3" t="s">
        <f>=HYPERLINK("https://mp39851918.megaplan.ua/deals/125935/card/","21421")</f>
      </c>
      <c r="B6521" s="3" t="inlineStr">
        <is>
          <t>111-0790585-3148203</t>
        </is>
      </c>
      <c r="C6521" s="3" t="inlineStr">
        <is>
          <t>PartsUnlimited</t>
        </is>
      </c>
    </row>
    <row collapsed="false" customFormat="false" customHeight="false" hidden="false" ht="12.1" outlineLevel="0" r="6522">
      <c r="A6522" s="3" t="s">
        <f>=HYPERLINK("https://mp39851918.megaplan.ua/deals/125937/card/","21422")</f>
      </c>
      <c r="B6522" s="3" t="inlineStr">
        <is>
          <t>113-9859108-5901842</t>
        </is>
      </c>
      <c r="C6522" s="3" t="inlineStr">
        <is>
          <t>Autodist</t>
        </is>
      </c>
    </row>
    <row collapsed="false" customFormat="false" customHeight="false" hidden="false" ht="12.1" outlineLevel="0" r="6523">
      <c r="A6523" s="3" t="s">
        <f>=HYPERLINK("https://mp39851918.megaplan.ua/deals/125943/card/","21423")</f>
      </c>
      <c r="B6523" s="3" t="inlineStr">
        <is>
          <t>112-0044850-8158605</t>
        </is>
      </c>
      <c r="C6523" s="3" t="inlineStr">
        <is>
          <t>RockyMountain</t>
        </is>
      </c>
    </row>
    <row collapsed="false" customFormat="false" customHeight="false" hidden="false" ht="12.1" outlineLevel="0" r="6524">
      <c r="A6524" s="3" t="s">
        <f>=HYPERLINK("https://mp39851918.megaplan.ua/deals/125944/card/","21424")</f>
      </c>
      <c r="B6524" s="3" t="inlineStr">
        <is>
          <t>114-1090186-9472243</t>
        </is>
      </c>
      <c r="C6524" s="3" t="inlineStr">
        <is>
          <t>TuckerRocky</t>
        </is>
      </c>
    </row>
    <row collapsed="false" customFormat="false" customHeight="false" hidden="false" ht="12.1" outlineLevel="0" r="6525">
      <c r="A6525" s="3" t="s">
        <f>=HYPERLINK("https://mp39851918.megaplan.ua/deals/125969/card/","21425")</f>
      </c>
      <c r="B6525" s="3" t="inlineStr">
        <is>
          <t>113-9518757-7677862</t>
        </is>
      </c>
      <c r="C6525" s="3" t="inlineStr">
        <is>
          <t>Autodist</t>
        </is>
      </c>
    </row>
    <row collapsed="false" customFormat="false" customHeight="false" hidden="false" ht="12.1" outlineLevel="0" r="6526">
      <c r="A6526" s="3" t="s">
        <f>=HYPERLINK("https://mp39851918.megaplan.ua/deals/125970/card/","21426")</f>
      </c>
      <c r="B6526" s="3" t="inlineStr">
        <is>
          <t>113-3317872-9933838</t>
        </is>
      </c>
      <c r="C6526" s="3" t="inlineStr">
        <is>
          <t>RockyMountain</t>
        </is>
      </c>
    </row>
    <row collapsed="false" customFormat="false" customHeight="false" hidden="false" ht="12.1" outlineLevel="0" r="6527">
      <c r="A6527" s="3" t="s">
        <f>=HYPERLINK("https://mp39851918.megaplan.ua/deals/125976/card/","21427")</f>
      </c>
      <c r="B6527" s="3" t="inlineStr">
        <is>
          <t>114-2612041-3193812</t>
        </is>
      </c>
      <c r="C6527" s="3" t="inlineStr">
        <is>
          <t>RockyMountain</t>
        </is>
      </c>
    </row>
    <row collapsed="false" customFormat="false" customHeight="false" hidden="false" ht="12.1" outlineLevel="0" r="6528">
      <c r="A6528" s="3" t="s">
        <f>=HYPERLINK("https://mp39851918.megaplan.ua/deals/125985/card/","21428")</f>
      </c>
      <c r="B6528" s="3" t="inlineStr">
        <is>
          <t>113-1526276-4949853</t>
        </is>
      </c>
      <c r="C6528" s="3" t="inlineStr">
        <is>
          <t>TuckerRocky</t>
        </is>
      </c>
    </row>
    <row collapsed="false" customFormat="false" customHeight="false" hidden="false" ht="12.1" outlineLevel="0" r="6529">
      <c r="A6529" s="3" t="s">
        <f>=HYPERLINK("https://mp39851918.megaplan.ua/deals/125989/card/","21429")</f>
      </c>
      <c r="B6529" s="3" t="inlineStr">
        <is>
          <t>111-2148893-1742601</t>
        </is>
      </c>
      <c r="C6529" s="3" t="inlineStr">
        <is>
          <t>Autodist</t>
        </is>
      </c>
    </row>
    <row collapsed="false" customFormat="false" customHeight="false" hidden="false" ht="12.1" outlineLevel="0" r="6530">
      <c r="A6530" s="3" t="s">
        <f>=HYPERLINK("https://mp39851918.megaplan.ua/deals/125990/card/","21430")</f>
      </c>
      <c r="B6530" s="3" t="inlineStr">
        <is>
          <t>113-3750023-9554668</t>
        </is>
      </c>
      <c r="C6530" s="3" t="inlineStr">
        <is>
          <t>TuckerRocky</t>
        </is>
      </c>
    </row>
    <row collapsed="false" customFormat="false" customHeight="false" hidden="false" ht="12.1" outlineLevel="0" r="6531">
      <c r="A6531" s="3" t="s">
        <f>=HYPERLINK("https://mp39851918.megaplan.ua/deals/125995/card/","21431")</f>
      </c>
      <c r="B6531" s="3" t="inlineStr">
        <is>
          <t>113-8174906-0467466</t>
        </is>
      </c>
      <c r="C6531" s="3" t="inlineStr">
        <is>
          <t>TuckerRocky</t>
        </is>
      </c>
    </row>
    <row collapsed="false" customFormat="false" customHeight="false" hidden="false" ht="12.1" outlineLevel="0" r="6532">
      <c r="A6532" s="3" t="s">
        <f>=HYPERLINK("https://mp39851918.megaplan.ua/deals/126001/card/","21432")</f>
      </c>
      <c r="B6532" s="3" t="inlineStr">
        <is>
          <t>114-1232961-3779452</t>
        </is>
      </c>
      <c r="C6532" s="3" t="inlineStr">
        <is>
          <t>RockyMountain</t>
        </is>
      </c>
    </row>
    <row collapsed="false" customFormat="false" customHeight="false" hidden="false" ht="12.1" outlineLevel="0" r="6533">
      <c r="A6533" s="3" t="s">
        <f>=HYPERLINK("https://mp39851918.megaplan.ua/deals/126002/card/","21433")</f>
      </c>
      <c r="B6533" s="3" t="inlineStr">
        <is>
          <t>114-3018510-3365838</t>
        </is>
      </c>
      <c r="C6533" s="3" t="inlineStr">
        <is>
          <t>TuckerRocky</t>
        </is>
      </c>
    </row>
    <row collapsed="false" customFormat="false" customHeight="false" hidden="false" ht="12.1" outlineLevel="0" r="6534">
      <c r="A6534" s="3" t="s">
        <f>=HYPERLINK("https://mp39851918.megaplan.ua/deals/126012/card/","21435")</f>
      </c>
      <c r="B6534" s="3" t="inlineStr">
        <is>
          <t>111-7601598-5863464</t>
        </is>
      </c>
      <c r="C6534" s="3" t="inlineStr">
        <is>
          <t>TuckerRocky</t>
        </is>
      </c>
    </row>
    <row collapsed="false" customFormat="false" customHeight="false" hidden="false" ht="12.1" outlineLevel="0" r="6535">
      <c r="A6535" s="3" t="s">
        <f>=HYPERLINK("https://mp39851918.megaplan.ua/deals/126014/card/","21436")</f>
      </c>
      <c r="B6535" s="3" t="inlineStr">
        <is>
          <t>111-2354793-2209842</t>
        </is>
      </c>
      <c r="C6535" s="3" t="inlineStr">
        <is>
          <t>Autodist</t>
        </is>
      </c>
    </row>
    <row collapsed="false" customFormat="false" customHeight="false" hidden="false" ht="12.1" outlineLevel="0" r="6536">
      <c r="A6536" s="3" t="s">
        <f>=HYPERLINK("https://mp39851918.megaplan.ua/deals/126021/card/","21437")</f>
      </c>
      <c r="B6536" s="3" t="inlineStr">
        <is>
          <t>114-1829700-0747444</t>
        </is>
      </c>
      <c r="C6536" s="3" t="inlineStr">
        <is>
          <t>TuckerRocky</t>
        </is>
      </c>
    </row>
    <row collapsed="false" customFormat="false" customHeight="false" hidden="false" ht="12.1" outlineLevel="0" r="6537">
      <c r="A6537" s="3" t="s">
        <f>=HYPERLINK("https://mp39851918.megaplan.ua/deals/126029/card/","21439")</f>
      </c>
      <c r="B6537" s="3" t="inlineStr">
        <is>
          <t>113-3237209-5568254</t>
        </is>
      </c>
      <c r="C6537" s="3" t="inlineStr">
        <is>
          <t>Autodist</t>
        </is>
      </c>
    </row>
    <row collapsed="false" customFormat="false" customHeight="false" hidden="false" ht="12.1" outlineLevel="0" r="6538">
      <c r="A6538" s="3" t="s">
        <f>=HYPERLINK("https://mp39851918.megaplan.ua/deals/126034/card/","21440")</f>
      </c>
      <c r="B6538" s="3" t="inlineStr">
        <is>
          <t>113-5352123-1261056</t>
        </is>
      </c>
      <c r="C6538" s="3" t="inlineStr">
        <is>
          <t>PartsUnlimited</t>
        </is>
      </c>
    </row>
    <row collapsed="false" customFormat="false" customHeight="false" hidden="false" ht="12.1" outlineLevel="0" r="6539">
      <c r="A6539" s="3" t="s">
        <f>=HYPERLINK("https://mp39851918.megaplan.ua/deals/126044/card/","21442")</f>
      </c>
      <c r="B6539" s="3" t="inlineStr">
        <is>
          <t>111-9923169-9915451</t>
        </is>
      </c>
      <c r="C6539" s="3" t="inlineStr">
        <is>
          <t>RockyMountain</t>
        </is>
      </c>
    </row>
    <row collapsed="false" customFormat="false" customHeight="false" hidden="false" ht="12.1" outlineLevel="0" r="6540">
      <c r="A6540" s="3" t="s">
        <f>=HYPERLINK("https://mp39851918.megaplan.ua/deals/126045/card/","21443")</f>
      </c>
      <c r="B6540" s="3" t="inlineStr">
        <is>
          <t>114-5498578-5114656</t>
        </is>
      </c>
      <c r="C6540" s="3" t="inlineStr">
        <is>
          <t>RockyMountain</t>
        </is>
      </c>
    </row>
    <row collapsed="false" customFormat="false" customHeight="false" hidden="false" ht="12.1" outlineLevel="0" r="6541">
      <c r="A6541" s="3" t="s">
        <f>=HYPERLINK("https://mp39851918.megaplan.ua/deals/126046/card/","21444")</f>
      </c>
      <c r="B6541" s="3" t="inlineStr">
        <is>
          <t>114-2272844-4432239</t>
        </is>
      </c>
      <c r="C6541" s="3" t="inlineStr">
        <is>
          <t>Autodist</t>
        </is>
      </c>
    </row>
    <row collapsed="false" customFormat="false" customHeight="false" hidden="false" ht="12.1" outlineLevel="0" r="6542">
      <c r="A6542" s="3" t="s">
        <f>=HYPERLINK("https://mp39851918.megaplan.ua/deals/126048/card/","21445")</f>
      </c>
      <c r="B6542" s="3" t="inlineStr">
        <is>
          <t>111-9428075-6570622</t>
        </is>
      </c>
      <c r="C6542" s="3" t="inlineStr">
        <is>
          <t>RockyMountain</t>
        </is>
      </c>
    </row>
    <row collapsed="false" customFormat="false" customHeight="false" hidden="false" ht="12.1" outlineLevel="0" r="6543">
      <c r="A6543" s="3" t="s">
        <f>=HYPERLINK("https://mp39851918.megaplan.ua/deals/126051/card/","21446")</f>
      </c>
      <c r="B6543" s="3" t="inlineStr">
        <is>
          <t>114-5443462-9099417</t>
        </is>
      </c>
      <c r="C6543" s="3" t="inlineStr">
        <is>
          <t>TuckerRocky</t>
        </is>
      </c>
    </row>
    <row collapsed="false" customFormat="false" customHeight="false" hidden="false" ht="12.1" outlineLevel="0" r="6544">
      <c r="A6544" s="3" t="s">
        <f>=HYPERLINK("https://mp39851918.megaplan.ua/deals/126069/card/","21450")</f>
      </c>
      <c r="B6544" s="3" t="inlineStr">
        <is>
          <t>114-5603390-8120201</t>
        </is>
      </c>
      <c r="C6544" s="3" t="inlineStr">
        <is>
          <t>RockyMountain</t>
        </is>
      </c>
    </row>
    <row collapsed="false" customFormat="false" customHeight="false" hidden="false" ht="12.1" outlineLevel="0" r="6545">
      <c r="A6545" s="3" t="s">
        <f>=HYPERLINK("https://mp39851918.megaplan.ua/deals/126070/card/","21451")</f>
      </c>
      <c r="B6545" s="3" t="inlineStr">
        <is>
          <t>114-9563402-3034623</t>
        </is>
      </c>
      <c r="C6545" s="3" t="inlineStr">
        <is>
          <t>Autodist</t>
        </is>
      </c>
    </row>
    <row collapsed="false" customFormat="false" customHeight="false" hidden="false" ht="12.1" outlineLevel="0" r="6546">
      <c r="A6546" s="3" t="s">
        <f>=HYPERLINK("https://mp39851918.megaplan.ua/deals/126071/card/","21452")</f>
      </c>
      <c r="B6546" s="3" t="inlineStr">
        <is>
          <t>113-1470572-8405008</t>
        </is>
      </c>
      <c r="C6546" s="3" t="inlineStr">
        <is>
          <t>TuckerRocky</t>
        </is>
      </c>
    </row>
    <row collapsed="false" customFormat="false" customHeight="false" hidden="false" ht="12.1" outlineLevel="0" r="6547">
      <c r="A6547" s="3" t="s">
        <f>=HYPERLINK("https://mp39851918.megaplan.ua/deals/126079/card/","21453")</f>
      </c>
      <c r="B6547" s="3" t="inlineStr">
        <is>
          <t>113-2765152-1837003</t>
        </is>
      </c>
      <c r="C6547" s="3" t="inlineStr">
        <is>
          <t>TuckerRocky</t>
        </is>
      </c>
    </row>
    <row collapsed="false" customFormat="false" customHeight="false" hidden="false" ht="12.1" outlineLevel="0" r="6548">
      <c r="A6548" s="3" t="s">
        <f>=HYPERLINK("https://mp39851918.megaplan.ua/deals/126095/card/","21454")</f>
      </c>
      <c r="B6548" s="3" t="inlineStr">
        <is>
          <t>113-8473614-0921021</t>
        </is>
      </c>
      <c r="C6548" s="3" t="inlineStr">
        <is>
          <t>PartsUnlimited</t>
        </is>
      </c>
    </row>
    <row collapsed="false" customFormat="false" customHeight="false" hidden="false" ht="12.1" outlineLevel="0" r="6549">
      <c r="A6549" s="3" t="s">
        <f>=HYPERLINK("https://mp39851918.megaplan.ua/deals/126096/card/","21455")</f>
      </c>
      <c r="B6549" s="3" t="inlineStr">
        <is>
          <t>113-7943683-9597815</t>
        </is>
      </c>
      <c r="C6549" s="3" t="inlineStr">
        <is>
          <t>Autodist</t>
        </is>
      </c>
    </row>
    <row collapsed="false" customFormat="false" customHeight="false" hidden="false" ht="12.1" outlineLevel="0" r="6550">
      <c r="A6550" s="3" t="s">
        <f>=HYPERLINK("https://mp39851918.megaplan.ua/deals/126100/card/","21456")</f>
      </c>
      <c r="B6550" s="3" t="inlineStr">
        <is>
          <t>114-4737373-3077061</t>
        </is>
      </c>
      <c r="C6550" s="3" t="inlineStr">
        <is>
          <t>PartsUnlimited</t>
        </is>
      </c>
    </row>
    <row collapsed="false" customFormat="false" customHeight="false" hidden="false" ht="12.1" outlineLevel="0" r="6551">
      <c r="A6551" s="3" t="s">
        <f>=HYPERLINK("https://mp39851918.megaplan.ua/deals/126102/card/","21457")</f>
      </c>
      <c r="B6551" s="3" t="inlineStr">
        <is>
          <t>113-5370755-9401840</t>
        </is>
      </c>
      <c r="C6551" s="3" t="inlineStr">
        <is>
          <t>RockyMountain</t>
        </is>
      </c>
    </row>
    <row collapsed="false" customFormat="false" customHeight="false" hidden="false" ht="12.1" outlineLevel="0" r="6552">
      <c r="A6552" s="3" t="s">
        <f>=HYPERLINK("https://mp39851918.megaplan.ua/deals/126108/card/","21458")</f>
      </c>
      <c r="B6552" s="3" t="inlineStr">
        <is>
          <t>114-6365239-8666601</t>
        </is>
      </c>
      <c r="C6552" s="3" t="inlineStr">
        <is>
          <t>RockyMountain</t>
        </is>
      </c>
    </row>
    <row collapsed="false" customFormat="false" customHeight="false" hidden="false" ht="12.1" outlineLevel="0" r="6553">
      <c r="A6553" s="3" t="s">
        <f>=HYPERLINK("https://mp39851918.megaplan.ua/deals/126112/card/","21459")</f>
      </c>
      <c r="B6553" s="3" t="inlineStr">
        <is>
          <t>113-3945813-1901836</t>
        </is>
      </c>
      <c r="C6553" s="3" t="inlineStr">
        <is>
          <t>RockyMountain</t>
        </is>
      </c>
    </row>
    <row collapsed="false" customFormat="false" customHeight="false" hidden="false" ht="12.1" outlineLevel="0" r="6554">
      <c r="A6554" s="3" t="s">
        <f>=HYPERLINK("https://mp39851918.megaplan.ua/deals/126120/card/","21461")</f>
      </c>
      <c r="B6554" s="3" t="inlineStr">
        <is>
          <t>111-8573555-3168214</t>
        </is>
      </c>
      <c r="C6554" s="3" t="inlineStr">
        <is>
          <t>RockyMountain</t>
        </is>
      </c>
    </row>
    <row collapsed="false" customFormat="false" customHeight="false" hidden="false" ht="12.1" outlineLevel="0" r="6555">
      <c r="A6555" s="3" t="s">
        <f>=HYPERLINK("https://mp39851918.megaplan.ua/deals/126134/card/","21465")</f>
      </c>
      <c r="B6555" s="3" t="inlineStr">
        <is>
          <t>111-7011377-6968267</t>
        </is>
      </c>
      <c r="C6555" s="3" t="inlineStr">
        <is>
          <t>TuckerRocky</t>
        </is>
      </c>
    </row>
    <row collapsed="false" customFormat="false" customHeight="false" hidden="false" ht="12.1" outlineLevel="0" r="6556">
      <c r="A6556" s="3" t="s">
        <f>=HYPERLINK("https://mp39851918.megaplan.ua/deals/126135/card/","21466")</f>
      </c>
      <c r="B6556" s="3" t="inlineStr">
        <is>
          <t>114-4366657-6392247</t>
        </is>
      </c>
      <c r="C6556" s="3" t="inlineStr">
        <is>
          <t>TuckerRocky</t>
        </is>
      </c>
    </row>
    <row collapsed="false" customFormat="false" customHeight="false" hidden="false" ht="12.1" outlineLevel="0" r="6557">
      <c r="A6557" s="3" t="s">
        <f>=HYPERLINK("https://mp39851918.megaplan.ua/deals/126136/card/","21467")</f>
      </c>
      <c r="B6557" s="3" t="inlineStr">
        <is>
          <t>111-7885238-1097024</t>
        </is>
      </c>
      <c r="C6557" s="3" t="inlineStr">
        <is>
          <t>Autodist</t>
        </is>
      </c>
    </row>
    <row collapsed="false" customFormat="false" customHeight="false" hidden="false" ht="12.1" outlineLevel="0" r="6558">
      <c r="A6558" s="3" t="s">
        <f>=HYPERLINK("https://mp39851918.megaplan.ua/deals/126142/card/","21468")</f>
      </c>
      <c r="B6558" s="3" t="inlineStr">
        <is>
          <t>114-3449622-7665846</t>
        </is>
      </c>
      <c r="C6558" s="3" t="inlineStr">
        <is>
          <t>Autodist</t>
        </is>
      </c>
    </row>
    <row collapsed="false" customFormat="false" customHeight="false" hidden="false" ht="12.1" outlineLevel="0" r="6559">
      <c r="A6559" s="3" t="s">
        <f>=HYPERLINK("https://mp39851918.megaplan.ua/deals/126145/card/","21469")</f>
      </c>
      <c r="B6559" s="3" t="inlineStr">
        <is>
          <t>113-7483510-0151454</t>
        </is>
      </c>
      <c r="C6559" s="3" t="inlineStr">
        <is>
          <t>TuckerRocky</t>
        </is>
      </c>
    </row>
    <row collapsed="false" customFormat="false" customHeight="false" hidden="false" ht="12.1" outlineLevel="0" r="6560">
      <c r="A6560" s="3" t="s">
        <f>=HYPERLINK("https://mp39851918.megaplan.ua/deals/126146/card/","21470")</f>
      </c>
      <c r="B6560" s="3" t="inlineStr">
        <is>
          <t>112-7360765-6553832</t>
        </is>
      </c>
      <c r="C6560" s="3" t="inlineStr">
        <is>
          <t>Autodist</t>
        </is>
      </c>
    </row>
    <row collapsed="false" customFormat="false" customHeight="false" hidden="false" ht="12.1" outlineLevel="0" r="6561">
      <c r="A6561" s="3" t="s">
        <f>=HYPERLINK("https://mp39851918.megaplan.ua/deals/126155/card/","21472")</f>
      </c>
      <c r="B6561" s="3" t="inlineStr">
        <is>
          <t>113-7477122-4257039</t>
        </is>
      </c>
      <c r="C6561" s="3" t="inlineStr">
        <is>
          <t>RockyMountain</t>
        </is>
      </c>
    </row>
    <row collapsed="false" customFormat="false" customHeight="false" hidden="false" ht="12.1" outlineLevel="0" r="6562">
      <c r="A6562" s="3" t="s">
        <f>=HYPERLINK("https://mp39851918.megaplan.ua/deals/126156/card/","21473")</f>
      </c>
      <c r="B6562" s="3" t="inlineStr">
        <is>
          <t>111-3437378-7026641</t>
        </is>
      </c>
      <c r="C6562" s="3" t="inlineStr">
        <is>
          <t>Autodist</t>
        </is>
      </c>
    </row>
    <row collapsed="false" customFormat="false" customHeight="false" hidden="false" ht="12.1" outlineLevel="0" r="6563">
      <c r="A6563" s="3" t="s">
        <f>=HYPERLINK("https://mp39851918.megaplan.ua/deals/126159/card/","21474")</f>
      </c>
      <c r="B6563" s="3" t="inlineStr">
        <is>
          <t>114-2321624-8925056</t>
        </is>
      </c>
      <c r="C6563" s="3" t="inlineStr">
        <is>
          <t>RockyMountain</t>
        </is>
      </c>
    </row>
    <row collapsed="false" customFormat="false" customHeight="false" hidden="false" ht="12.1" outlineLevel="0" r="6564">
      <c r="A6564" s="3" t="s">
        <f>=HYPERLINK("https://mp39851918.megaplan.ua/deals/126161/card/","21475")</f>
      </c>
      <c r="B6564" s="3" t="inlineStr">
        <is>
          <t>112-0792306-4077852</t>
        </is>
      </c>
      <c r="C6564" s="3" t="inlineStr">
        <is>
          <t>RockyMountain</t>
        </is>
      </c>
    </row>
    <row collapsed="false" customFormat="false" customHeight="false" hidden="false" ht="12.1" outlineLevel="0" r="6565">
      <c r="A6565" s="3" t="s">
        <f>=HYPERLINK("https://mp39851918.megaplan.ua/deals/126165/card/","21476")</f>
      </c>
      <c r="B6565" s="3" t="inlineStr">
        <is>
          <t>113-2170859-5779425</t>
        </is>
      </c>
      <c r="C6565" s="3" t="inlineStr">
        <is>
          <t>RockyMountain</t>
        </is>
      </c>
    </row>
    <row collapsed="false" customFormat="false" customHeight="false" hidden="false" ht="12.1" outlineLevel="0" r="6566">
      <c r="A6566" s="3" t="s">
        <f>=HYPERLINK("https://mp39851918.megaplan.ua/deals/126166/card/","21477")</f>
      </c>
      <c r="B6566" s="3" t="inlineStr">
        <is>
          <t>112-7737984-1705840</t>
        </is>
      </c>
      <c r="C6566" s="3" t="inlineStr">
        <is>
          <t>TuckerRocky</t>
        </is>
      </c>
    </row>
    <row collapsed="false" customFormat="false" customHeight="false" hidden="false" ht="12.1" outlineLevel="0" r="6567">
      <c r="A6567" s="3" t="s">
        <f>=HYPERLINK("https://mp39851918.megaplan.ua/deals/126170/card/","21478")</f>
      </c>
      <c r="B6567" s="3" t="inlineStr">
        <is>
          <t>114-0369639-3752268</t>
        </is>
      </c>
      <c r="C6567" s="3" t="inlineStr">
        <is>
          <t>RockyMountain</t>
        </is>
      </c>
    </row>
    <row collapsed="false" customFormat="false" customHeight="false" hidden="false" ht="12.1" outlineLevel="0" r="6568">
      <c r="A6568" s="3" t="s">
        <f>=HYPERLINK("https://mp39851918.megaplan.ua/deals/126174/card/","21480")</f>
      </c>
      <c r="B6568" s="3" t="inlineStr">
        <is>
          <t>113-0273014-7126667</t>
        </is>
      </c>
      <c r="C6568" s="3" t="inlineStr">
        <is>
          <t>Autodist</t>
        </is>
      </c>
    </row>
    <row collapsed="false" customFormat="false" customHeight="false" hidden="false" ht="12.1" outlineLevel="0" r="6569">
      <c r="A6569" s="3" t="s">
        <f>=HYPERLINK("https://mp39851918.megaplan.ua/deals/126175/card/","21481")</f>
      </c>
      <c r="B6569" s="3" t="inlineStr">
        <is>
          <t>114-7245212-1933824</t>
        </is>
      </c>
      <c r="C6569" s="3" t="inlineStr">
        <is>
          <t>PartsUnlimited</t>
        </is>
      </c>
    </row>
    <row collapsed="false" customFormat="false" customHeight="false" hidden="false" ht="12.1" outlineLevel="0" r="6570">
      <c r="A6570" s="3" t="s">
        <f>=HYPERLINK("https://mp39851918.megaplan.ua/deals/126187/card/","21482")</f>
      </c>
      <c r="B6570" s="3" t="inlineStr">
        <is>
          <t>113-5094782-7981837</t>
        </is>
      </c>
      <c r="C6570" s="3" t="inlineStr">
        <is>
          <t>RockyMountain</t>
        </is>
      </c>
    </row>
    <row collapsed="false" customFormat="false" customHeight="false" hidden="false" ht="12.1" outlineLevel="0" r="6571">
      <c r="A6571" s="3" t="s">
        <f>=HYPERLINK("https://mp39851918.megaplan.ua/deals/126190/card/","21483")</f>
      </c>
      <c r="B6571" s="3" t="inlineStr">
        <is>
          <t>113-0133235-7742677</t>
        </is>
      </c>
      <c r="C6571" s="3" t="inlineStr">
        <is>
          <t>RockyMountain</t>
        </is>
      </c>
    </row>
    <row collapsed="false" customFormat="false" customHeight="false" hidden="false" ht="12.1" outlineLevel="0" r="6572">
      <c r="A6572" s="3" t="s">
        <f>=HYPERLINK("https://mp39851918.megaplan.ua/deals/126193/card/","21484")</f>
      </c>
      <c r="B6572" s="3" t="inlineStr">
        <is>
          <t>114-0612952-9275401</t>
        </is>
      </c>
      <c r="C6572" s="3" t="inlineStr">
        <is>
          <t>RockyMountain</t>
        </is>
      </c>
    </row>
    <row collapsed="false" customFormat="false" customHeight="false" hidden="false" ht="12.1" outlineLevel="0" r="6573">
      <c r="A6573" s="3" t="s">
        <f>=HYPERLINK("https://mp39851918.megaplan.ua/deals/126202/card/","21485")</f>
      </c>
      <c r="B6573" s="3" t="inlineStr">
        <is>
          <t>111-5438891-1064201</t>
        </is>
      </c>
      <c r="C6573" s="3" t="inlineStr">
        <is>
          <t>RockyMountain</t>
        </is>
      </c>
    </row>
    <row collapsed="false" customFormat="false" customHeight="false" hidden="false" ht="12.1" outlineLevel="0" r="6574">
      <c r="A6574" s="3" t="s">
        <f>=HYPERLINK("https://mp39851918.megaplan.ua/deals/126203/card/","21486")</f>
      </c>
      <c r="B6574" s="3" t="inlineStr">
        <is>
          <t>112-0071803-0269054</t>
        </is>
      </c>
      <c r="C6574" s="3" t="inlineStr">
        <is>
          <t>Autodist</t>
        </is>
      </c>
    </row>
    <row collapsed="false" customFormat="false" customHeight="false" hidden="false" ht="12.1" outlineLevel="0" r="6575">
      <c r="A6575" s="3" t="s">
        <f>=HYPERLINK("https://mp39851918.megaplan.ua/deals/126222/card/","21487")</f>
      </c>
      <c r="B6575" s="3" t="inlineStr">
        <is>
          <t>114-1563540-0595460</t>
        </is>
      </c>
      <c r="C6575" s="3" t="inlineStr">
        <is>
          <t>TuckerRocky</t>
        </is>
      </c>
    </row>
    <row collapsed="false" customFormat="false" customHeight="false" hidden="false" ht="12.1" outlineLevel="0" r="6576">
      <c r="A6576" s="3" t="s">
        <f>=HYPERLINK("https://mp39851918.megaplan.ua/deals/126235/card/","21489")</f>
      </c>
      <c r="B6576" s="3" t="inlineStr">
        <is>
          <t>113-3825302-6632213</t>
        </is>
      </c>
      <c r="C6576" s="3" t="inlineStr">
        <is>
          <t>Autodist</t>
        </is>
      </c>
    </row>
    <row collapsed="false" customFormat="false" customHeight="false" hidden="false" ht="12.1" outlineLevel="0" r="6577">
      <c r="A6577" s="3" t="s">
        <f>=HYPERLINK("https://mp39851918.megaplan.ua/deals/126238/card/","21491")</f>
      </c>
      <c r="B6577" s="3" t="inlineStr">
        <is>
          <t>112-1441632-8055466</t>
        </is>
      </c>
      <c r="C6577" s="3" t="inlineStr">
        <is>
          <t>Autodist</t>
        </is>
      </c>
    </row>
    <row collapsed="false" customFormat="false" customHeight="false" hidden="false" ht="12.1" outlineLevel="0" r="6578">
      <c r="A6578" s="3" t="s">
        <f>=HYPERLINK("https://mp39851918.megaplan.ua/deals/126245/card/","21492")</f>
      </c>
      <c r="B6578" s="3" t="inlineStr">
        <is>
          <t>113-1502539-2352254</t>
        </is>
      </c>
      <c r="C6578" s="3" t="inlineStr">
        <is>
          <t>RockyMountain</t>
        </is>
      </c>
    </row>
    <row collapsed="false" customFormat="false" customHeight="false" hidden="false" ht="12.1" outlineLevel="0" r="6579">
      <c r="A6579" s="3" t="s">
        <f>=HYPERLINK("https://mp39851918.megaplan.ua/deals/126246/card/","21493")</f>
      </c>
      <c r="B6579" s="3" t="inlineStr">
        <is>
          <t>111-6293962-5617049</t>
        </is>
      </c>
      <c r="C6579" s="3" t="inlineStr">
        <is>
          <t>Autodist</t>
        </is>
      </c>
    </row>
    <row collapsed="false" customFormat="false" customHeight="false" hidden="false" ht="12.1" outlineLevel="0" r="6580">
      <c r="A6580" s="3" t="s">
        <f>=HYPERLINK("https://mp39851918.megaplan.ua/deals/126249/card/","21494")</f>
      </c>
      <c r="B6580" s="3" t="inlineStr">
        <is>
          <t>113-1095740-5914611</t>
        </is>
      </c>
      <c r="C6580" s="3" t="inlineStr">
        <is>
          <t>RockyMountain</t>
        </is>
      </c>
    </row>
    <row collapsed="false" customFormat="false" customHeight="false" hidden="false" ht="12.1" outlineLevel="0" r="6581">
      <c r="A6581" s="3" t="s">
        <f>=HYPERLINK("https://mp39851918.megaplan.ua/deals/126250/card/","21495")</f>
      </c>
      <c r="B6581" s="3" t="inlineStr">
        <is>
          <t>113-5982867-3233037</t>
        </is>
      </c>
      <c r="C6581" s="3" t="inlineStr">
        <is>
          <t>Autodist</t>
        </is>
      </c>
    </row>
    <row collapsed="false" customFormat="false" customHeight="false" hidden="false" ht="12.1" outlineLevel="0" r="6582">
      <c r="A6582" s="3" t="s">
        <f>=HYPERLINK("https://mp39851918.megaplan.ua/deals/126253/card/","21496")</f>
      </c>
      <c r="B6582" s="3" t="inlineStr">
        <is>
          <t>114-7104701-4985014</t>
        </is>
      </c>
      <c r="C6582" s="3" t="inlineStr">
        <is>
          <t>RockyMountain</t>
        </is>
      </c>
    </row>
    <row collapsed="false" customFormat="false" customHeight="false" hidden="false" ht="12.1" outlineLevel="0" r="6583">
      <c r="A6583" s="3" t="s">
        <f>=HYPERLINK("https://mp39851918.megaplan.ua/deals/126262/card/","21497")</f>
      </c>
      <c r="B6583" s="3" t="inlineStr">
        <is>
          <t>113-1413350-6852229</t>
        </is>
      </c>
      <c r="C6583" s="3" t="inlineStr">
        <is>
          <t>TuckerRocky</t>
        </is>
      </c>
    </row>
    <row collapsed="false" customFormat="false" customHeight="false" hidden="false" ht="12.1" outlineLevel="0" r="6584">
      <c r="A6584" s="3" t="s">
        <f>=HYPERLINK("https://mp39851918.megaplan.ua/deals/126271/card/","21498")</f>
      </c>
      <c r="B6584" s="3" t="inlineStr">
        <is>
          <t>111-7994816-9318654</t>
        </is>
      </c>
      <c r="C6584" s="3" t="inlineStr">
        <is>
          <t>TuckerRocky</t>
        </is>
      </c>
    </row>
    <row collapsed="false" customFormat="false" customHeight="false" hidden="false" ht="12.1" outlineLevel="0" r="6585">
      <c r="A6585" s="3" t="s">
        <f>=HYPERLINK("https://mp39851918.megaplan.ua/deals/126272/card/","21499")</f>
      </c>
      <c r="B6585" s="3" t="inlineStr">
        <is>
          <t>112-8675941-4535423</t>
        </is>
      </c>
      <c r="C6585" s="3" t="inlineStr">
        <is>
          <t>RockyMountain</t>
        </is>
      </c>
    </row>
    <row collapsed="false" customFormat="false" customHeight="false" hidden="false" ht="12.1" outlineLevel="0" r="6586">
      <c r="A6586" s="3" t="s">
        <f>=HYPERLINK("https://mp39851918.megaplan.ua/deals/126277/card/","21500")</f>
      </c>
      <c r="B6586" s="3" t="inlineStr">
        <is>
          <t>113-3615626-6289805</t>
        </is>
      </c>
      <c r="C6586" s="3" t="inlineStr">
        <is>
          <t>PartsUnlimited</t>
        </is>
      </c>
    </row>
    <row collapsed="false" customFormat="false" customHeight="false" hidden="false" ht="12.1" outlineLevel="0" r="6587">
      <c r="A6587" s="3" t="s">
        <f>=HYPERLINK("https://mp39851918.megaplan.ua/deals/126278/card/","21501")</f>
      </c>
      <c r="B6587" s="3" t="inlineStr">
        <is>
          <t>113-3254218-7154612</t>
        </is>
      </c>
      <c r="C6587" s="3" t="inlineStr">
        <is>
          <t>TuckerRocky</t>
        </is>
      </c>
    </row>
    <row collapsed="false" customFormat="false" customHeight="false" hidden="false" ht="12.1" outlineLevel="0" r="6588">
      <c r="A6588" s="3" t="s">
        <f>=HYPERLINK("https://mp39851918.megaplan.ua/deals/126287/card/","21502")</f>
      </c>
      <c r="B6588" s="3" t="inlineStr">
        <is>
          <t>114-6366255-4979410</t>
        </is>
      </c>
      <c r="C6588" s="3" t="inlineStr">
        <is>
          <t>RockyMountain</t>
        </is>
      </c>
    </row>
    <row collapsed="false" customFormat="false" customHeight="false" hidden="false" ht="12.1" outlineLevel="0" r="6589">
      <c r="A6589" s="3" t="s">
        <f>=HYPERLINK("https://mp39851918.megaplan.ua/deals/126293/card/","21503")</f>
      </c>
      <c r="B6589" s="3" t="inlineStr">
        <is>
          <t>111-1792036-8754668</t>
        </is>
      </c>
      <c r="C6589" s="3" t="inlineStr">
        <is>
          <t>RockyMountain</t>
        </is>
      </c>
    </row>
    <row collapsed="false" customFormat="false" customHeight="false" hidden="false" ht="12.1" outlineLevel="0" r="6590">
      <c r="A6590" s="3" t="s">
        <f>=HYPERLINK("https://mp39851918.megaplan.ua/deals/126294/card/","21504")</f>
      </c>
      <c r="B6590" s="3" t="inlineStr">
        <is>
          <t>112-4547088-0180235</t>
        </is>
      </c>
      <c r="C6590" s="3" t="inlineStr">
        <is>
          <t>RockyMountain</t>
        </is>
      </c>
    </row>
    <row collapsed="false" customFormat="false" customHeight="false" hidden="false" ht="12.1" outlineLevel="0" r="6591">
      <c r="A6591" s="3" t="s">
        <f>=HYPERLINK("https://mp39851918.megaplan.ua/deals/126295/card/","21505")</f>
      </c>
      <c r="B6591" s="3" t="inlineStr">
        <is>
          <t>113-2832500-1102655</t>
        </is>
      </c>
      <c r="C6591" s="3" t="inlineStr">
        <is>
          <t>PartsUnlimited</t>
        </is>
      </c>
    </row>
    <row collapsed="false" customFormat="false" customHeight="false" hidden="false" ht="12.1" outlineLevel="0" r="6592">
      <c r="A6592" s="3" t="s">
        <f>=HYPERLINK("https://mp39851918.megaplan.ua/deals/126303/card/","21506")</f>
      </c>
      <c r="B6592" s="3" t="inlineStr">
        <is>
          <t>112-7602341-3036201</t>
        </is>
      </c>
      <c r="C6592" s="3" t="inlineStr">
        <is>
          <t>TuckerRocky</t>
        </is>
      </c>
    </row>
    <row collapsed="false" customFormat="false" customHeight="false" hidden="false" ht="12.1" outlineLevel="0" r="6593">
      <c r="A6593" s="3" t="s">
        <f>=HYPERLINK("https://mp39851918.megaplan.ua/deals/126304/card/","21507")</f>
      </c>
      <c r="B6593" s="3" t="inlineStr">
        <is>
          <t>113-7712898-2789022</t>
        </is>
      </c>
      <c r="C6593" s="3" t="inlineStr">
        <is>
          <t>TuckerRocky</t>
        </is>
      </c>
    </row>
    <row collapsed="false" customFormat="false" customHeight="false" hidden="false" ht="12.1" outlineLevel="0" r="6594">
      <c r="A6594" s="3" t="s">
        <f>=HYPERLINK("https://mp39851918.megaplan.ua/deals/126313/card/","21508")</f>
      </c>
      <c r="B6594" s="3" t="inlineStr">
        <is>
          <t>114-4952469-5066639</t>
        </is>
      </c>
      <c r="C6594" s="3" t="inlineStr">
        <is>
          <t>TuckerRocky</t>
        </is>
      </c>
    </row>
    <row collapsed="false" customFormat="false" customHeight="false" hidden="false" ht="12.1" outlineLevel="0" r="6595">
      <c r="A6595" s="3" t="s">
        <f>=HYPERLINK("https://mp39851918.megaplan.ua/deals/126314/card/","21509")</f>
      </c>
      <c r="B6595" s="3" t="inlineStr">
        <is>
          <t>114-1325082-0537018</t>
        </is>
      </c>
      <c r="C6595" s="3" t="inlineStr">
        <is>
          <t>RockyMountain</t>
        </is>
      </c>
    </row>
    <row collapsed="false" customFormat="false" customHeight="false" hidden="false" ht="12.1" outlineLevel="0" r="6596">
      <c r="A6596" s="3" t="s">
        <f>=HYPERLINK("https://mp39851918.megaplan.ua/deals/126330/card/","21510")</f>
      </c>
      <c r="B6596" s="3" t="inlineStr">
        <is>
          <t>113-4638001-6281860</t>
        </is>
      </c>
      <c r="C6596" s="3" t="inlineStr">
        <is>
          <t>PartsUnlimited</t>
        </is>
      </c>
    </row>
    <row collapsed="false" customFormat="false" customHeight="false" hidden="false" ht="12.1" outlineLevel="0" r="6597">
      <c r="A6597" s="3" t="s">
        <f>=HYPERLINK("https://mp39851918.megaplan.ua/deals/126349/card/","21511")</f>
      </c>
      <c r="B6597" s="3" t="inlineStr">
        <is>
          <t>113-3805576-1829018</t>
        </is>
      </c>
      <c r="C6597" s="3" t="inlineStr">
        <is>
          <t>TuckerRocky</t>
        </is>
      </c>
    </row>
    <row collapsed="false" customFormat="false" customHeight="false" hidden="false" ht="12.1" outlineLevel="0" r="6598">
      <c r="A6598" s="3" t="s">
        <f>=HYPERLINK("https://mp39851918.megaplan.ua/deals/126365/card/","21512")</f>
      </c>
      <c r="B6598" s="3" t="inlineStr">
        <is>
          <t>113-0318869-1245015</t>
        </is>
      </c>
      <c r="C6598" s="3" t="inlineStr">
        <is>
          <t>TuckerRocky</t>
        </is>
      </c>
    </row>
    <row collapsed="false" customFormat="false" customHeight="false" hidden="false" ht="12.1" outlineLevel="0" r="6599">
      <c r="A6599" s="3" t="s">
        <f>=HYPERLINK("https://mp39851918.megaplan.ua/deals/126370/card/","21513")</f>
      </c>
      <c r="B6599" s="3" t="inlineStr">
        <is>
          <t>111-5620284-8056225</t>
        </is>
      </c>
      <c r="C6599" s="3" t="inlineStr">
        <is>
          <t>TuckerRocky</t>
        </is>
      </c>
    </row>
    <row collapsed="false" customFormat="false" customHeight="false" hidden="false" ht="12.1" outlineLevel="0" r="6600">
      <c r="A6600" s="3" t="s">
        <f>=HYPERLINK("https://mp39851918.megaplan.ua/deals/126372/card/","21514")</f>
      </c>
      <c r="B6600" s="3" t="inlineStr">
        <is>
          <t>113-5507940-6536222</t>
        </is>
      </c>
      <c r="C6600" s="3" t="inlineStr">
        <is>
          <t>RockyMountain</t>
        </is>
      </c>
    </row>
    <row collapsed="false" customFormat="false" customHeight="false" hidden="false" ht="12.1" outlineLevel="0" r="6601">
      <c r="A6601" s="3" t="s">
        <f>=HYPERLINK("https://mp39851918.megaplan.ua/deals/126379/card/","21515")</f>
      </c>
      <c r="B6601" s="3" t="inlineStr">
        <is>
          <t>114-2686013-6509830</t>
        </is>
      </c>
      <c r="C6601" s="3" t="inlineStr">
        <is>
          <t>TuckerRocky</t>
        </is>
      </c>
    </row>
    <row collapsed="false" customFormat="false" customHeight="false" hidden="false" ht="12.1" outlineLevel="0" r="6602">
      <c r="A6602" s="3" t="s">
        <f>=HYPERLINK("https://mp39851918.megaplan.ua/deals/126389/card/","21516")</f>
      </c>
      <c r="B6602" s="3" t="inlineStr">
        <is>
          <t>114-3285800-9985853</t>
        </is>
      </c>
      <c r="C6602" s="3" t="inlineStr">
        <is>
          <t>TuckerRocky</t>
        </is>
      </c>
    </row>
    <row collapsed="false" customFormat="false" customHeight="false" hidden="false" ht="12.1" outlineLevel="0" r="6603">
      <c r="A6603" s="3" t="s">
        <f>=HYPERLINK("https://mp39851918.megaplan.ua/deals/126394/card/","21517")</f>
      </c>
      <c r="B6603" s="3" t="inlineStr">
        <is>
          <t>111-1901594-5183438</t>
        </is>
      </c>
      <c r="C6603" s="3" t="inlineStr">
        <is>
          <t>TuckerRocky</t>
        </is>
      </c>
    </row>
    <row collapsed="false" customFormat="false" customHeight="false" hidden="false" ht="12.1" outlineLevel="0" r="6604">
      <c r="A6604" s="3" t="s">
        <f>=HYPERLINK("https://mp39851918.megaplan.ua/deals/126396/card/","21518")</f>
      </c>
      <c r="B6604" s="3" t="inlineStr">
        <is>
          <t>113-2453247-9620206</t>
        </is>
      </c>
      <c r="C6604" s="3" t="inlineStr">
        <is>
          <t>TuckerRocky</t>
        </is>
      </c>
    </row>
    <row collapsed="false" customFormat="false" customHeight="false" hidden="false" ht="12.1" outlineLevel="0" r="6605">
      <c r="A6605" s="3" t="s">
        <f>=HYPERLINK("https://mp39851918.megaplan.ua/deals/126406/card/","21519")</f>
      </c>
      <c r="B6605" s="3" t="inlineStr">
        <is>
          <t>113-5825708-9271404</t>
        </is>
      </c>
      <c r="C6605" s="3" t="inlineStr">
        <is>
          <t>Autodist</t>
        </is>
      </c>
    </row>
    <row collapsed="false" customFormat="false" customHeight="false" hidden="false" ht="12.1" outlineLevel="0" r="6606">
      <c r="A6606" s="3" t="s">
        <f>=HYPERLINK("https://mp39851918.megaplan.ua/deals/126407/card/","21520")</f>
      </c>
      <c r="B6606" s="3" t="inlineStr">
        <is>
          <t>111-3172534-8583422</t>
        </is>
      </c>
      <c r="C6606" s="3" t="inlineStr">
        <is>
          <t>Autodist</t>
        </is>
      </c>
    </row>
    <row collapsed="false" customFormat="false" customHeight="false" hidden="false" ht="12.1" outlineLevel="0" r="6607">
      <c r="A6607" s="3" t="s">
        <f>=HYPERLINK("https://mp39851918.megaplan.ua/deals/126420/card/","21522")</f>
      </c>
      <c r="B6607" s="3" t="inlineStr">
        <is>
          <t>111-7511705-5551429</t>
        </is>
      </c>
      <c r="C6607" s="3" t="inlineStr">
        <is>
          <t>RockyMountain</t>
        </is>
      </c>
    </row>
    <row collapsed="false" customFormat="false" customHeight="false" hidden="false" ht="12.1" outlineLevel="0" r="6608">
      <c r="A6608" s="3" t="s">
        <f>=HYPERLINK("https://mp39851918.megaplan.ua/deals/126422/card/","21523")</f>
      </c>
      <c r="B6608" s="3" t="inlineStr">
        <is>
          <t>112-1913505-7497001</t>
        </is>
      </c>
      <c r="C6608" s="3" t="inlineStr">
        <is>
          <t>Autodist</t>
        </is>
      </c>
    </row>
    <row collapsed="false" customFormat="false" customHeight="false" hidden="false" ht="12.1" outlineLevel="0" r="6609">
      <c r="A6609" s="3" t="s">
        <f>=HYPERLINK("https://mp39851918.megaplan.ua/deals/126423/card/","21524")</f>
      </c>
      <c r="B6609" s="3" t="inlineStr">
        <is>
          <t>112-7774154-8717046</t>
        </is>
      </c>
      <c r="C6609" s="3" t="inlineStr">
        <is>
          <t>TuckerRocky</t>
        </is>
      </c>
    </row>
    <row collapsed="false" customFormat="false" customHeight="false" hidden="false" ht="12.1" outlineLevel="0" r="6610">
      <c r="A6610" s="3" t="s">
        <f>=HYPERLINK("https://mp39851918.megaplan.ua/deals/126427/card/","21525")</f>
      </c>
      <c r="B6610" s="3" t="inlineStr">
        <is>
          <t>112-3564898-6596230</t>
        </is>
      </c>
      <c r="C6610" s="3" t="inlineStr">
        <is>
          <t>PartsUnlimited</t>
        </is>
      </c>
    </row>
    <row collapsed="false" customFormat="false" customHeight="false" hidden="false" ht="12.1" outlineLevel="0" r="6611">
      <c r="A6611" s="3" t="s">
        <f>=HYPERLINK("https://mp39851918.megaplan.ua/deals/126440/card/","21526")</f>
      </c>
      <c r="B6611" s="3" t="inlineStr">
        <is>
          <t>112-4293753-1909824</t>
        </is>
      </c>
      <c r="C6611" s="3" t="inlineStr">
        <is>
          <t>Autodist</t>
        </is>
      </c>
    </row>
    <row collapsed="false" customFormat="false" customHeight="false" hidden="false" ht="12.1" outlineLevel="0" r="6612">
      <c r="A6612" s="3" t="s">
        <f>=HYPERLINK("https://mp39851918.megaplan.ua/deals/126441/card/","21527")</f>
      </c>
      <c r="B6612" s="3" t="inlineStr">
        <is>
          <t>113-2038949-2679435</t>
        </is>
      </c>
      <c r="C6612" s="3" t="inlineStr">
        <is>
          <t>Autodist</t>
        </is>
      </c>
    </row>
    <row collapsed="false" customFormat="false" customHeight="false" hidden="false" ht="12.1" outlineLevel="0" r="6613">
      <c r="A6613" s="3" t="s">
        <f>=HYPERLINK("https://mp39851918.megaplan.ua/deals/126442/card/","21528")</f>
      </c>
      <c r="B6613" s="3" t="inlineStr">
        <is>
          <t>112-1331111-2608249</t>
        </is>
      </c>
      <c r="C6613" s="3" t="inlineStr">
        <is>
          <t>RockyMountain</t>
        </is>
      </c>
    </row>
    <row collapsed="false" customFormat="false" customHeight="false" hidden="false" ht="12.1" outlineLevel="0" r="6614">
      <c r="A6614" s="3" t="s">
        <f>=HYPERLINK("https://mp39851918.megaplan.ua/deals/126459/card/","21529")</f>
      </c>
      <c r="B6614" s="3" t="inlineStr">
        <is>
          <t>111-3569768-0277037</t>
        </is>
      </c>
      <c r="C6614" s="3" t="inlineStr">
        <is>
          <t>Autodist</t>
        </is>
      </c>
    </row>
    <row collapsed="false" customFormat="false" customHeight="false" hidden="false" ht="12.1" outlineLevel="0" r="6615">
      <c r="A6615" s="3" t="s">
        <f>=HYPERLINK("https://mp39851918.megaplan.ua/deals/126460/card/","21530")</f>
      </c>
      <c r="B6615" s="3" t="inlineStr">
        <is>
          <t>112-7578936-6862649</t>
        </is>
      </c>
      <c r="C6615" s="3" t="inlineStr">
        <is>
          <t>RockyMountain</t>
        </is>
      </c>
    </row>
    <row collapsed="false" customFormat="false" customHeight="false" hidden="false" ht="12.1" outlineLevel="0" r="6616">
      <c r="A6616" s="3" t="s">
        <f>=HYPERLINK("https://mp39851918.megaplan.ua/deals/126464/card/","21531")</f>
      </c>
      <c r="B6616" s="3" t="inlineStr">
        <is>
          <t>113-9434841-5264251</t>
        </is>
      </c>
      <c r="C6616" s="3" t="inlineStr">
        <is>
          <t>RockyMountain</t>
        </is>
      </c>
    </row>
    <row collapsed="false" customFormat="false" customHeight="false" hidden="false" ht="12.1" outlineLevel="0" r="6617">
      <c r="A6617" s="3" t="s">
        <f>=HYPERLINK("https://mp39851918.megaplan.ua/deals/126465/card/","21532")</f>
      </c>
      <c r="B6617" s="3" t="inlineStr">
        <is>
          <t>114-3896248-8385037</t>
        </is>
      </c>
      <c r="C6617" s="3" t="inlineStr">
        <is>
          <t>RockyMountain</t>
        </is>
      </c>
    </row>
    <row collapsed="false" customFormat="false" customHeight="false" hidden="false" ht="12.1" outlineLevel="0" r="6618">
      <c r="A6618" s="3" t="s">
        <f>=HYPERLINK("https://mp39851918.megaplan.ua/deals/126472/card/","21533")</f>
      </c>
      <c r="B6618" s="3" t="inlineStr">
        <is>
          <t>111-1661342-5105027</t>
        </is>
      </c>
      <c r="C6618" s="3" t="inlineStr">
        <is>
          <t>TuckerRocky</t>
        </is>
      </c>
    </row>
    <row collapsed="false" customFormat="false" customHeight="false" hidden="false" ht="12.1" outlineLevel="0" r="6619">
      <c r="A6619" s="3" t="s">
        <f>=HYPERLINK("https://mp39851918.megaplan.ua/deals/126477/card/","21534")</f>
      </c>
      <c r="B6619" s="3" t="inlineStr">
        <is>
          <t>111-1290555-8721854</t>
        </is>
      </c>
      <c r="C6619" s="3" t="inlineStr">
        <is>
          <t>RockyMountain</t>
        </is>
      </c>
    </row>
    <row collapsed="false" customFormat="false" customHeight="false" hidden="false" ht="12.1" outlineLevel="0" r="6620">
      <c r="A6620" s="3" t="s">
        <f>=HYPERLINK("https://mp39851918.megaplan.ua/deals/126479/card/","21535")</f>
      </c>
      <c r="B6620" s="3" t="inlineStr">
        <is>
          <t>113-0591451-2025869</t>
        </is>
      </c>
      <c r="C6620" s="3" t="inlineStr">
        <is>
          <t>RockyMountain</t>
        </is>
      </c>
    </row>
    <row collapsed="false" customFormat="false" customHeight="false" hidden="false" ht="12.1" outlineLevel="0" r="6621">
      <c r="A6621" s="3" t="s">
        <f>=HYPERLINK("https://mp39851918.megaplan.ua/deals/126490/card/","21536")</f>
      </c>
      <c r="B6621" s="3" t="inlineStr">
        <is>
          <t>113-2571177-8333837</t>
        </is>
      </c>
      <c r="C6621" s="3" t="inlineStr">
        <is>
          <t>RockyMountain</t>
        </is>
      </c>
    </row>
    <row collapsed="false" customFormat="false" customHeight="false" hidden="false" ht="12.1" outlineLevel="0" r="6622">
      <c r="A6622" s="3" t="s">
        <f>=HYPERLINK("https://mp39851918.megaplan.ua/deals/126502/card/","21537")</f>
      </c>
      <c r="B6622" s="3" t="inlineStr">
        <is>
          <t>113-4422803-3343443</t>
        </is>
      </c>
      <c r="C6622" s="3" t="inlineStr">
        <is>
          <t>Autodist</t>
        </is>
      </c>
    </row>
    <row collapsed="false" customFormat="false" customHeight="false" hidden="false" ht="12.1" outlineLevel="0" r="6623">
      <c r="A6623" s="3" t="s">
        <f>=HYPERLINK("https://mp39851918.megaplan.ua/deals/126507/card/","21538")</f>
      </c>
      <c r="B6623" s="3" t="inlineStr">
        <is>
          <t>113-3163089-3275419</t>
        </is>
      </c>
      <c r="C6623" s="3" t="inlineStr">
        <is>
          <t>RockyMountain</t>
        </is>
      </c>
    </row>
    <row collapsed="false" customFormat="false" customHeight="false" hidden="false" ht="12.1" outlineLevel="0" r="6624">
      <c r="A6624" s="3" t="s">
        <f>=HYPERLINK("https://mp39851918.megaplan.ua/deals/126512/card/","21539")</f>
      </c>
      <c r="B6624" s="3" t="inlineStr">
        <is>
          <t>113-7790623-1501834</t>
        </is>
      </c>
      <c r="C6624" s="3" t="inlineStr">
        <is>
          <t>RockyMountain</t>
        </is>
      </c>
    </row>
    <row collapsed="false" customFormat="false" customHeight="false" hidden="false" ht="12.1" outlineLevel="0" r="6625">
      <c r="A6625" s="3" t="s">
        <f>=HYPERLINK("https://mp39851918.megaplan.ua/deals/126519/card/","21540")</f>
      </c>
      <c r="B6625" s="3" t="inlineStr">
        <is>
          <t>114-5821699-6502656</t>
        </is>
      </c>
      <c r="C6625" s="3" t="inlineStr">
        <is>
          <t>RockyMountain</t>
        </is>
      </c>
    </row>
    <row collapsed="false" customFormat="false" customHeight="false" hidden="false" ht="12.1" outlineLevel="0" r="6626">
      <c r="A6626" s="3" t="s">
        <f>=HYPERLINK("https://mp39851918.megaplan.ua/deals/126535/card/","21541")</f>
      </c>
      <c r="B6626" s="3" t="inlineStr">
        <is>
          <t>114-6270631-0501014</t>
        </is>
      </c>
      <c r="C6626" s="3" t="inlineStr">
        <is>
          <t>Autodist</t>
        </is>
      </c>
    </row>
    <row collapsed="false" customFormat="false" customHeight="false" hidden="false" ht="12.1" outlineLevel="0" r="6627">
      <c r="A6627" s="3" t="s">
        <f>=HYPERLINK("https://mp39851918.megaplan.ua/deals/126536/card/","21542")</f>
      </c>
      <c r="B6627" s="3" t="inlineStr">
        <is>
          <t>111-2514201-5233834</t>
        </is>
      </c>
      <c r="C6627" s="3" t="inlineStr">
        <is>
          <t>RockyMountain</t>
        </is>
      </c>
    </row>
    <row collapsed="false" customFormat="false" customHeight="false" hidden="false" ht="12.1" outlineLevel="0" r="6628">
      <c r="A6628" s="3" t="s">
        <f>=HYPERLINK("https://mp39851918.megaplan.ua/deals/126540/card/","21543")</f>
      </c>
      <c r="B6628" s="3" t="inlineStr">
        <is>
          <t>112-7990745-1609804</t>
        </is>
      </c>
      <c r="C6628" s="3" t="inlineStr">
        <is>
          <t>Autodist</t>
        </is>
      </c>
    </row>
    <row collapsed="false" customFormat="false" customHeight="false" hidden="false" ht="12.1" outlineLevel="0" r="6629">
      <c r="A6629" s="3" t="s">
        <f>=HYPERLINK("https://mp39851918.megaplan.ua/deals/126564/card/","21547")</f>
      </c>
      <c r="B6629" s="3" t="inlineStr">
        <is>
          <t>112-6423529-0185025</t>
        </is>
      </c>
      <c r="C6629" s="3" t="inlineStr">
        <is>
          <t>TuckerRocky</t>
        </is>
      </c>
    </row>
    <row collapsed="false" customFormat="false" customHeight="false" hidden="false" ht="12.1" outlineLevel="0" r="6630">
      <c r="A6630" s="3" t="s">
        <f>=HYPERLINK("https://mp39851918.megaplan.ua/deals/126571/card/","21549")</f>
      </c>
      <c r="B6630" s="3" t="inlineStr">
        <is>
          <t>114-0684849-9334629</t>
        </is>
      </c>
      <c r="C6630" s="3" t="inlineStr">
        <is>
          <t>RockyMountain</t>
        </is>
      </c>
    </row>
    <row collapsed="false" customFormat="false" customHeight="false" hidden="false" ht="12.1" outlineLevel="0" r="6631">
      <c r="A6631" s="3" t="s">
        <f>=HYPERLINK("https://mp39851918.megaplan.ua/deals/126580/card/","21550")</f>
      </c>
      <c r="B6631" s="3" t="inlineStr">
        <is>
          <t>113-5655044-4935411</t>
        </is>
      </c>
      <c r="C6631" s="3" t="inlineStr">
        <is>
          <t>TuckerRocky</t>
        </is>
      </c>
    </row>
    <row collapsed="false" customFormat="false" customHeight="false" hidden="false" ht="12.1" outlineLevel="0" r="6632">
      <c r="A6632" s="3" t="s">
        <f>=HYPERLINK("https://mp39851918.megaplan.ua/deals/126581/card/","21551")</f>
      </c>
      <c r="B6632" s="3" t="inlineStr">
        <is>
          <t>113-7361269-0632200</t>
        </is>
      </c>
      <c r="C6632" s="3" t="inlineStr">
        <is>
          <t>RockyMountain</t>
        </is>
      </c>
    </row>
    <row collapsed="false" customFormat="false" customHeight="false" hidden="false" ht="12.1" outlineLevel="0" r="6633">
      <c r="A6633" s="3" t="s">
        <f>=HYPERLINK("https://mp39851918.megaplan.ua/deals/126599/card/","21553")</f>
      </c>
      <c r="B6633" s="3" t="inlineStr">
        <is>
          <t>111-7440611-4687421</t>
        </is>
      </c>
      <c r="C6633" s="3" t="inlineStr">
        <is>
          <t>TuckerRocky</t>
        </is>
      </c>
    </row>
    <row collapsed="false" customFormat="false" customHeight="false" hidden="false" ht="12.1" outlineLevel="0" r="6634">
      <c r="A6634" s="3" t="s">
        <f>=HYPERLINK("https://mp39851918.megaplan.ua/deals/126601/card/","21554")</f>
      </c>
      <c r="B6634" s="3" t="inlineStr">
        <is>
          <t>111-3343559-3348205</t>
        </is>
      </c>
      <c r="C6634" s="3" t="inlineStr">
        <is>
          <t>RockyMountain</t>
        </is>
      </c>
    </row>
    <row collapsed="false" customFormat="false" customHeight="false" hidden="false" ht="12.1" outlineLevel="0" r="6635">
      <c r="A6635" s="3" t="s">
        <f>=HYPERLINK("https://mp39851918.megaplan.ua/deals/126605/card/","21555")</f>
      </c>
      <c r="B6635" s="3" t="inlineStr">
        <is>
          <t>111-1427889-2932210</t>
        </is>
      </c>
      <c r="C6635" s="3" t="inlineStr">
        <is>
          <t>Autodist</t>
        </is>
      </c>
    </row>
    <row collapsed="false" customFormat="false" customHeight="false" hidden="false" ht="12.1" outlineLevel="0" r="6636">
      <c r="A6636" s="3" t="s">
        <f>=HYPERLINK("https://mp39851918.megaplan.ua/deals/126606/card/","21556")</f>
      </c>
      <c r="B6636" s="3" t="inlineStr">
        <is>
          <t>114-5942672-2266656</t>
        </is>
      </c>
      <c r="C6636" s="3" t="inlineStr">
        <is>
          <t>TuckerRocky</t>
        </is>
      </c>
    </row>
    <row collapsed="false" customFormat="false" customHeight="false" hidden="false" ht="12.1" outlineLevel="0" r="6637">
      <c r="A6637" s="3" t="s">
        <f>=HYPERLINK("https://mp39851918.megaplan.ua/deals/126607/card/","21557")</f>
      </c>
      <c r="B6637" s="3" t="inlineStr">
        <is>
          <t>113-4006412-4462665</t>
        </is>
      </c>
      <c r="C6637" s="3" t="inlineStr">
        <is>
          <t>TuckerRocky</t>
        </is>
      </c>
    </row>
    <row collapsed="false" customFormat="false" customHeight="false" hidden="false" ht="12.1" outlineLevel="0" r="6638">
      <c r="A6638" s="3" t="s">
        <f>=HYPERLINK("https://mp39851918.megaplan.ua/deals/126608/card/","21558")</f>
      </c>
      <c r="B6638" s="3" t="inlineStr">
        <is>
          <t>113-8036335-7040253</t>
        </is>
      </c>
      <c r="C6638" s="3" t="inlineStr">
        <is>
          <t>TuckerRocky</t>
        </is>
      </c>
    </row>
    <row collapsed="false" customFormat="false" customHeight="false" hidden="false" ht="12.1" outlineLevel="0" r="6639">
      <c r="A6639" s="3" t="s">
        <f>=HYPERLINK("https://mp39851918.megaplan.ua/deals/126609/card/","21559")</f>
      </c>
      <c r="B6639" s="3" t="inlineStr">
        <is>
          <t>113-1426783-2654634</t>
        </is>
      </c>
      <c r="C6639" s="3" t="inlineStr">
        <is>
          <t>TuckerRocky</t>
        </is>
      </c>
    </row>
    <row collapsed="false" customFormat="false" customHeight="false" hidden="false" ht="12.1" outlineLevel="0" r="6640">
      <c r="A6640" s="3" t="s">
        <f>=HYPERLINK("https://mp39851918.megaplan.ua/deals/126610/card/","21560")</f>
      </c>
      <c r="B6640" s="3" t="inlineStr">
        <is>
          <t>114-6169544-3908236</t>
        </is>
      </c>
      <c r="C6640" s="3" t="inlineStr">
        <is>
          <t>PartsUnlimited</t>
        </is>
      </c>
    </row>
    <row collapsed="false" customFormat="false" customHeight="false" hidden="false" ht="12.1" outlineLevel="0" r="6641">
      <c r="A6641" s="3" t="s">
        <f>=HYPERLINK("https://mp39851918.megaplan.ua/deals/126612/card/","21561")</f>
      </c>
      <c r="B6641" s="3" t="inlineStr">
        <is>
          <t>112-8372501-9484221</t>
        </is>
      </c>
      <c r="C6641" s="3" t="inlineStr">
        <is>
          <t>RockyMountain</t>
        </is>
      </c>
    </row>
    <row collapsed="false" customFormat="false" customHeight="false" hidden="false" ht="12.1" outlineLevel="0" r="6642">
      <c r="A6642" s="3" t="s">
        <f>=HYPERLINK("https://mp39851918.megaplan.ua/deals/126613/card/","21562")</f>
      </c>
      <c r="B6642" s="3" t="inlineStr">
        <is>
          <t>113-7334331-6555469</t>
        </is>
      </c>
      <c r="C6642" s="3" t="inlineStr">
        <is>
          <t>TuckerRocky</t>
        </is>
      </c>
    </row>
    <row collapsed="false" customFormat="false" customHeight="false" hidden="false" ht="12.1" outlineLevel="0" r="6643">
      <c r="A6643" s="3" t="s">
        <f>=HYPERLINK("https://mp39851918.megaplan.ua/deals/126615/card/","21563")</f>
      </c>
      <c r="B6643" s="3" t="inlineStr">
        <is>
          <t>114-2573279-5101835</t>
        </is>
      </c>
      <c r="C6643" s="3" t="inlineStr">
        <is>
          <t>TuckerRocky</t>
        </is>
      </c>
    </row>
    <row collapsed="false" customFormat="false" customHeight="false" hidden="false" ht="12.1" outlineLevel="0" r="6644">
      <c r="A6644" s="3" t="s">
        <f>=HYPERLINK("https://mp39851918.megaplan.ua/deals/126622/card/","21566")</f>
      </c>
      <c r="B6644" s="3" t="inlineStr">
        <is>
          <t>113-5262804-3869038</t>
        </is>
      </c>
      <c r="C6644" s="3" t="inlineStr">
        <is>
          <t>Autodist</t>
        </is>
      </c>
    </row>
    <row collapsed="false" customFormat="false" customHeight="false" hidden="false" ht="12.1" outlineLevel="0" r="6645">
      <c r="A6645" s="3" t="s">
        <f>=HYPERLINK("https://mp39851918.megaplan.ua/deals/126625/card/","21568")</f>
      </c>
      <c r="B6645" s="3" t="inlineStr">
        <is>
          <t>114-7433981-4859433</t>
        </is>
      </c>
      <c r="C6645" s="3" t="inlineStr">
        <is>
          <t>TuckerRocky</t>
        </is>
      </c>
    </row>
    <row collapsed="false" customFormat="false" customHeight="false" hidden="false" ht="12.1" outlineLevel="0" r="6646">
      <c r="A6646" s="3" t="s">
        <f>=HYPERLINK("https://mp39851918.megaplan.ua/deals/126626/card/","21569")</f>
      </c>
      <c r="B6646" s="3" t="inlineStr">
        <is>
          <t>112-1874909-8977068</t>
        </is>
      </c>
      <c r="C6646" s="3" t="inlineStr">
        <is>
          <t>RockyMountain</t>
        </is>
      </c>
    </row>
    <row collapsed="false" customFormat="false" customHeight="false" hidden="false" ht="12.1" outlineLevel="0" r="6647">
      <c r="A6647" s="3" t="s">
        <f>=HYPERLINK("https://mp39851918.megaplan.ua/deals/126631/card/","21571")</f>
      </c>
      <c r="B6647" s="3" t="inlineStr">
        <is>
          <t>112-3855677-6129048</t>
        </is>
      </c>
      <c r="C6647" s="3" t="inlineStr">
        <is>
          <t>PartsUnlimited</t>
        </is>
      </c>
    </row>
    <row collapsed="false" customFormat="false" customHeight="false" hidden="false" ht="12.1" outlineLevel="0" r="6648">
      <c r="A6648" s="3" t="s">
        <f>=HYPERLINK("https://mp39851918.megaplan.ua/deals/126635/card/","21574")</f>
      </c>
      <c r="B6648" s="3" t="inlineStr">
        <is>
          <t>111-1457734-6846648</t>
        </is>
      </c>
      <c r="C6648" s="3" t="inlineStr">
        <is>
          <t>TuckerRocky</t>
        </is>
      </c>
    </row>
    <row collapsed="false" customFormat="false" customHeight="false" hidden="false" ht="12.1" outlineLevel="0" r="6649">
      <c r="A6649" s="3" t="s">
        <f>=HYPERLINK("https://mp39851918.megaplan.ua/deals/126637/card/","21575")</f>
      </c>
      <c r="B6649" s="3" t="inlineStr">
        <is>
          <t>111-6234184-0734617</t>
        </is>
      </c>
      <c r="C6649" s="3" t="inlineStr">
        <is>
          <t>TuckerRocky</t>
        </is>
      </c>
    </row>
    <row collapsed="false" customFormat="false" customHeight="false" hidden="false" ht="12.1" outlineLevel="0" r="6650">
      <c r="A6650" s="3" t="s">
        <f>=HYPERLINK("https://mp39851918.megaplan.ua/deals/126638/card/","21576")</f>
      </c>
      <c r="B6650" s="3" t="inlineStr">
        <is>
          <t>111-2947177-5794637</t>
        </is>
      </c>
      <c r="C6650" s="3" t="inlineStr">
        <is>
          <t>Autodist</t>
        </is>
      </c>
    </row>
    <row collapsed="false" customFormat="false" customHeight="false" hidden="false" ht="12.1" outlineLevel="0" r="6651">
      <c r="A6651" s="3" t="s">
        <f>=HYPERLINK("https://mp39851918.megaplan.ua/deals/126639/card/","21577")</f>
      </c>
      <c r="B6651" s="3" t="inlineStr">
        <is>
          <t>112-6957409-0100215</t>
        </is>
      </c>
      <c r="C6651" s="3" t="inlineStr">
        <is>
          <t>TuckerRocky</t>
        </is>
      </c>
    </row>
    <row collapsed="false" customFormat="false" customHeight="false" hidden="false" ht="12.1" outlineLevel="0" r="6652">
      <c r="A6652" s="3" t="s">
        <f>=HYPERLINK("https://mp39851918.megaplan.ua/deals/126640/card/","21578")</f>
      </c>
      <c r="B6652" s="3" t="inlineStr">
        <is>
          <t>114-3159567-0806665</t>
        </is>
      </c>
      <c r="C6652" s="3" t="inlineStr">
        <is>
          <t>Autodist</t>
        </is>
      </c>
    </row>
    <row collapsed="false" customFormat="false" customHeight="false" hidden="false" ht="12.1" outlineLevel="0" r="6653">
      <c r="A6653" s="3" t="s">
        <f>=HYPERLINK("https://mp39851918.megaplan.ua/deals/126642/card/","21579")</f>
      </c>
      <c r="B6653" s="3" t="inlineStr">
        <is>
          <t>114-3193999-6012267</t>
        </is>
      </c>
      <c r="C6653" s="3" t="inlineStr">
        <is>
          <t>TuckerRocky</t>
        </is>
      </c>
    </row>
    <row collapsed="false" customFormat="false" customHeight="false" hidden="false" ht="12.1" outlineLevel="0" r="6654">
      <c r="A6654" s="3" t="s">
        <f>=HYPERLINK("https://mp39851918.megaplan.ua/deals/126643/card/","21580")</f>
      </c>
      <c r="B6654" s="3" t="inlineStr">
        <is>
          <t>111-1326022-9633018</t>
        </is>
      </c>
      <c r="C6654" s="3" t="inlineStr">
        <is>
          <t>TuckerRocky</t>
        </is>
      </c>
    </row>
    <row collapsed="false" customFormat="false" customHeight="false" hidden="false" ht="12.1" outlineLevel="0" r="6655">
      <c r="A6655" s="3" t="s">
        <f>=HYPERLINK("https://mp39851918.megaplan.ua/deals/126647/card/","21581")</f>
      </c>
      <c r="B6655" s="3" t="inlineStr">
        <is>
          <t>114-5506940-0503424</t>
        </is>
      </c>
      <c r="C6655" s="3" t="inlineStr">
        <is>
          <t>Autodist</t>
        </is>
      </c>
    </row>
    <row collapsed="false" customFormat="false" customHeight="false" hidden="false" ht="12.1" outlineLevel="0" r="6656">
      <c r="A6656" s="3" t="s">
        <f>=HYPERLINK("https://mp39851918.megaplan.ua/deals/126648/card/","21582")</f>
      </c>
      <c r="B6656" s="3" t="inlineStr">
        <is>
          <t>112-5356411-7731429</t>
        </is>
      </c>
      <c r="C6656" s="3" t="inlineStr">
        <is>
          <t>TuckerRocky</t>
        </is>
      </c>
    </row>
    <row collapsed="false" customFormat="false" customHeight="false" hidden="false" ht="12.1" outlineLevel="0" r="6657">
      <c r="A6657" s="3" t="s">
        <f>=HYPERLINK("https://mp39851918.megaplan.ua/deals/126649/card/","21583")</f>
      </c>
      <c r="B6657" s="3" t="inlineStr">
        <is>
          <t>112-8973806-0725821</t>
        </is>
      </c>
      <c r="C6657" s="3" t="inlineStr">
        <is>
          <t>TuckerRocky</t>
        </is>
      </c>
    </row>
    <row collapsed="false" customFormat="false" customHeight="false" hidden="false" ht="12.1" outlineLevel="0" r="6658">
      <c r="A6658" s="3" t="s">
        <f>=HYPERLINK("https://mp39851918.megaplan.ua/deals/126650/card/","21584")</f>
      </c>
      <c r="B6658" s="3" t="inlineStr">
        <is>
          <t>112-1639771-3331446</t>
        </is>
      </c>
      <c r="C6658" s="3" t="inlineStr">
        <is>
          <t>TuckerRocky</t>
        </is>
      </c>
    </row>
    <row collapsed="false" customFormat="false" customHeight="false" hidden="false" ht="12.1" outlineLevel="0" r="6659">
      <c r="A6659" s="3" t="s">
        <f>=HYPERLINK("https://mp39851918.megaplan.ua/deals/126655/card/","21585")</f>
      </c>
      <c r="B6659" s="3" t="inlineStr">
        <is>
          <t>114-9954140-3662663</t>
        </is>
      </c>
      <c r="C6659" s="3" t="inlineStr">
        <is>
          <t>TuckerRocky</t>
        </is>
      </c>
    </row>
    <row collapsed="false" customFormat="false" customHeight="false" hidden="false" ht="12.1" outlineLevel="0" r="6660">
      <c r="A6660" s="3" t="s">
        <f>=HYPERLINK("https://mp39851918.megaplan.ua/deals/126659/card/","21586")</f>
      </c>
      <c r="B6660" s="3" t="inlineStr">
        <is>
          <t>111-8217340-1769036</t>
        </is>
      </c>
      <c r="C6660" s="3" t="inlineStr">
        <is>
          <t>TuckerRocky</t>
        </is>
      </c>
    </row>
    <row collapsed="false" customFormat="false" customHeight="false" hidden="false" ht="12.1" outlineLevel="0" r="6661">
      <c r="A6661" s="3" t="s">
        <f>=HYPERLINK("https://mp39851918.megaplan.ua/deals/126662/card/","21587")</f>
      </c>
      <c r="B6661" s="3" t="inlineStr">
        <is>
          <t>111-3793806-7381035</t>
        </is>
      </c>
      <c r="C6661" s="3" t="inlineStr">
        <is>
          <t>RockyMountain</t>
        </is>
      </c>
    </row>
    <row collapsed="false" customFormat="false" customHeight="false" hidden="false" ht="12.1" outlineLevel="0" r="6662">
      <c r="A6662" s="3" t="s">
        <f>=HYPERLINK("https://mp39851918.megaplan.ua/deals/126663/card/","21588")</f>
      </c>
      <c r="B6662" s="3" t="inlineStr">
        <is>
          <t>113-3460469-7797805</t>
        </is>
      </c>
      <c r="C6662" s="3" t="inlineStr">
        <is>
          <t>Autodist</t>
        </is>
      </c>
    </row>
    <row collapsed="false" customFormat="false" customHeight="false" hidden="false" ht="12.1" outlineLevel="0" r="6663">
      <c r="A6663" s="3" t="s">
        <f>=HYPERLINK("https://mp39851918.megaplan.ua/deals/126664/card/","21589")</f>
      </c>
      <c r="B6663" s="3" t="inlineStr">
        <is>
          <t>113-3215042-4685823</t>
        </is>
      </c>
      <c r="C6663" s="3" t="inlineStr">
        <is>
          <t>Autodist</t>
        </is>
      </c>
    </row>
    <row collapsed="false" customFormat="false" customHeight="false" hidden="false" ht="12.1" outlineLevel="0" r="6664">
      <c r="A6664" s="3" t="s">
        <f>=HYPERLINK("https://mp39851918.megaplan.ua/deals/126667/card/","21590")</f>
      </c>
      <c r="B6664" s="3" t="inlineStr">
        <is>
          <t>112-7891995-9096228</t>
        </is>
      </c>
      <c r="C6664" s="3" t="inlineStr">
        <is>
          <t>PartsUnlimited</t>
        </is>
      </c>
    </row>
    <row collapsed="false" customFormat="false" customHeight="false" hidden="false" ht="12.1" outlineLevel="0" r="6665">
      <c r="A6665" s="3" t="s">
        <f>=HYPERLINK("https://mp39851918.megaplan.ua/deals/126668/card/","21591")</f>
      </c>
      <c r="B6665" s="3" t="inlineStr">
        <is>
          <t>113-1350123-4315430</t>
        </is>
      </c>
      <c r="C6665" s="3" t="inlineStr">
        <is>
          <t>TuckerRocky</t>
        </is>
      </c>
    </row>
    <row collapsed="false" customFormat="false" customHeight="false" hidden="false" ht="12.1" outlineLevel="0" r="6666">
      <c r="A6666" s="3" t="s">
        <f>=HYPERLINK("https://mp39851918.megaplan.ua/deals/126672/card/","21592")</f>
      </c>
      <c r="B6666" s="3" t="inlineStr">
        <is>
          <t>113-6255559-0909849</t>
        </is>
      </c>
      <c r="C6666" s="3" t="inlineStr">
        <is>
          <t>TuckerRocky</t>
        </is>
      </c>
    </row>
    <row collapsed="false" customFormat="false" customHeight="false" hidden="false" ht="12.1" outlineLevel="0" r="6667">
      <c r="A6667" s="3" t="s">
        <f>=HYPERLINK("https://mp39851918.megaplan.ua/deals/126673/card/","21593")</f>
      </c>
      <c r="B6667" s="3" t="inlineStr">
        <is>
          <t>112-7114714-1340219</t>
        </is>
      </c>
      <c r="C6667" s="3" t="inlineStr">
        <is>
          <t>PartsUnlimited</t>
        </is>
      </c>
    </row>
    <row collapsed="false" customFormat="false" customHeight="false" hidden="false" ht="12.1" outlineLevel="0" r="6668">
      <c r="A6668" s="3" t="s">
        <f>=HYPERLINK("https://mp39851918.megaplan.ua/deals/126674/card/","21594")</f>
      </c>
      <c r="B6668" s="3" t="inlineStr">
        <is>
          <t>111-3265679-6389816</t>
        </is>
      </c>
      <c r="C6668" s="3" t="inlineStr">
        <is>
          <t>TuckerRocky</t>
        </is>
      </c>
    </row>
    <row collapsed="false" customFormat="false" customHeight="false" hidden="false" ht="12.1" outlineLevel="0" r="6669">
      <c r="A6669" s="3" t="s">
        <f>=HYPERLINK("https://mp39851918.megaplan.ua/deals/126678/card/","21595")</f>
      </c>
      <c r="B6669" s="3" t="inlineStr">
        <is>
          <t>113-2114745-5786651</t>
        </is>
      </c>
      <c r="C6669" s="3" t="inlineStr">
        <is>
          <t>TuckerRocky</t>
        </is>
      </c>
    </row>
    <row collapsed="false" customFormat="false" customHeight="false" hidden="false" ht="12.1" outlineLevel="0" r="6670">
      <c r="A6670" s="3" t="s">
        <f>=HYPERLINK("https://mp39851918.megaplan.ua/deals/126681/card/","21596")</f>
      </c>
      <c r="B6670" s="3" t="inlineStr">
        <is>
          <t>113-3420398-2869805</t>
        </is>
      </c>
      <c r="C6670" s="3" t="inlineStr">
        <is>
          <t>RockyMountain</t>
        </is>
      </c>
    </row>
    <row collapsed="false" customFormat="false" customHeight="false" hidden="false" ht="12.1" outlineLevel="0" r="6671">
      <c r="A6671" s="3" t="s">
        <f>=HYPERLINK("https://mp39851918.megaplan.ua/deals/126683/card/","21597")</f>
      </c>
      <c r="B6671" s="3" t="inlineStr">
        <is>
          <t>112-2637755-1133052</t>
        </is>
      </c>
      <c r="C6671" s="3" t="inlineStr">
        <is>
          <t>TuckerRocky</t>
        </is>
      </c>
    </row>
    <row collapsed="false" customFormat="false" customHeight="false" hidden="false" ht="12.1" outlineLevel="0" r="6672">
      <c r="A6672" s="3" t="s">
        <f>=HYPERLINK("https://mp39851918.megaplan.ua/deals/126684/card/","21598")</f>
      </c>
      <c r="B6672" s="3" t="inlineStr">
        <is>
          <t>111-2141332-2114640</t>
        </is>
      </c>
      <c r="C6672" s="3" t="inlineStr">
        <is>
          <t>TuckerRocky</t>
        </is>
      </c>
    </row>
    <row collapsed="false" customFormat="false" customHeight="false" hidden="false" ht="12.1" outlineLevel="0" r="6673">
      <c r="A6673" s="3" t="s">
        <f>=HYPERLINK("https://mp39851918.megaplan.ua/deals/126685/card/","21599")</f>
      </c>
      <c r="B6673" s="3" t="inlineStr">
        <is>
          <t>113-2777661-6833867</t>
        </is>
      </c>
      <c r="C6673" s="3" t="inlineStr">
        <is>
          <t>PartsUnlimited</t>
        </is>
      </c>
    </row>
    <row collapsed="false" customFormat="false" customHeight="false" hidden="false" ht="12.1" outlineLevel="0" r="6674">
      <c r="A6674" s="3" t="s">
        <f>=HYPERLINK("https://mp39851918.megaplan.ua/deals/126689/card/","21600")</f>
      </c>
      <c r="B6674" s="3" t="inlineStr">
        <is>
          <t>112-4310300-6751469</t>
        </is>
      </c>
      <c r="C6674" s="3" t="inlineStr">
        <is>
          <t>TuckerRocky</t>
        </is>
      </c>
    </row>
    <row collapsed="false" customFormat="false" customHeight="false" hidden="false" ht="12.1" outlineLevel="0" r="6675">
      <c r="A6675" s="3" t="s">
        <f>=HYPERLINK("https://mp39851918.megaplan.ua/deals/126692/card/","21601")</f>
      </c>
      <c r="B6675" s="3" t="inlineStr">
        <is>
          <t>114-0546441-2331408</t>
        </is>
      </c>
      <c r="C6675" s="3" t="inlineStr">
        <is>
          <t>TuckerRocky</t>
        </is>
      </c>
    </row>
    <row collapsed="false" customFormat="false" customHeight="false" hidden="false" ht="12.1" outlineLevel="0" r="6676">
      <c r="A6676" s="3" t="s">
        <f>=HYPERLINK("https://mp39851918.megaplan.ua/deals/126696/card/","21602")</f>
      </c>
      <c r="B6676" s="3" t="inlineStr">
        <is>
          <t>113-2419069-4779450</t>
        </is>
      </c>
      <c r="C6676" s="3" t="inlineStr">
        <is>
          <t>RockyMountain</t>
        </is>
      </c>
    </row>
    <row collapsed="false" customFormat="false" customHeight="false" hidden="false" ht="12.1" outlineLevel="0" r="6677">
      <c r="A6677" s="3" t="s">
        <f>=HYPERLINK("https://mp39851918.megaplan.ua/deals/126703/card/","21603")</f>
      </c>
      <c r="B6677" s="3" t="inlineStr">
        <is>
          <t>113-1163470-2340236</t>
        </is>
      </c>
      <c r="C6677" s="3" t="inlineStr">
        <is>
          <t>RockyMountain</t>
        </is>
      </c>
    </row>
    <row collapsed="false" customFormat="false" customHeight="false" hidden="false" ht="12.1" outlineLevel="0" r="6678">
      <c r="A6678" s="3" t="s">
        <f>=HYPERLINK("https://mp39851918.megaplan.ua/deals/126704/card/","21604")</f>
      </c>
      <c r="B6678" s="3" t="inlineStr">
        <is>
          <t>114-8025980-6221063</t>
        </is>
      </c>
      <c r="C6678" s="3" t="inlineStr">
        <is>
          <t>PartsUnlimited</t>
        </is>
      </c>
    </row>
    <row collapsed="false" customFormat="false" customHeight="false" hidden="false" ht="12.1" outlineLevel="0" r="6679">
      <c r="A6679" s="3" t="s">
        <f>=HYPERLINK("https://mp39851918.megaplan.ua/deals/126705/card/","21605")</f>
      </c>
      <c r="B6679" s="3" t="inlineStr">
        <is>
          <t>111-0978344-8521865</t>
        </is>
      </c>
      <c r="C6679" s="3" t="inlineStr">
        <is>
          <t>Autodist</t>
        </is>
      </c>
    </row>
    <row collapsed="false" customFormat="false" customHeight="false" hidden="false" ht="12.1" outlineLevel="0" r="6680">
      <c r="A6680" s="3" t="s">
        <f>=HYPERLINK("https://mp39851918.megaplan.ua/deals/126719/card/","21606")</f>
      </c>
      <c r="B6680" s="3" t="inlineStr">
        <is>
          <t>111-6777230-2908257</t>
        </is>
      </c>
      <c r="C6680" s="3" t="inlineStr">
        <is>
          <t>RockyMountain</t>
        </is>
      </c>
    </row>
    <row collapsed="false" customFormat="false" customHeight="false" hidden="false" ht="12.1" outlineLevel="0" r="6681">
      <c r="A6681" s="3" t="s">
        <f>=HYPERLINK("https://mp39851918.megaplan.ua/deals/126720/card/","21607")</f>
      </c>
      <c r="B6681" s="3" t="inlineStr">
        <is>
          <t>113-9426966-1851453</t>
        </is>
      </c>
      <c r="C6681" s="3" t="inlineStr">
        <is>
          <t>Autodist</t>
        </is>
      </c>
    </row>
    <row collapsed="false" customFormat="false" customHeight="false" hidden="false" ht="12.1" outlineLevel="0" r="6682">
      <c r="A6682" s="3" t="s">
        <f>=HYPERLINK("https://mp39851918.megaplan.ua/deals/126721/card/","21608")</f>
      </c>
      <c r="B6682" s="3" t="inlineStr">
        <is>
          <t>111-4325584-8147460</t>
        </is>
      </c>
      <c r="C6682" s="3" t="inlineStr">
        <is>
          <t>Autodist</t>
        </is>
      </c>
    </row>
    <row collapsed="false" customFormat="false" customHeight="false" hidden="false" ht="12.1" outlineLevel="0" r="6683">
      <c r="A6683" s="3" t="s">
        <f>=HYPERLINK("https://mp39851918.megaplan.ua/deals/126722/card/","21609")</f>
      </c>
      <c r="B6683" s="3" t="inlineStr">
        <is>
          <t>113-3210830-4224205</t>
        </is>
      </c>
      <c r="C6683" s="3" t="inlineStr">
        <is>
          <t>Autodist</t>
        </is>
      </c>
    </row>
    <row collapsed="false" customFormat="false" customHeight="false" hidden="false" ht="12.1" outlineLevel="0" r="6684">
      <c r="A6684" s="3" t="s">
        <f>=HYPERLINK("https://mp39851918.megaplan.ua/deals/126723/card/","21610")</f>
      </c>
      <c r="B6684" s="3" t="inlineStr">
        <is>
          <t>114-5924144-6127433</t>
        </is>
      </c>
      <c r="C6684" s="3" t="inlineStr">
        <is>
          <t>RockyMountain</t>
        </is>
      </c>
    </row>
    <row collapsed="false" customFormat="false" customHeight="false" hidden="false" ht="12.1" outlineLevel="0" r="6685">
      <c r="A6685" s="3" t="s">
        <f>=HYPERLINK("https://mp39851918.megaplan.ua/deals/126749/card/","21612")</f>
      </c>
      <c r="B6685" s="3" t="inlineStr">
        <is>
          <t>111-9087595-6810633</t>
        </is>
      </c>
      <c r="C6685" s="3" t="inlineStr">
        <is>
          <t>Autodist</t>
        </is>
      </c>
    </row>
    <row collapsed="false" customFormat="false" customHeight="false" hidden="false" ht="12.1" outlineLevel="0" r="6686">
      <c r="A6686" s="3" t="s">
        <f>=HYPERLINK("https://mp39851918.megaplan.ua/deals/126767/card/","21613")</f>
      </c>
      <c r="B6686" s="3" t="inlineStr">
        <is>
          <t>114-3388567-5785017</t>
        </is>
      </c>
      <c r="C6686" s="3" t="inlineStr">
        <is>
          <t>Autodist</t>
        </is>
      </c>
    </row>
    <row collapsed="false" customFormat="false" customHeight="false" hidden="false" ht="12.1" outlineLevel="0" r="6687">
      <c r="A6687" s="3" t="s">
        <f>=HYPERLINK("https://mp39851918.megaplan.ua/deals/126768/card/","21614")</f>
      </c>
      <c r="B6687" s="3" t="inlineStr">
        <is>
          <t>113-7674656-8193018</t>
        </is>
      </c>
      <c r="C6687" s="3" t="inlineStr">
        <is>
          <t>Autodist</t>
        </is>
      </c>
    </row>
    <row collapsed="false" customFormat="false" customHeight="false" hidden="false" ht="12.1" outlineLevel="0" r="6688">
      <c r="A6688" s="3" t="s">
        <f>=HYPERLINK("https://mp39851918.megaplan.ua/deals/126773/card/","21615")</f>
      </c>
      <c r="B6688" s="3" t="inlineStr">
        <is>
          <t>114-0260208-0630646</t>
        </is>
      </c>
      <c r="C6688" s="3" t="inlineStr">
        <is>
          <t>PartsUnlimited</t>
        </is>
      </c>
    </row>
    <row collapsed="false" customFormat="false" customHeight="false" hidden="false" ht="12.1" outlineLevel="0" r="6689">
      <c r="A6689" s="3" t="s">
        <f>=HYPERLINK("https://mp39851918.megaplan.ua/deals/126777/card/","21616")</f>
      </c>
      <c r="B6689" s="3" t="inlineStr">
        <is>
          <t>112-0307811-8061873</t>
        </is>
      </c>
      <c r="C6689" s="3" t="inlineStr">
        <is>
          <t>TuckerRocky</t>
        </is>
      </c>
    </row>
    <row collapsed="false" customFormat="false" customHeight="false" hidden="false" ht="12.1" outlineLevel="0" r="6690">
      <c r="A6690" s="3" t="s">
        <f>=HYPERLINK("https://mp39851918.megaplan.ua/deals/126784/card/","21617")</f>
      </c>
      <c r="B6690" s="3" t="inlineStr">
        <is>
          <t>111-7049034-1738622</t>
        </is>
      </c>
      <c r="C6690" s="3" t="inlineStr">
        <is>
          <t>PartsUnlimited</t>
        </is>
      </c>
    </row>
    <row collapsed="false" customFormat="false" customHeight="false" hidden="false" ht="12.1" outlineLevel="0" r="6691">
      <c r="A6691" s="3" t="s">
        <f>=HYPERLINK("https://mp39851918.megaplan.ua/deals/126802/card/","21619")</f>
      </c>
      <c r="B6691" s="3" t="inlineStr">
        <is>
          <t>114-4680145-1961848</t>
        </is>
      </c>
      <c r="C6691" s="3" t="inlineStr">
        <is>
          <t>RockyMountain</t>
        </is>
      </c>
    </row>
    <row collapsed="false" customFormat="false" customHeight="false" hidden="false" ht="12.1" outlineLevel="0" r="6692">
      <c r="A6692" s="3" t="s">
        <f>=HYPERLINK("https://mp39851918.megaplan.ua/deals/126810/card/","21620")</f>
      </c>
      <c r="B6692" s="3" t="inlineStr">
        <is>
          <t>114-3475655-8194634</t>
        </is>
      </c>
      <c r="C6692" s="3" t="inlineStr">
        <is>
          <t>RockyMountain</t>
        </is>
      </c>
    </row>
    <row collapsed="false" customFormat="false" customHeight="false" hidden="false" ht="12.1" outlineLevel="0" r="6693">
      <c r="A6693" s="3" t="s">
        <f>=HYPERLINK("https://mp39851918.megaplan.ua/deals/126811/card/","21621")</f>
      </c>
      <c r="B6693" s="3" t="inlineStr">
        <is>
          <t>113-5036880-1153823</t>
        </is>
      </c>
      <c r="C6693" s="3" t="inlineStr">
        <is>
          <t>Autodist</t>
        </is>
      </c>
    </row>
    <row collapsed="false" customFormat="false" customHeight="false" hidden="false" ht="12.1" outlineLevel="0" r="6694">
      <c r="A6694" s="3" t="s">
        <f>=HYPERLINK("https://mp39851918.megaplan.ua/deals/126815/card/","21623")</f>
      </c>
      <c r="B6694" s="3" t="inlineStr">
        <is>
          <t>111-3404062-8108210</t>
        </is>
      </c>
      <c r="C6694" s="3" t="inlineStr">
        <is>
          <t>TuckerRocky</t>
        </is>
      </c>
    </row>
    <row collapsed="false" customFormat="false" customHeight="false" hidden="false" ht="12.1" outlineLevel="0" r="6695">
      <c r="A6695" s="3" t="s">
        <f>=HYPERLINK("https://mp39851918.megaplan.ua/deals/126816/card/","21624")</f>
      </c>
      <c r="B6695" s="3" t="inlineStr">
        <is>
          <t>112-8386983-7352222</t>
        </is>
      </c>
      <c r="C6695" s="3" t="inlineStr">
        <is>
          <t>PartsUnlimited</t>
        </is>
      </c>
    </row>
    <row collapsed="false" customFormat="false" customHeight="false" hidden="false" ht="12.1" outlineLevel="0" r="6696">
      <c r="A6696" s="3" t="s">
        <f>=HYPERLINK("https://mp39851918.megaplan.ua/deals/126824/card/","21625")</f>
      </c>
      <c r="B6696" s="3" t="inlineStr">
        <is>
          <t>112-7054554-0757847</t>
        </is>
      </c>
      <c r="C6696" s="3" t="inlineStr">
        <is>
          <t>Autodist</t>
        </is>
      </c>
    </row>
    <row collapsed="false" customFormat="false" customHeight="false" hidden="false" ht="12.1" outlineLevel="0" r="6697">
      <c r="A6697" s="3" t="s">
        <f>=HYPERLINK("https://mp39851918.megaplan.ua/deals/126839/card/","21627")</f>
      </c>
      <c r="B6697" s="3" t="inlineStr">
        <is>
          <t>112-6333199-5892246</t>
        </is>
      </c>
      <c r="C6697" s="3" t="inlineStr">
        <is>
          <t>PartsUnlimited</t>
        </is>
      </c>
    </row>
    <row collapsed="false" customFormat="false" customHeight="false" hidden="false" ht="12.1" outlineLevel="0" r="6698">
      <c r="A6698" s="3" t="s">
        <f>=HYPERLINK("https://mp39851918.megaplan.ua/deals/126850/card/","21630")</f>
      </c>
      <c r="B6698" s="3" t="inlineStr">
        <is>
          <t>111-8742054-7032224</t>
        </is>
      </c>
      <c r="C6698" s="3" t="inlineStr">
        <is>
          <t>Autodist</t>
        </is>
      </c>
    </row>
    <row collapsed="false" customFormat="false" customHeight="false" hidden="false" ht="12.1" outlineLevel="0" r="6699">
      <c r="A6699" s="3" t="s">
        <f>=HYPERLINK("https://mp39851918.megaplan.ua/deals/126863/card/","21631")</f>
      </c>
      <c r="B6699" s="3" t="inlineStr">
        <is>
          <t>113-9333542-0308229</t>
        </is>
      </c>
      <c r="C6699" s="3" t="inlineStr">
        <is>
          <t>TuckerRocky</t>
        </is>
      </c>
    </row>
    <row collapsed="false" customFormat="false" customHeight="false" hidden="false" ht="12.1" outlineLevel="0" r="6700">
      <c r="A6700" s="3" t="s">
        <f>=HYPERLINK("https://mp39851918.megaplan.ua/deals/126875/card/","21633")</f>
      </c>
      <c r="B6700" s="3" t="inlineStr">
        <is>
          <t>111-4275345-7220269</t>
        </is>
      </c>
      <c r="C6700" s="3" t="inlineStr">
        <is>
          <t>RockyMountain</t>
        </is>
      </c>
    </row>
    <row collapsed="false" customFormat="false" customHeight="false" hidden="false" ht="12.1" outlineLevel="0" r="6701">
      <c r="A6701" s="3" t="s">
        <f>=HYPERLINK("https://mp39851918.megaplan.ua/deals/126892/card/","21634")</f>
      </c>
      <c r="B6701" s="3" t="inlineStr">
        <is>
          <t>113-2511643-0277839</t>
        </is>
      </c>
      <c r="C6701" s="3" t="inlineStr">
        <is>
          <t>Autodist</t>
        </is>
      </c>
    </row>
    <row collapsed="false" customFormat="false" customHeight="false" hidden="false" ht="12.1" outlineLevel="0" r="6702">
      <c r="A6702" s="3" t="s">
        <f>=HYPERLINK("https://mp39851918.megaplan.ua/deals/126893/card/","21635")</f>
      </c>
      <c r="B6702" s="3" t="inlineStr">
        <is>
          <t>114-3546621-0141824</t>
        </is>
      </c>
      <c r="C6702" s="3" t="inlineStr">
        <is>
          <t>RockyMountain</t>
        </is>
      </c>
    </row>
    <row collapsed="false" customFormat="false" customHeight="false" hidden="false" ht="12.1" outlineLevel="0" r="6703">
      <c r="A6703" s="3" t="s">
        <f>=HYPERLINK("https://mp39851918.megaplan.ua/deals/126895/card/","21636")</f>
      </c>
      <c r="B6703" s="3" t="inlineStr">
        <is>
          <t>112-1068852-1601034</t>
        </is>
      </c>
      <c r="C6703" s="3" t="inlineStr">
        <is>
          <t>Autodist</t>
        </is>
      </c>
    </row>
    <row collapsed="false" customFormat="false" customHeight="false" hidden="false" ht="12.1" outlineLevel="0" r="6704">
      <c r="A6704" s="3" t="s">
        <f>=HYPERLINK("https://mp39851918.megaplan.ua/deals/126896/card/","21637")</f>
      </c>
      <c r="B6704" s="3" t="inlineStr">
        <is>
          <t>113-8907248-7500212</t>
        </is>
      </c>
      <c r="C6704" s="3" t="inlineStr">
        <is>
          <t>Autodist</t>
        </is>
      </c>
    </row>
    <row collapsed="false" customFormat="false" customHeight="false" hidden="false" ht="12.1" outlineLevel="0" r="6705">
      <c r="A6705" s="3" t="s">
        <f>=HYPERLINK("https://mp39851918.megaplan.ua/deals/126902/card/","21638")</f>
      </c>
      <c r="B6705" s="3" t="inlineStr">
        <is>
          <t>112-1387614-1789055</t>
        </is>
      </c>
      <c r="C6705" s="3" t="inlineStr">
        <is>
          <t>PartsUnlimited</t>
        </is>
      </c>
    </row>
    <row collapsed="false" customFormat="false" customHeight="false" hidden="false" ht="12.1" outlineLevel="0" r="6706">
      <c r="A6706" s="3" t="s">
        <f>=HYPERLINK("https://mp39851918.megaplan.ua/deals/126912/card/","21639")</f>
      </c>
      <c r="B6706" s="3" t="inlineStr">
        <is>
          <t>114-8367290-0425028</t>
        </is>
      </c>
      <c r="C6706" s="3" t="inlineStr">
        <is>
          <t>TuckerRocky</t>
        </is>
      </c>
    </row>
    <row collapsed="false" customFormat="false" customHeight="false" hidden="false" ht="12.1" outlineLevel="0" r="6707">
      <c r="A6707" s="3" t="s">
        <f>=HYPERLINK("https://mp39851918.megaplan.ua/deals/126917/card/","21641")</f>
      </c>
      <c r="B6707" s="3" t="inlineStr">
        <is>
          <t>111-0366707-1867457</t>
        </is>
      </c>
      <c r="C6707" s="3" t="inlineStr">
        <is>
          <t>TuckerRocky</t>
        </is>
      </c>
    </row>
    <row collapsed="false" customFormat="false" customHeight="false" hidden="false" ht="12.1" outlineLevel="0" r="6708">
      <c r="A6708" s="3" t="s">
        <f>=HYPERLINK("https://mp39851918.megaplan.ua/deals/126925/card/","21642")</f>
      </c>
      <c r="B6708" s="3" t="inlineStr">
        <is>
          <t>114-5932902-7529850</t>
        </is>
      </c>
      <c r="C6708" s="3" t="inlineStr">
        <is>
          <t>TuckerRocky</t>
        </is>
      </c>
    </row>
    <row collapsed="false" customFormat="false" customHeight="false" hidden="false" ht="12.1" outlineLevel="0" r="6709">
      <c r="A6709" s="3" t="s">
        <f>=HYPERLINK("https://mp39851918.megaplan.ua/deals/126930/card/","21645")</f>
      </c>
      <c r="B6709" s="3" t="inlineStr">
        <is>
          <t>111-5794788-9958651</t>
        </is>
      </c>
      <c r="C6709" s="3" t="inlineStr">
        <is>
          <t>Autodist</t>
        </is>
      </c>
    </row>
    <row collapsed="false" customFormat="false" customHeight="false" hidden="false" ht="12.1" outlineLevel="0" r="6710">
      <c r="A6710" s="3" t="s">
        <f>=HYPERLINK("https://mp39851918.megaplan.ua/deals/126937/card/","21646")</f>
      </c>
      <c r="B6710" s="3" t="inlineStr">
        <is>
          <t>111-7609292-5203413</t>
        </is>
      </c>
      <c r="C6710" s="3" t="inlineStr">
        <is>
          <t>PartsUnlimited</t>
        </is>
      </c>
    </row>
    <row collapsed="false" customFormat="false" customHeight="false" hidden="false" ht="12.1" outlineLevel="0" r="6711">
      <c r="A6711" s="3" t="s">
        <f>=HYPERLINK("https://mp39851918.megaplan.ua/deals/126938/card/","21647")</f>
      </c>
      <c r="B6711" s="3" t="inlineStr">
        <is>
          <t>114-0466848-9867405</t>
        </is>
      </c>
      <c r="C6711" s="3" t="inlineStr">
        <is>
          <t>Autodist</t>
        </is>
      </c>
    </row>
    <row collapsed="false" customFormat="false" customHeight="false" hidden="false" ht="12.1" outlineLevel="0" r="6712">
      <c r="A6712" s="3" t="s">
        <f>=HYPERLINK("https://mp39851918.megaplan.ua/deals/126948/card/","21648")</f>
      </c>
      <c r="B6712" s="3" t="inlineStr">
        <is>
          <t>112-2158145-2904263</t>
        </is>
      </c>
      <c r="C6712" s="3" t="inlineStr">
        <is>
          <t>RockyMountain</t>
        </is>
      </c>
    </row>
    <row collapsed="false" customFormat="false" customHeight="false" hidden="false" ht="12.1" outlineLevel="0" r="6713">
      <c r="A6713" s="3" t="s">
        <f>=HYPERLINK("https://mp39851918.megaplan.ua/deals/126949/card/","21649")</f>
      </c>
      <c r="B6713" s="3" t="inlineStr">
        <is>
          <t>113-5224081-6794607</t>
        </is>
      </c>
      <c r="C6713" s="3" t="inlineStr">
        <is>
          <t>Autodist</t>
        </is>
      </c>
    </row>
    <row collapsed="false" customFormat="false" customHeight="false" hidden="false" ht="12.1" outlineLevel="0" r="6714">
      <c r="A6714" s="3" t="s">
        <f>=HYPERLINK("https://mp39851918.megaplan.ua/deals/126952/card/","21650")</f>
      </c>
      <c r="B6714" s="3" t="inlineStr">
        <is>
          <t>114-5295256-0720222</t>
        </is>
      </c>
      <c r="C6714" s="3" t="inlineStr">
        <is>
          <t>RockyMountain</t>
        </is>
      </c>
    </row>
    <row collapsed="false" customFormat="false" customHeight="false" hidden="false" ht="12.1" outlineLevel="0" r="6715">
      <c r="A6715" s="3" t="s">
        <f>=HYPERLINK("https://mp39851918.megaplan.ua/deals/126959/card/","21652")</f>
      </c>
      <c r="B6715" s="3" t="inlineStr">
        <is>
          <t>114-3465061-5357844</t>
        </is>
      </c>
      <c r="C6715" s="3" t="inlineStr">
        <is>
          <t>Autodist</t>
        </is>
      </c>
    </row>
    <row collapsed="false" customFormat="false" customHeight="false" hidden="false" ht="12.1" outlineLevel="0" r="6716">
      <c r="A6716" s="3" t="s">
        <f>=HYPERLINK("https://mp39851918.megaplan.ua/deals/126960/card/","21653")</f>
      </c>
      <c r="B6716" s="3" t="inlineStr">
        <is>
          <t>112-6785101-1561830</t>
        </is>
      </c>
      <c r="C6716" s="3" t="inlineStr">
        <is>
          <t>RockyMountain</t>
        </is>
      </c>
    </row>
    <row collapsed="false" customFormat="false" customHeight="false" hidden="false" ht="12.1" outlineLevel="0" r="6717">
      <c r="A6717" s="3" t="s">
        <f>=HYPERLINK("https://mp39851918.megaplan.ua/deals/126966/card/","21655")</f>
      </c>
      <c r="B6717" s="3" t="inlineStr">
        <is>
          <t>112-5862333-0984257</t>
        </is>
      </c>
      <c r="C6717" s="3" t="inlineStr">
        <is>
          <t>RockyMountain</t>
        </is>
      </c>
    </row>
    <row collapsed="false" customFormat="false" customHeight="false" hidden="false" ht="12.1" outlineLevel="0" r="6718">
      <c r="A6718" s="3" t="s">
        <f>=HYPERLINK("https://mp39851918.megaplan.ua/deals/126971/card/","21656")</f>
      </c>
      <c r="B6718" s="3" t="inlineStr">
        <is>
          <t>113-1598402-2405858</t>
        </is>
      </c>
      <c r="C6718" s="3" t="inlineStr">
        <is>
          <t>Autodist</t>
        </is>
      </c>
    </row>
    <row collapsed="false" customFormat="false" customHeight="false" hidden="false" ht="12.1" outlineLevel="0" r="6719">
      <c r="A6719" s="3" t="s">
        <f>=HYPERLINK("https://mp39851918.megaplan.ua/deals/126976/card/","21657")</f>
      </c>
      <c r="B6719" s="3" t="inlineStr">
        <is>
          <t>114-9729233-8557813</t>
        </is>
      </c>
      <c r="C6719" s="3" t="inlineStr">
        <is>
          <t>Autodist</t>
        </is>
      </c>
    </row>
    <row collapsed="false" customFormat="false" customHeight="false" hidden="false" ht="12.1" outlineLevel="0" r="6720">
      <c r="A6720" s="3" t="s">
        <f>=HYPERLINK("https://mp39851918.megaplan.ua/deals/126980/card/","21658")</f>
      </c>
      <c r="B6720" s="3" t="inlineStr">
        <is>
          <t>112-2614050-8672201</t>
        </is>
      </c>
      <c r="C6720" s="3" t="inlineStr">
        <is>
          <t>TuckerRocky</t>
        </is>
      </c>
    </row>
    <row collapsed="false" customFormat="false" customHeight="false" hidden="false" ht="12.1" outlineLevel="0" r="6721">
      <c r="A6721" s="3" t="s">
        <f>=HYPERLINK("https://mp39851918.megaplan.ua/deals/126981/card/","21659")</f>
      </c>
      <c r="B6721" s="3" t="inlineStr">
        <is>
          <t>112-7241059-8122625</t>
        </is>
      </c>
      <c r="C6721" s="3" t="inlineStr">
        <is>
          <t>RockyMountain</t>
        </is>
      </c>
    </row>
    <row collapsed="false" customFormat="false" customHeight="false" hidden="false" ht="12.1" outlineLevel="0" r="6722">
      <c r="A6722" s="3" t="s">
        <f>=HYPERLINK("https://mp39851918.megaplan.ua/deals/126987/card/","21660")</f>
      </c>
      <c r="B6722" s="3" t="inlineStr">
        <is>
          <t>113-3603420-5304212</t>
        </is>
      </c>
      <c r="C6722" s="3" t="inlineStr">
        <is>
          <t>Autodist</t>
        </is>
      </c>
    </row>
    <row collapsed="false" customFormat="false" customHeight="false" hidden="false" ht="12.1" outlineLevel="0" r="6723">
      <c r="A6723" s="3" t="s">
        <f>=HYPERLINK("https://mp39851918.megaplan.ua/deals/126988/card/","21661")</f>
      </c>
      <c r="B6723" s="3" t="inlineStr">
        <is>
          <t>112-9497203-1953819</t>
        </is>
      </c>
      <c r="C6723" s="3" t="inlineStr">
        <is>
          <t>TuckerRocky</t>
        </is>
      </c>
    </row>
    <row collapsed="false" customFormat="false" customHeight="false" hidden="false" ht="12.1" outlineLevel="0" r="6724">
      <c r="A6724" s="3" t="s">
        <f>=HYPERLINK("https://mp39851918.megaplan.ua/deals/126995/card/","21662")</f>
      </c>
      <c r="B6724" s="3" t="inlineStr">
        <is>
          <t>111-8247593-9556205</t>
        </is>
      </c>
      <c r="C6724" s="3" t="inlineStr">
        <is>
          <t>TuckerRocky</t>
        </is>
      </c>
    </row>
    <row collapsed="false" customFormat="false" customHeight="false" hidden="false" ht="12.1" outlineLevel="0" r="6725">
      <c r="A6725" s="3" t="s">
        <f>=HYPERLINK("https://mp39851918.megaplan.ua/deals/127007/card/","21663")</f>
      </c>
      <c r="B6725" s="3" t="inlineStr">
        <is>
          <t>111-8181212-5877807</t>
        </is>
      </c>
      <c r="C6725" s="3" t="inlineStr">
        <is>
          <t>RockyMountain</t>
        </is>
      </c>
    </row>
    <row collapsed="false" customFormat="false" customHeight="false" hidden="false" ht="12.1" outlineLevel="0" r="6726">
      <c r="A6726" s="3" t="s">
        <f>=HYPERLINK("https://mp39851918.megaplan.ua/deals/127008/card/","21664")</f>
      </c>
      <c r="B6726" s="3" t="inlineStr">
        <is>
          <t>113-2985066-0790637</t>
        </is>
      </c>
      <c r="C6726" s="3" t="inlineStr">
        <is>
          <t>Autodist</t>
        </is>
      </c>
    </row>
    <row collapsed="false" customFormat="false" customHeight="false" hidden="false" ht="12.1" outlineLevel="0" r="6727">
      <c r="A6727" s="3" t="s">
        <f>=HYPERLINK("https://mp39851918.megaplan.ua/deals/127019/card/","21666")</f>
      </c>
      <c r="B6727" s="3" t="inlineStr">
        <is>
          <t>113-9288293-2825869</t>
        </is>
      </c>
      <c r="C6727" s="3" t="inlineStr">
        <is>
          <t>PartsUnlimited</t>
        </is>
      </c>
    </row>
    <row collapsed="false" customFormat="false" customHeight="false" hidden="false" ht="12.1" outlineLevel="0" r="6728">
      <c r="A6728" s="3" t="s">
        <f>=HYPERLINK("https://mp39851918.megaplan.ua/deals/127040/card/","21668")</f>
      </c>
      <c r="B6728" s="3" t="inlineStr">
        <is>
          <t>113-1885270-6600222</t>
        </is>
      </c>
      <c r="C6728" s="3" t="inlineStr">
        <is>
          <t>TuckerRocky</t>
        </is>
      </c>
    </row>
    <row collapsed="false" customFormat="false" customHeight="false" hidden="false" ht="12.1" outlineLevel="0" r="6729">
      <c r="A6729" s="3" t="s">
        <f>=HYPERLINK("https://mp39851918.megaplan.ua/deals/127046/card/","21669")</f>
      </c>
      <c r="B6729" s="3" t="inlineStr">
        <is>
          <t>111-8495013-9879469</t>
        </is>
      </c>
      <c r="C6729" s="3" t="inlineStr">
        <is>
          <t>TuckerRocky</t>
        </is>
      </c>
    </row>
    <row collapsed="false" customFormat="false" customHeight="false" hidden="false" ht="12.1" outlineLevel="0" r="6730">
      <c r="A6730" s="3" t="s">
        <f>=HYPERLINK("https://mp39851918.megaplan.ua/deals/127047/card/","21670")</f>
      </c>
      <c r="B6730" s="3" t="inlineStr">
        <is>
          <t>114-6916090-7801020</t>
        </is>
      </c>
      <c r="C6730" s="3" t="inlineStr">
        <is>
          <t>TuckerRocky</t>
        </is>
      </c>
    </row>
    <row collapsed="false" customFormat="false" customHeight="false" hidden="false" ht="12.1" outlineLevel="0" r="6731">
      <c r="A6731" s="3" t="s">
        <f>=HYPERLINK("https://mp39851918.megaplan.ua/deals/127048/card/","21671")</f>
      </c>
      <c r="B6731" s="3" t="inlineStr">
        <is>
          <t>111-0037172-7205852</t>
        </is>
      </c>
      <c r="C6731" s="3" t="inlineStr">
        <is>
          <t>TuckerRocky</t>
        </is>
      </c>
    </row>
    <row collapsed="false" customFormat="false" customHeight="false" hidden="false" ht="12.1" outlineLevel="0" r="6732">
      <c r="A6732" s="3" t="s">
        <f>=HYPERLINK("https://mp39851918.megaplan.ua/deals/127060/card/","21672")</f>
      </c>
      <c r="B6732" s="3" t="inlineStr">
        <is>
          <t>113-3352143-1781861</t>
        </is>
      </c>
      <c r="C6732" s="3" t="inlineStr">
        <is>
          <t>RockyMountain</t>
        </is>
      </c>
    </row>
    <row collapsed="false" customFormat="false" customHeight="false" hidden="false" ht="12.1" outlineLevel="0" r="6733">
      <c r="A6733" s="3" t="s">
        <f>=HYPERLINK("https://mp39851918.megaplan.ua/deals/127062/card/","21674")</f>
      </c>
      <c r="B6733" s="3" t="inlineStr">
        <is>
          <t>111-3088348-3764259</t>
        </is>
      </c>
      <c r="C6733" s="3" t="inlineStr">
        <is>
          <t>TuckerRocky</t>
        </is>
      </c>
    </row>
    <row collapsed="false" customFormat="false" customHeight="false" hidden="false" ht="12.1" outlineLevel="0" r="6734">
      <c r="A6734" s="3" t="s">
        <f>=HYPERLINK("https://mp39851918.megaplan.ua/deals/127070/card/","21675")</f>
      </c>
      <c r="B6734" s="3" t="inlineStr">
        <is>
          <t>112-7415921-8347440</t>
        </is>
      </c>
      <c r="C6734" s="3" t="inlineStr">
        <is>
          <t>TuckerRocky</t>
        </is>
      </c>
    </row>
    <row collapsed="false" customFormat="false" customHeight="false" hidden="false" ht="12.1" outlineLevel="0" r="6735">
      <c r="A6735" s="3" t="s">
        <f>=HYPERLINK("https://mp39851918.megaplan.ua/deals/127071/card/","21676")</f>
      </c>
      <c r="B6735" s="3" t="inlineStr">
        <is>
          <t>113-5005260-6729825</t>
        </is>
      </c>
      <c r="C6735" s="3" t="inlineStr">
        <is>
          <t>TuckerRocky</t>
        </is>
      </c>
    </row>
    <row collapsed="false" customFormat="false" customHeight="false" hidden="false" ht="12.1" outlineLevel="0" r="6736">
      <c r="A6736" s="3" t="s">
        <f>=HYPERLINK("https://mp39851918.megaplan.ua/deals/127073/card/","21677")</f>
      </c>
      <c r="B6736" s="3" t="inlineStr">
        <is>
          <t>112-6657054-4980215</t>
        </is>
      </c>
      <c r="C6736" s="3" t="inlineStr">
        <is>
          <t>PartsUnlimited</t>
        </is>
      </c>
    </row>
    <row collapsed="false" customFormat="false" customHeight="false" hidden="false" ht="12.1" outlineLevel="0" r="6737">
      <c r="A6737" s="3" t="s">
        <f>=HYPERLINK("https://mp39851918.megaplan.ua/deals/127074/card/","21678")</f>
      </c>
      <c r="B6737" s="3" t="inlineStr">
        <is>
          <t>114-8093796-4788202</t>
        </is>
      </c>
      <c r="C6737" s="3" t="inlineStr">
        <is>
          <t>RockyMountain</t>
        </is>
      </c>
    </row>
    <row collapsed="false" customFormat="false" customHeight="false" hidden="false" ht="12.1" outlineLevel="0" r="6738">
      <c r="A6738" s="3" t="s">
        <f>=HYPERLINK("https://mp39851918.megaplan.ua/deals/127082/card/","21679")</f>
      </c>
      <c r="B6738" s="3" t="inlineStr">
        <is>
          <t>114-6146866-2865048</t>
        </is>
      </c>
      <c r="C6738" s="3" t="inlineStr">
        <is>
          <t>TuckerRocky</t>
        </is>
      </c>
    </row>
    <row collapsed="false" customFormat="false" customHeight="false" hidden="false" ht="12.1" outlineLevel="0" r="6739">
      <c r="A6739" s="3" t="s">
        <f>=HYPERLINK("https://mp39851918.megaplan.ua/deals/127092/card/","21681")</f>
      </c>
      <c r="B6739" s="3" t="inlineStr">
        <is>
          <t>113-7607522-0396207</t>
        </is>
      </c>
      <c r="C6739" s="3" t="inlineStr">
        <is>
          <t>PartsUnlimited</t>
        </is>
      </c>
    </row>
    <row collapsed="false" customFormat="false" customHeight="false" hidden="false" ht="12.1" outlineLevel="0" r="6740">
      <c r="A6740" s="3" t="s">
        <f>=HYPERLINK("https://mp39851918.megaplan.ua/deals/127095/card/","21682")</f>
      </c>
      <c r="B6740" s="3" t="inlineStr">
        <is>
          <t>112-0168032-0617007</t>
        </is>
      </c>
      <c r="C6740" s="3" t="inlineStr">
        <is>
          <t>RockyMountain</t>
        </is>
      </c>
    </row>
    <row collapsed="false" customFormat="false" customHeight="false" hidden="false" ht="12.1" outlineLevel="0" r="6741">
      <c r="A6741" s="3" t="s">
        <f>=HYPERLINK("https://mp39851918.megaplan.ua/deals/127102/card/","21683")</f>
      </c>
      <c r="B6741" s="3" t="inlineStr">
        <is>
          <t>113-5953468-7847416</t>
        </is>
      </c>
      <c r="C6741" s="3" t="inlineStr">
        <is>
          <t>TuckerRocky</t>
        </is>
      </c>
    </row>
    <row collapsed="false" customFormat="false" customHeight="false" hidden="false" ht="12.1" outlineLevel="0" r="6742">
      <c r="A6742" s="3" t="s">
        <f>=HYPERLINK("https://mp39851918.megaplan.ua/deals/127114/card/","21684")</f>
      </c>
      <c r="B6742" s="3" t="inlineStr">
        <is>
          <t>111-1358981-2575414</t>
        </is>
      </c>
      <c r="C6742" s="3" t="inlineStr">
        <is>
          <t>TuckerRocky</t>
        </is>
      </c>
    </row>
    <row collapsed="false" customFormat="false" customHeight="false" hidden="false" ht="12.1" outlineLevel="0" r="6743">
      <c r="A6743" s="3" t="s">
        <f>=HYPERLINK("https://mp39851918.megaplan.ua/deals/127123/card/","21685")</f>
      </c>
      <c r="B6743" s="3" t="inlineStr">
        <is>
          <t>113-9559162-0542615</t>
        </is>
      </c>
      <c r="C6743" s="3" t="inlineStr">
        <is>
          <t>TuckerRocky</t>
        </is>
      </c>
    </row>
    <row collapsed="false" customFormat="false" customHeight="false" hidden="false" ht="12.1" outlineLevel="0" r="6744">
      <c r="A6744" s="3" t="s">
        <f>=HYPERLINK("https://mp39851918.megaplan.ua/deals/127124/card/","21686")</f>
      </c>
      <c r="B6744" s="3" t="inlineStr">
        <is>
          <t>111-1705832-1300263</t>
        </is>
      </c>
      <c r="C6744" s="3" t="inlineStr">
        <is>
          <t>Autodist</t>
        </is>
      </c>
    </row>
    <row collapsed="false" customFormat="false" customHeight="false" hidden="false" ht="12.1" outlineLevel="0" r="6745">
      <c r="A6745" s="3" t="s">
        <f>=HYPERLINK("https://mp39851918.megaplan.ua/deals/127129/card/","21687")</f>
      </c>
      <c r="B6745" s="3" t="inlineStr">
        <is>
          <t>112-6032669-9016240</t>
        </is>
      </c>
      <c r="C6745" s="3" t="inlineStr">
        <is>
          <t>Autodist</t>
        </is>
      </c>
    </row>
    <row collapsed="false" customFormat="false" customHeight="false" hidden="false" ht="12.1" outlineLevel="0" r="6746">
      <c r="A6746" s="3" t="s">
        <f>=HYPERLINK("https://mp39851918.megaplan.ua/deals/127131/card/","21688")</f>
      </c>
      <c r="B6746" s="3" t="inlineStr">
        <is>
          <t>112-7725566-4304216</t>
        </is>
      </c>
      <c r="C6746" s="3" t="inlineStr">
        <is>
          <t>TuckerRocky</t>
        </is>
      </c>
    </row>
    <row collapsed="false" customFormat="false" customHeight="false" hidden="false" ht="12.1" outlineLevel="0" r="6747">
      <c r="A6747" s="3" t="s">
        <f>=HYPERLINK("https://mp39851918.megaplan.ua/deals/127132/card/","21689")</f>
      </c>
      <c r="B6747" s="3" t="inlineStr">
        <is>
          <t>114-1637414-7133860</t>
        </is>
      </c>
      <c r="C6747" s="3" t="inlineStr">
        <is>
          <t>TuckerRocky</t>
        </is>
      </c>
    </row>
    <row collapsed="false" customFormat="false" customHeight="false" hidden="false" ht="12.1" outlineLevel="0" r="6748">
      <c r="A6748" s="3" t="s">
        <f>=HYPERLINK("https://mp39851918.megaplan.ua/deals/127135/card/","21690")</f>
      </c>
      <c r="B6748" s="3" t="inlineStr">
        <is>
          <t>112-2407765-8335442</t>
        </is>
      </c>
      <c r="C6748" s="3" t="inlineStr">
        <is>
          <t>TuckerRocky</t>
        </is>
      </c>
    </row>
    <row collapsed="false" customFormat="false" customHeight="false" hidden="false" ht="12.1" outlineLevel="0" r="6749">
      <c r="A6749" s="3" t="s">
        <f>=HYPERLINK("https://mp39851918.megaplan.ua/deals/127137/card/","21691")</f>
      </c>
      <c r="B6749" s="3" t="inlineStr">
        <is>
          <t>112-3563455-2040206</t>
        </is>
      </c>
      <c r="C6749" s="3" t="inlineStr">
        <is>
          <t>TuckerRocky</t>
        </is>
      </c>
    </row>
    <row collapsed="false" customFormat="false" customHeight="false" hidden="false" ht="12.1" outlineLevel="0" r="6750">
      <c r="A6750" s="3" t="s">
        <f>=HYPERLINK("https://mp39851918.megaplan.ua/deals/127139/card/","21692")</f>
      </c>
      <c r="B6750" s="3" t="inlineStr">
        <is>
          <t>114-4932361-9603406</t>
        </is>
      </c>
      <c r="C6750" s="3" t="inlineStr">
        <is>
          <t>Autodist</t>
        </is>
      </c>
    </row>
    <row collapsed="false" customFormat="false" customHeight="false" hidden="false" ht="12.1" outlineLevel="0" r="6751">
      <c r="A6751" s="3" t="s">
        <f>=HYPERLINK("https://mp39851918.megaplan.ua/deals/127147/card/","21693")</f>
      </c>
      <c r="B6751" s="3" t="inlineStr">
        <is>
          <t>112-9556041-2706640</t>
        </is>
      </c>
      <c r="C6751" s="3" t="inlineStr">
        <is>
          <t>TuckerRocky</t>
        </is>
      </c>
    </row>
    <row collapsed="false" customFormat="false" customHeight="false" hidden="false" ht="12.1" outlineLevel="0" r="6752">
      <c r="A6752" s="3" t="s">
        <f>=HYPERLINK("https://mp39851918.megaplan.ua/deals/127148/card/","21694")</f>
      </c>
      <c r="B6752" s="3" t="inlineStr">
        <is>
          <t>113-6864802-8964256</t>
        </is>
      </c>
      <c r="C6752" s="3" t="inlineStr">
        <is>
          <t>Autodist</t>
        </is>
      </c>
    </row>
    <row collapsed="false" customFormat="false" customHeight="false" hidden="false" ht="12.1" outlineLevel="0" r="6753">
      <c r="A6753" s="3" t="s">
        <f>=HYPERLINK("https://mp39851918.megaplan.ua/deals/127156/card/","21697")</f>
      </c>
      <c r="B6753" s="3" t="inlineStr">
        <is>
          <t>112-9150597-6613038</t>
        </is>
      </c>
      <c r="C6753" s="3" t="inlineStr">
        <is>
          <t>RockyMountain</t>
        </is>
      </c>
    </row>
    <row collapsed="false" customFormat="false" customHeight="false" hidden="false" ht="12.1" outlineLevel="0" r="6754">
      <c r="A6754" s="3" t="s">
        <f>=HYPERLINK("https://mp39851918.megaplan.ua/deals/127157/card/","21698")</f>
      </c>
      <c r="B6754" s="3" t="inlineStr">
        <is>
          <t>111-0589498-7338605</t>
        </is>
      </c>
      <c r="C6754" s="3" t="inlineStr">
        <is>
          <t>TuckerRocky</t>
        </is>
      </c>
    </row>
    <row collapsed="false" customFormat="false" customHeight="false" hidden="false" ht="12.1" outlineLevel="0" r="6755">
      <c r="A6755" s="3" t="s">
        <f>=HYPERLINK("https://mp39851918.megaplan.ua/deals/127158/card/","21699")</f>
      </c>
      <c r="B6755" s="3" t="inlineStr">
        <is>
          <t>113-9376012-3658622</t>
        </is>
      </c>
      <c r="C6755" s="3" t="inlineStr">
        <is>
          <t>RockyMountain</t>
        </is>
      </c>
    </row>
    <row collapsed="false" customFormat="false" customHeight="false" hidden="false" ht="12.1" outlineLevel="0" r="6756">
      <c r="A6756" s="3" t="s">
        <f>=HYPERLINK("https://mp39851918.megaplan.ua/deals/127168/card/","21701")</f>
      </c>
      <c r="B6756" s="3" t="inlineStr">
        <is>
          <t>112-7257158-9630633</t>
        </is>
      </c>
      <c r="C6756" s="3" t="inlineStr">
        <is>
          <t>PartsUnlimited</t>
        </is>
      </c>
    </row>
    <row collapsed="false" customFormat="false" customHeight="false" hidden="false" ht="12.1" outlineLevel="0" r="6757">
      <c r="A6757" s="3" t="s">
        <f>=HYPERLINK("https://mp39851918.megaplan.ua/deals/127170/card/","21702")</f>
      </c>
      <c r="B6757" s="3" t="inlineStr">
        <is>
          <t>111-5240813-9991427</t>
        </is>
      </c>
      <c r="C6757" s="3" t="inlineStr">
        <is>
          <t>PartsUnlimited</t>
        </is>
      </c>
    </row>
    <row collapsed="false" customFormat="false" customHeight="false" hidden="false" ht="12.1" outlineLevel="0" r="6758">
      <c r="A6758" s="3" t="s">
        <f>=HYPERLINK("https://mp39851918.megaplan.ua/deals/127173/card/","21703")</f>
      </c>
      <c r="B6758" s="3" t="inlineStr">
        <is>
          <t>112-5017114-3759461</t>
        </is>
      </c>
      <c r="C6758" s="3" t="inlineStr">
        <is>
          <t>TuckerRocky</t>
        </is>
      </c>
    </row>
    <row collapsed="false" customFormat="false" customHeight="false" hidden="false" ht="12.1" outlineLevel="0" r="6759">
      <c r="A6759" s="3" t="s">
        <f>=HYPERLINK("https://mp39851918.megaplan.ua/deals/127175/card/","21704")</f>
      </c>
      <c r="B6759" s="3" t="inlineStr">
        <is>
          <t>114-0815100-7493023</t>
        </is>
      </c>
      <c r="C6759" s="3" t="inlineStr">
        <is>
          <t>PartsUnlimited</t>
        </is>
      </c>
    </row>
    <row collapsed="false" customFormat="false" customHeight="false" hidden="false" ht="12.1" outlineLevel="0" r="6760">
      <c r="A6760" s="3" t="s">
        <f>=HYPERLINK("https://mp39851918.megaplan.ua/deals/127176/card/","21705")</f>
      </c>
      <c r="B6760" s="3" t="inlineStr">
        <is>
          <t>111-7282778-3260269</t>
        </is>
      </c>
      <c r="C6760" s="3" t="inlineStr">
        <is>
          <t>TuckerRocky</t>
        </is>
      </c>
    </row>
    <row collapsed="false" customFormat="false" customHeight="false" hidden="false" ht="12.1" outlineLevel="0" r="6761">
      <c r="A6761" s="3" t="s">
        <f>=HYPERLINK("https://mp39851918.megaplan.ua/deals/127177/card/","21706")</f>
      </c>
      <c r="B6761" s="3" t="inlineStr">
        <is>
          <t>113-7795914-6349819</t>
        </is>
      </c>
      <c r="C6761" s="3" t="inlineStr">
        <is>
          <t>TuckerRocky</t>
        </is>
      </c>
    </row>
    <row collapsed="false" customFormat="false" customHeight="false" hidden="false" ht="12.1" outlineLevel="0" r="6762">
      <c r="A6762" s="3" t="s">
        <f>=HYPERLINK("https://mp39851918.megaplan.ua/deals/127179/card/","21707")</f>
      </c>
      <c r="B6762" s="3" t="inlineStr">
        <is>
          <t>111-7020901-1217043</t>
        </is>
      </c>
      <c r="C6762" s="3" t="inlineStr">
        <is>
          <t>RockyMountain</t>
        </is>
      </c>
    </row>
    <row collapsed="false" customFormat="false" customHeight="false" hidden="false" ht="12.1" outlineLevel="0" r="6763">
      <c r="A6763" s="3" t="s">
        <f>=HYPERLINK("https://mp39851918.megaplan.ua/deals/127184/card/","21708")</f>
      </c>
      <c r="B6763" s="3" t="inlineStr">
        <is>
          <t>112-2097826-9065847</t>
        </is>
      </c>
      <c r="C6763" s="3" t="inlineStr">
        <is>
          <t>Autodist</t>
        </is>
      </c>
    </row>
    <row collapsed="false" customFormat="false" customHeight="false" hidden="false" ht="12.1" outlineLevel="0" r="6764">
      <c r="A6764" s="3" t="s">
        <f>=HYPERLINK("https://mp39851918.megaplan.ua/deals/127189/card/","21709")</f>
      </c>
      <c r="B6764" s="3" t="inlineStr">
        <is>
          <t>112-8894921-2315462</t>
        </is>
      </c>
      <c r="C6764" s="3" t="inlineStr">
        <is>
          <t>RockyMountain</t>
        </is>
      </c>
    </row>
    <row collapsed="false" customFormat="false" customHeight="false" hidden="false" ht="12.1" outlineLevel="0" r="6765">
      <c r="A6765" s="3" t="s">
        <f>=HYPERLINK("https://mp39851918.megaplan.ua/deals/127194/card/","21710")</f>
      </c>
      <c r="B6765" s="3" t="inlineStr">
        <is>
          <t>113-4682940-7934642</t>
        </is>
      </c>
      <c r="C6765" s="3" t="inlineStr">
        <is>
          <t>TuckerRocky</t>
        </is>
      </c>
    </row>
    <row collapsed="false" customFormat="false" customHeight="false" hidden="false" ht="12.1" outlineLevel="0" r="6766">
      <c r="A6766" s="3" t="s">
        <f>=HYPERLINK("https://mp39851918.megaplan.ua/deals/127216/card/","21711")</f>
      </c>
      <c r="B6766" s="3" t="inlineStr">
        <is>
          <t>113-6922540-4409012</t>
        </is>
      </c>
      <c r="C6766" s="3" t="inlineStr">
        <is>
          <t>RockyMountain</t>
        </is>
      </c>
    </row>
    <row collapsed="false" customFormat="false" customHeight="false" hidden="false" ht="12.1" outlineLevel="0" r="6767">
      <c r="A6767" s="3" t="s">
        <f>=HYPERLINK("https://mp39851918.megaplan.ua/deals/127241/card/","21712")</f>
      </c>
      <c r="B6767" s="3" t="inlineStr">
        <is>
          <t>111-5817208-8033830</t>
        </is>
      </c>
      <c r="C6767" s="3" t="inlineStr">
        <is>
          <t>RockyMountain</t>
        </is>
      </c>
    </row>
    <row collapsed="false" customFormat="false" customHeight="false" hidden="false" ht="12.1" outlineLevel="0" r="6768">
      <c r="A6768" s="3" t="s">
        <f>=HYPERLINK("https://mp39851918.megaplan.ua/deals/127254/card/","21713")</f>
      </c>
      <c r="B6768" s="3" t="inlineStr">
        <is>
          <t>113-6360408-3390630</t>
        </is>
      </c>
      <c r="C6768" s="3" t="inlineStr">
        <is>
          <t>RockyMountain</t>
        </is>
      </c>
    </row>
    <row collapsed="false" customFormat="false" customHeight="false" hidden="false" ht="12.1" outlineLevel="0" r="6769">
      <c r="A6769" s="3" t="s">
        <f>=HYPERLINK("https://mp39851918.megaplan.ua/deals/127272/card/","21714")</f>
      </c>
      <c r="B6769" s="3" t="inlineStr">
        <is>
          <t>113-1471615-2816223</t>
        </is>
      </c>
      <c r="C6769" s="3" t="inlineStr">
        <is>
          <t>RockyMountain</t>
        </is>
      </c>
    </row>
    <row collapsed="false" customFormat="false" customHeight="false" hidden="false" ht="12.1" outlineLevel="0" r="6770">
      <c r="A6770" s="3" t="s">
        <f>=HYPERLINK("https://mp39851918.megaplan.ua/deals/127279/card/","21715")</f>
      </c>
      <c r="B6770" s="3" t="inlineStr">
        <is>
          <t>113-5750305-3582606</t>
        </is>
      </c>
      <c r="C6770" s="3" t="inlineStr">
        <is>
          <t>RockyMountain</t>
        </is>
      </c>
    </row>
    <row collapsed="false" customFormat="false" customHeight="false" hidden="false" ht="12.1" outlineLevel="0" r="6771">
      <c r="A6771" s="3" t="s">
        <f>=HYPERLINK("https://mp39851918.megaplan.ua/deals/127281/card/","21716")</f>
      </c>
      <c r="B6771" s="3" t="inlineStr">
        <is>
          <t>111-4277392-2482602</t>
        </is>
      </c>
      <c r="C6771" s="3" t="inlineStr">
        <is>
          <t>TuckerRocky</t>
        </is>
      </c>
    </row>
    <row collapsed="false" customFormat="false" customHeight="false" hidden="false" ht="12.1" outlineLevel="0" r="6772">
      <c r="A6772" s="3" t="s">
        <f>=HYPERLINK("https://mp39851918.megaplan.ua/deals/127293/card/","21719")</f>
      </c>
      <c r="B6772" s="3" t="inlineStr">
        <is>
          <t>114-6485968-6470660</t>
        </is>
      </c>
      <c r="C6772" s="3" t="inlineStr">
        <is>
          <t>TuckerRocky</t>
        </is>
      </c>
    </row>
    <row collapsed="false" customFormat="false" customHeight="false" hidden="false" ht="12.1" outlineLevel="0" r="6773">
      <c r="A6773" s="3" t="s">
        <f>=HYPERLINK("https://mp39851918.megaplan.ua/deals/127306/card/","21720")</f>
      </c>
      <c r="B6773" s="3" t="inlineStr">
        <is>
          <t>113-3346995-6269806</t>
        </is>
      </c>
      <c r="C6773" s="3" t="inlineStr">
        <is>
          <t>Autodist</t>
        </is>
      </c>
    </row>
    <row collapsed="false" customFormat="false" customHeight="false" hidden="false" ht="12.1" outlineLevel="0" r="6774">
      <c r="A6774" s="3" t="s">
        <f>=HYPERLINK("https://mp39851918.megaplan.ua/deals/127307/card/","21721")</f>
      </c>
      <c r="B6774" s="3" t="inlineStr">
        <is>
          <t>114-5936693-3425046</t>
        </is>
      </c>
      <c r="C6774" s="3" t="inlineStr">
        <is>
          <t>TuckerRocky</t>
        </is>
      </c>
    </row>
    <row collapsed="false" customFormat="false" customHeight="false" hidden="false" ht="12.1" outlineLevel="0" r="6775">
      <c r="A6775" s="3" t="s">
        <f>=HYPERLINK("https://mp39851918.megaplan.ua/deals/127322/card/","21723")</f>
      </c>
      <c r="B6775" s="3" t="inlineStr">
        <is>
          <t>114-6314144-6191423</t>
        </is>
      </c>
      <c r="C6775" s="3" t="inlineStr">
        <is>
          <t>RockyMountain</t>
        </is>
      </c>
    </row>
    <row collapsed="false" customFormat="false" customHeight="false" hidden="false" ht="12.1" outlineLevel="0" r="6776">
      <c r="A6776" s="3" t="s">
        <f>=HYPERLINK("https://mp39851918.megaplan.ua/deals/127323/card/","21724")</f>
      </c>
      <c r="B6776" s="3" t="inlineStr">
        <is>
          <t>111-3851760-0687425</t>
        </is>
      </c>
      <c r="C6776" s="3" t="inlineStr">
        <is>
          <t>Autodist</t>
        </is>
      </c>
    </row>
    <row collapsed="false" customFormat="false" customHeight="false" hidden="false" ht="12.1" outlineLevel="0" r="6777">
      <c r="A6777" s="3" t="s">
        <f>=HYPERLINK("https://mp39851918.megaplan.ua/deals/127329/card/","21725")</f>
      </c>
      <c r="B6777" s="3" t="inlineStr">
        <is>
          <t>113-9065321-4619429</t>
        </is>
      </c>
      <c r="C6777" s="3" t="inlineStr">
        <is>
          <t>PartsUnlimited</t>
        </is>
      </c>
    </row>
    <row collapsed="false" customFormat="false" customHeight="false" hidden="false" ht="12.1" outlineLevel="0" r="6778">
      <c r="A6778" s="3" t="s">
        <f>=HYPERLINK("https://mp39851918.megaplan.ua/deals/127330/card/","21726")</f>
      </c>
      <c r="B6778" s="3" t="inlineStr">
        <is>
          <t>114-9932778-8593863</t>
        </is>
      </c>
      <c r="C6778" s="3" t="inlineStr">
        <is>
          <t>Autodist</t>
        </is>
      </c>
    </row>
    <row collapsed="false" customFormat="false" customHeight="false" hidden="false" ht="12.1" outlineLevel="0" r="6779">
      <c r="A6779" s="3" t="s">
        <f>=HYPERLINK("https://mp39851918.megaplan.ua/deals/127349/card/","21728")</f>
      </c>
      <c r="B6779" s="3" t="inlineStr">
        <is>
          <t>113-8423850-0129824</t>
        </is>
      </c>
      <c r="C6779" s="3" t="inlineStr">
        <is>
          <t>RockyMountain</t>
        </is>
      </c>
    </row>
    <row collapsed="false" customFormat="false" customHeight="false" hidden="false" ht="12.1" outlineLevel="0" r="6780">
      <c r="A6780" s="3" t="s">
        <f>=HYPERLINK("https://mp39851918.megaplan.ua/deals/127350/card/","21729")</f>
      </c>
      <c r="B6780" s="3" t="inlineStr">
        <is>
          <t>114-6306296-2896203</t>
        </is>
      </c>
      <c r="C6780" s="3" t="inlineStr">
        <is>
          <t>Autodist</t>
        </is>
      </c>
    </row>
    <row collapsed="false" customFormat="false" customHeight="false" hidden="false" ht="12.1" outlineLevel="0" r="6781">
      <c r="A6781" s="3" t="s">
        <f>=HYPERLINK("https://mp39851918.megaplan.ua/deals/127355/card/","21730")</f>
      </c>
      <c r="B6781" s="3" t="inlineStr">
        <is>
          <t>112-9127305-9983450</t>
        </is>
      </c>
      <c r="C6781" s="3" t="inlineStr">
        <is>
          <t>RockyMountain</t>
        </is>
      </c>
    </row>
    <row collapsed="false" customFormat="false" customHeight="false" hidden="false" ht="12.1" outlineLevel="0" r="6782">
      <c r="A6782" s="3" t="s">
        <f>=HYPERLINK("https://mp39851918.megaplan.ua/deals/127356/card/","21731")</f>
      </c>
      <c r="B6782" s="3" t="inlineStr">
        <is>
          <t>112-5026718-9247428</t>
        </is>
      </c>
      <c r="C6782" s="3" t="inlineStr">
        <is>
          <t>TuckerRocky</t>
        </is>
      </c>
    </row>
    <row collapsed="false" customFormat="false" customHeight="false" hidden="false" ht="12.1" outlineLevel="0" r="6783">
      <c r="A6783" s="3" t="s">
        <f>=HYPERLINK("https://mp39851918.megaplan.ua/deals/127357/card/","21732")</f>
      </c>
      <c r="B6783" s="3" t="inlineStr">
        <is>
          <t>113-5593661-1377054</t>
        </is>
      </c>
      <c r="C6783" s="3" t="inlineStr">
        <is>
          <t>TuckerRocky</t>
        </is>
      </c>
    </row>
    <row collapsed="false" customFormat="false" customHeight="false" hidden="false" ht="12.1" outlineLevel="0" r="6784">
      <c r="A6784" s="3" t="s">
        <f>=HYPERLINK("https://mp39851918.megaplan.ua/deals/127365/card/","21733")</f>
      </c>
      <c r="B6784" s="3" t="inlineStr">
        <is>
          <t>113-4818699-0836241</t>
        </is>
      </c>
      <c r="C6784" s="3" t="inlineStr">
        <is>
          <t>RockyMountain</t>
        </is>
      </c>
    </row>
    <row collapsed="false" customFormat="false" customHeight="false" hidden="false" ht="12.1" outlineLevel="0" r="6785">
      <c r="A6785" s="3" t="s">
        <f>=HYPERLINK("https://mp39851918.megaplan.ua/deals/127386/card/","21734")</f>
      </c>
      <c r="B6785" s="3" t="inlineStr">
        <is>
          <t>111-2139815-3332206</t>
        </is>
      </c>
      <c r="C6785" s="3" t="inlineStr">
        <is>
          <t>Autodist</t>
        </is>
      </c>
    </row>
    <row collapsed="false" customFormat="false" customHeight="false" hidden="false" ht="12.1" outlineLevel="0" r="6786">
      <c r="A6786" s="3" t="s">
        <f>=HYPERLINK("https://mp39851918.megaplan.ua/deals/127395/card/","21735")</f>
      </c>
      <c r="B6786" s="3" t="inlineStr">
        <is>
          <t>111-8059077-6267404</t>
        </is>
      </c>
      <c r="C6786" s="3" t="inlineStr">
        <is>
          <t>RockyMountain</t>
        </is>
      </c>
    </row>
    <row collapsed="false" customFormat="false" customHeight="false" hidden="false" ht="12.1" outlineLevel="0" r="6787">
      <c r="A6787" s="3" t="s">
        <f>=HYPERLINK("https://mp39851918.megaplan.ua/deals/127399/card/","21736")</f>
      </c>
      <c r="B6787" s="3" t="inlineStr">
        <is>
          <t>114-8045178-1971420</t>
        </is>
      </c>
      <c r="C6787" s="3" t="inlineStr">
        <is>
          <t>RockyMountain</t>
        </is>
      </c>
    </row>
    <row collapsed="false" customFormat="false" customHeight="false" hidden="false" ht="12.1" outlineLevel="0" r="6788">
      <c r="A6788" s="3" t="s">
        <f>=HYPERLINK("https://mp39851918.megaplan.ua/deals/127408/card/","21737")</f>
      </c>
      <c r="B6788" s="3" t="inlineStr">
        <is>
          <t>111-0153294-8974644</t>
        </is>
      </c>
      <c r="C6788" s="3" t="inlineStr">
        <is>
          <t>PartsUnlimited</t>
        </is>
      </c>
    </row>
    <row collapsed="false" customFormat="false" customHeight="false" hidden="false" ht="12.1" outlineLevel="0" r="6789">
      <c r="A6789" s="3" t="s">
        <f>=HYPERLINK("https://mp39851918.megaplan.ua/deals/127409/card/","21738")</f>
      </c>
      <c r="B6789" s="3" t="inlineStr">
        <is>
          <t>114-5583811-4165858</t>
        </is>
      </c>
      <c r="C6789" s="3" t="inlineStr">
        <is>
          <t>PartsUnlimited</t>
        </is>
      </c>
    </row>
    <row collapsed="false" customFormat="false" customHeight="false" hidden="false" ht="12.1" outlineLevel="0" r="6790">
      <c r="A6790" s="3" t="s">
        <f>=HYPERLINK("https://mp39851918.megaplan.ua/deals/127422/card/","21739")</f>
      </c>
      <c r="B6790" s="3" t="inlineStr">
        <is>
          <t>112-8855691-1373803</t>
        </is>
      </c>
      <c r="C6790" s="3" t="inlineStr">
        <is>
          <t>Autodist</t>
        </is>
      </c>
    </row>
    <row collapsed="false" customFormat="false" customHeight="false" hidden="false" ht="12.1" outlineLevel="0" r="6791">
      <c r="A6791" s="3" t="s">
        <f>=HYPERLINK("https://mp39851918.megaplan.ua/deals/127434/card/","21740")</f>
      </c>
      <c r="B6791" s="3" t="inlineStr">
        <is>
          <t>112-0014823-4025021</t>
        </is>
      </c>
      <c r="C6791" s="3" t="inlineStr">
        <is>
          <t>RockyMountain</t>
        </is>
      </c>
    </row>
    <row collapsed="false" customFormat="false" customHeight="false" hidden="false" ht="12.1" outlineLevel="0" r="6792">
      <c r="A6792" s="3" t="s">
        <f>=HYPERLINK("https://mp39851918.megaplan.ua/deals/127435/card/","21741")</f>
      </c>
      <c r="B6792" s="3" t="inlineStr">
        <is>
          <t>113-4330093-8490633</t>
        </is>
      </c>
      <c r="C6792" s="3" t="inlineStr">
        <is>
          <t>RockyMountain</t>
        </is>
      </c>
    </row>
    <row collapsed="false" customFormat="false" customHeight="false" hidden="false" ht="12.1" outlineLevel="0" r="6793">
      <c r="A6793" s="3" t="s">
        <f>=HYPERLINK("https://mp39851918.megaplan.ua/deals/127445/card/","21742")</f>
      </c>
      <c r="B6793" s="3" t="inlineStr">
        <is>
          <t>111-7880341-6600269</t>
        </is>
      </c>
      <c r="C6793" s="3" t="inlineStr">
        <is>
          <t>TuckerRocky</t>
        </is>
      </c>
    </row>
    <row collapsed="false" customFormat="false" customHeight="false" hidden="false" ht="12.1" outlineLevel="0" r="6794">
      <c r="A6794" s="3" t="s">
        <f>=HYPERLINK("https://mp39851918.megaplan.ua/deals/127446/card/","21743")</f>
      </c>
      <c r="B6794" s="3" t="inlineStr">
        <is>
          <t>113-4973780-2125009</t>
        </is>
      </c>
      <c r="C6794" s="3" t="inlineStr">
        <is>
          <t>RockyMountain</t>
        </is>
      </c>
    </row>
    <row collapsed="false" customFormat="false" customHeight="false" hidden="false" ht="12.1" outlineLevel="0" r="6795">
      <c r="A6795" s="3" t="s">
        <f>=HYPERLINK("https://mp39851918.megaplan.ua/deals/127453/card/","21744")</f>
      </c>
      <c r="B6795" s="3" t="inlineStr">
        <is>
          <t>112-4350184-0851461</t>
        </is>
      </c>
      <c r="C6795" s="3" t="inlineStr">
        <is>
          <t>TuckerRocky</t>
        </is>
      </c>
    </row>
    <row collapsed="false" customFormat="false" customHeight="false" hidden="false" ht="12.1" outlineLevel="0" r="6796">
      <c r="A6796" s="3" t="s">
        <f>=HYPERLINK("https://mp39851918.megaplan.ua/deals/127458/card/","21745")</f>
      </c>
      <c r="B6796" s="3" t="inlineStr">
        <is>
          <t>112-4320064-6095451</t>
        </is>
      </c>
      <c r="C6796" s="3" t="inlineStr">
        <is>
          <t>RockyMountain</t>
        </is>
      </c>
    </row>
    <row collapsed="false" customFormat="false" customHeight="false" hidden="false" ht="12.1" outlineLevel="0" r="6797">
      <c r="A6797" s="3" t="s">
        <f>=HYPERLINK("https://mp39851918.megaplan.ua/deals/127459/card/","21746")</f>
      </c>
      <c r="B6797" s="3" t="inlineStr">
        <is>
          <t>114-1220519-2352208</t>
        </is>
      </c>
      <c r="C6797" s="3" t="inlineStr">
        <is>
          <t>Autodist</t>
        </is>
      </c>
    </row>
    <row collapsed="false" customFormat="false" customHeight="false" hidden="false" ht="12.1" outlineLevel="0" r="6798">
      <c r="A6798" s="3" t="s">
        <f>=HYPERLINK("https://mp39851918.megaplan.ua/deals/127460/card/","21747")</f>
      </c>
      <c r="B6798" s="3" t="inlineStr">
        <is>
          <t>111-9283788-7055451</t>
        </is>
      </c>
      <c r="C6798" s="3" t="inlineStr">
        <is>
          <t>RockyMountain</t>
        </is>
      </c>
    </row>
    <row collapsed="false" customFormat="false" customHeight="false" hidden="false" ht="12.1" outlineLevel="0" r="6799">
      <c r="A6799" s="3" t="s">
        <f>=HYPERLINK("https://mp39851918.megaplan.ua/deals/127461/card/","21748")</f>
      </c>
      <c r="B6799" s="3" t="inlineStr">
        <is>
          <t>112-8187658-4234600</t>
        </is>
      </c>
      <c r="C6799" s="3" t="inlineStr">
        <is>
          <t>RockyMountain</t>
        </is>
      </c>
    </row>
    <row collapsed="false" customFormat="false" customHeight="false" hidden="false" ht="12.1" outlineLevel="0" r="6800">
      <c r="A6800" s="3" t="s">
        <f>=HYPERLINK("https://mp39851918.megaplan.ua/deals/127463/card/","21749")</f>
      </c>
      <c r="B6800" s="3" t="inlineStr">
        <is>
          <t>114-3061218-4085027</t>
        </is>
      </c>
      <c r="C6800" s="3" t="inlineStr">
        <is>
          <t>PartsUnlimited</t>
        </is>
      </c>
    </row>
    <row collapsed="false" customFormat="false" customHeight="false" hidden="false" ht="12.1" outlineLevel="0" r="6801">
      <c r="A6801" s="3" t="s">
        <f>=HYPERLINK("https://mp39851918.megaplan.ua/deals/127470/card/","21750")</f>
      </c>
      <c r="B6801" s="3" t="inlineStr">
        <is>
          <t>111-4500027-5816234</t>
        </is>
      </c>
      <c r="C6801" s="3" t="inlineStr">
        <is>
          <t>Autodist</t>
        </is>
      </c>
    </row>
    <row collapsed="false" customFormat="false" customHeight="false" hidden="false" ht="12.1" outlineLevel="0" r="6802">
      <c r="A6802" s="3" t="s">
        <f>=HYPERLINK("https://mp39851918.megaplan.ua/deals/127471/card/","21751")</f>
      </c>
      <c r="B6802" s="3" t="inlineStr">
        <is>
          <t>113-0259880-1255431</t>
        </is>
      </c>
      <c r="C6802" s="3" t="inlineStr">
        <is>
          <t>Autodist</t>
        </is>
      </c>
    </row>
    <row collapsed="false" customFormat="false" customHeight="false" hidden="false" ht="12.1" outlineLevel="0" r="6803">
      <c r="A6803" s="3" t="s">
        <f>=HYPERLINK("https://mp39851918.megaplan.ua/deals/127481/card/","21752")</f>
      </c>
      <c r="B6803" s="3" t="inlineStr">
        <is>
          <t>113-2185777-8989049</t>
        </is>
      </c>
      <c r="C6803" s="3" t="inlineStr">
        <is>
          <t>TuckerRocky</t>
        </is>
      </c>
    </row>
    <row collapsed="false" customFormat="false" customHeight="false" hidden="false" ht="12.1" outlineLevel="0" r="6804">
      <c r="A6804" s="3" t="s">
        <f>=HYPERLINK("https://mp39851918.megaplan.ua/deals/127485/card/","21753")</f>
      </c>
      <c r="B6804" s="3" t="inlineStr">
        <is>
          <t>112-6423527-5705010</t>
        </is>
      </c>
      <c r="C6804" s="3" t="inlineStr">
        <is>
          <t>TuckerRocky</t>
        </is>
      </c>
    </row>
    <row collapsed="false" customFormat="false" customHeight="false" hidden="false" ht="12.1" outlineLevel="0" r="6805">
      <c r="A6805" s="3" t="s">
        <f>=HYPERLINK("https://mp39851918.megaplan.ua/deals/127486/card/","21754")</f>
      </c>
      <c r="B6805" s="3" t="inlineStr">
        <is>
          <t>113-8720004-4873021</t>
        </is>
      </c>
      <c r="C6805" s="3" t="inlineStr">
        <is>
          <t>TuckerRocky</t>
        </is>
      </c>
    </row>
    <row collapsed="false" customFormat="false" customHeight="false" hidden="false" ht="12.1" outlineLevel="0" r="6806">
      <c r="A6806" s="3" t="s">
        <f>=HYPERLINK("https://mp39851918.megaplan.ua/deals/127505/card/","21756")</f>
      </c>
      <c r="B6806" s="3" t="inlineStr">
        <is>
          <t>113-5208165-3769831</t>
        </is>
      </c>
      <c r="C6806" s="3" t="inlineStr">
        <is>
          <t>Autodist</t>
        </is>
      </c>
    </row>
    <row collapsed="false" customFormat="false" customHeight="false" hidden="false" ht="12.1" outlineLevel="0" r="6807">
      <c r="A6807" s="3" t="s">
        <f>=HYPERLINK("https://mp39851918.megaplan.ua/deals/127513/card/","21757")</f>
      </c>
      <c r="B6807" s="3" t="inlineStr">
        <is>
          <t>112-5030244-5893008</t>
        </is>
      </c>
      <c r="C6807" s="3" t="inlineStr">
        <is>
          <t>RockyMountain</t>
        </is>
      </c>
    </row>
    <row collapsed="false" customFormat="false" customHeight="false" hidden="false" ht="12.1" outlineLevel="0" r="6808">
      <c r="A6808" s="3" t="s">
        <f>=HYPERLINK("https://mp39851918.megaplan.ua/deals/127524/card/","21759")</f>
      </c>
      <c r="B6808" s="3" t="inlineStr">
        <is>
          <t>114-6729899-6861809</t>
        </is>
      </c>
      <c r="C6808" s="3" t="inlineStr">
        <is>
          <t>PartsUnlimited</t>
        </is>
      </c>
    </row>
    <row collapsed="false" customFormat="false" customHeight="false" hidden="false" ht="12.1" outlineLevel="0" r="6809">
      <c r="A6809" s="3" t="s">
        <f>=HYPERLINK("https://mp39851918.megaplan.ua/deals/127531/card/","21760")</f>
      </c>
      <c r="B6809" s="3" t="inlineStr">
        <is>
          <t>113-2567071-0054641</t>
        </is>
      </c>
      <c r="C6809" s="3" t="inlineStr">
        <is>
          <t>TuckerRocky</t>
        </is>
      </c>
    </row>
    <row collapsed="false" customFormat="false" customHeight="false" hidden="false" ht="12.1" outlineLevel="0" r="6810">
      <c r="A6810" s="3" t="s">
        <f>=HYPERLINK("https://mp39851918.megaplan.ua/deals/127532/card/","21761")</f>
      </c>
      <c r="B6810" s="3" t="inlineStr">
        <is>
          <t>113-2972895-5197848</t>
        </is>
      </c>
      <c r="C6810" s="3" t="inlineStr">
        <is>
          <t>TuckerRocky</t>
        </is>
      </c>
    </row>
    <row collapsed="false" customFormat="false" customHeight="false" hidden="false" ht="12.1" outlineLevel="0" r="6811">
      <c r="A6811" s="3" t="s">
        <f>=HYPERLINK("https://mp39851918.megaplan.ua/deals/127533/card/","21762")</f>
      </c>
      <c r="B6811" s="3" t="inlineStr">
        <is>
          <t>114-9761562-0666617</t>
        </is>
      </c>
      <c r="C6811" s="3" t="inlineStr">
        <is>
          <t>TuckerRocky</t>
        </is>
      </c>
    </row>
    <row collapsed="false" customFormat="false" customHeight="false" hidden="false" ht="12.1" outlineLevel="0" r="6812">
      <c r="A6812" s="3" t="s">
        <f>=HYPERLINK("https://mp39851918.megaplan.ua/deals/127534/card/","21763")</f>
      </c>
      <c r="B6812" s="3" t="inlineStr">
        <is>
          <t>112-8292629-1334632</t>
        </is>
      </c>
      <c r="C6812" s="3" t="inlineStr">
        <is>
          <t>TuckerRocky</t>
        </is>
      </c>
    </row>
    <row collapsed="false" customFormat="false" customHeight="false" hidden="false" ht="12.1" outlineLevel="0" r="6813">
      <c r="A6813" s="3" t="s">
        <f>=HYPERLINK("https://mp39851918.megaplan.ua/deals/127540/card/","21765")</f>
      </c>
      <c r="B6813" s="3" t="inlineStr">
        <is>
          <t>111-0146077-3783413</t>
        </is>
      </c>
      <c r="C6813" s="3" t="inlineStr">
        <is>
          <t>RockyMountain</t>
        </is>
      </c>
    </row>
    <row collapsed="false" customFormat="false" customHeight="false" hidden="false" ht="12.1" outlineLevel="0" r="6814">
      <c r="A6814" s="3" t="s">
        <f>=HYPERLINK("https://mp39851918.megaplan.ua/deals/127544/card/","21766")</f>
      </c>
      <c r="B6814" s="3" t="inlineStr">
        <is>
          <t>113-5305756-4120240</t>
        </is>
      </c>
      <c r="C6814" s="3" t="inlineStr">
        <is>
          <t>TuckerRocky</t>
        </is>
      </c>
    </row>
    <row collapsed="false" customFormat="false" customHeight="false" hidden="false" ht="12.1" outlineLevel="0" r="6815">
      <c r="A6815" s="3" t="s">
        <f>=HYPERLINK("https://mp39851918.megaplan.ua/deals/127548/card/","21767")</f>
      </c>
      <c r="B6815" s="3" t="inlineStr">
        <is>
          <t>113-5644522-5094635</t>
        </is>
      </c>
      <c r="C6815" s="3" t="inlineStr">
        <is>
          <t>RockyMountain</t>
        </is>
      </c>
    </row>
    <row collapsed="false" customFormat="false" customHeight="false" hidden="false" ht="12.1" outlineLevel="0" r="6816">
      <c r="A6816" s="3" t="s">
        <f>=HYPERLINK("https://mp39851918.megaplan.ua/deals/127552/card/","21768")</f>
      </c>
      <c r="B6816" s="3" t="inlineStr">
        <is>
          <t>114-2126827-5134610</t>
        </is>
      </c>
      <c r="C6816" s="3" t="inlineStr">
        <is>
          <t>Autodist</t>
        </is>
      </c>
    </row>
    <row collapsed="false" customFormat="false" customHeight="false" hidden="false" ht="12.1" outlineLevel="0" r="6817">
      <c r="A6817" s="3" t="s">
        <f>=HYPERLINK("https://mp39851918.megaplan.ua/deals/127554/card/","21770")</f>
      </c>
      <c r="B6817" s="3" t="inlineStr">
        <is>
          <t>114-2670223-7644254</t>
        </is>
      </c>
      <c r="C6817" s="3" t="inlineStr">
        <is>
          <t>TuckerRocky</t>
        </is>
      </c>
    </row>
    <row collapsed="false" customFormat="false" customHeight="false" hidden="false" ht="12.1" outlineLevel="0" r="6818">
      <c r="A6818" s="3" t="s">
        <f>=HYPERLINK("https://mp39851918.megaplan.ua/deals/127555/card/","21771")</f>
      </c>
      <c r="B6818" s="3" t="inlineStr">
        <is>
          <t>112-0888873-1814611</t>
        </is>
      </c>
      <c r="C6818" s="3" t="inlineStr">
        <is>
          <t>PartsUnlimited</t>
        </is>
      </c>
    </row>
    <row collapsed="false" customFormat="false" customHeight="false" hidden="false" ht="12.1" outlineLevel="0" r="6819">
      <c r="A6819" s="3" t="s">
        <f>=HYPERLINK("https://mp39851918.megaplan.ua/deals/127556/card/","21772")</f>
      </c>
      <c r="B6819" s="3" t="inlineStr">
        <is>
          <t>112-0816650-4415432</t>
        </is>
      </c>
      <c r="C6819" s="3" t="inlineStr">
        <is>
          <t>RockyMountain</t>
        </is>
      </c>
    </row>
    <row collapsed="false" customFormat="false" customHeight="false" hidden="false" ht="12.1" outlineLevel="0" r="6820">
      <c r="A6820" s="3" t="s">
        <f>=HYPERLINK("https://mp39851918.megaplan.ua/deals/127569/card/","21775")</f>
      </c>
      <c r="B6820" s="3" t="inlineStr">
        <is>
          <t>111-6163894-0234630</t>
        </is>
      </c>
      <c r="C6820" s="3" t="inlineStr">
        <is>
          <t>TuckerRocky</t>
        </is>
      </c>
    </row>
    <row collapsed="false" customFormat="false" customHeight="false" hidden="false" ht="12.1" outlineLevel="0" r="6821">
      <c r="A6821" s="3" t="s">
        <f>=HYPERLINK("https://mp39851918.megaplan.ua/deals/127572/card/","21777")</f>
      </c>
      <c r="B6821" s="3" t="inlineStr">
        <is>
          <t>112-5139413-1944258</t>
        </is>
      </c>
      <c r="C6821" s="3" t="inlineStr">
        <is>
          <t>TuckerRocky</t>
        </is>
      </c>
    </row>
    <row collapsed="false" customFormat="false" customHeight="false" hidden="false" ht="12.1" outlineLevel="0" r="6822">
      <c r="A6822" s="3" t="s">
        <f>=HYPERLINK("https://mp39851918.megaplan.ua/deals/127596/card/","21781")</f>
      </c>
      <c r="B6822" s="3" t="inlineStr">
        <is>
          <t>112-4189808-2057061</t>
        </is>
      </c>
      <c r="C6822" s="3" t="inlineStr">
        <is>
          <t>PartsUnlimited</t>
        </is>
      </c>
    </row>
    <row collapsed="false" customFormat="false" customHeight="false" hidden="false" ht="12.1" outlineLevel="0" r="6823">
      <c r="A6823" s="3" t="s">
        <f>=HYPERLINK("https://mp39851918.megaplan.ua/deals/127600/card/","21782")</f>
      </c>
      <c r="B6823" s="3" t="inlineStr">
        <is>
          <t>111-0311152-6822640</t>
        </is>
      </c>
      <c r="C6823" s="3" t="inlineStr">
        <is>
          <t>RockyMountain</t>
        </is>
      </c>
    </row>
    <row collapsed="false" customFormat="false" customHeight="false" hidden="false" ht="12.1" outlineLevel="0" r="6824">
      <c r="A6824" s="3" t="s">
        <f>=HYPERLINK("https://mp39851918.megaplan.ua/deals/127609/card/","21785")</f>
      </c>
      <c r="B6824" s="3" t="inlineStr">
        <is>
          <t>114-2964591-4789039</t>
        </is>
      </c>
      <c r="C6824" s="3" t="inlineStr">
        <is>
          <t>Autodist</t>
        </is>
      </c>
    </row>
    <row collapsed="false" customFormat="false" customHeight="false" hidden="false" ht="12.1" outlineLevel="0" r="6825">
      <c r="A6825" s="3" t="s">
        <f>=HYPERLINK("https://mp39851918.megaplan.ua/deals/127615/card/","21786")</f>
      </c>
      <c r="B6825" s="3" t="inlineStr">
        <is>
          <t>113-5201825-6456254</t>
        </is>
      </c>
      <c r="C6825" s="3" t="inlineStr">
        <is>
          <t>TuckerRocky</t>
        </is>
      </c>
    </row>
    <row collapsed="false" customFormat="false" customHeight="false" hidden="false" ht="12.1" outlineLevel="0" r="6826">
      <c r="A6826" s="3" t="s">
        <f>=HYPERLINK("https://mp39851918.megaplan.ua/deals/127629/card/","21788")</f>
      </c>
      <c r="B6826" s="3" t="inlineStr">
        <is>
          <t>111-7255018-0931434</t>
        </is>
      </c>
      <c r="C6826" s="3" t="inlineStr">
        <is>
          <t>Autodist</t>
        </is>
      </c>
    </row>
    <row collapsed="false" customFormat="false" customHeight="false" hidden="false" ht="12.1" outlineLevel="0" r="6827">
      <c r="A6827" s="3" t="s">
        <f>=HYPERLINK("https://mp39851918.megaplan.ua/deals/127634/card/","21789")</f>
      </c>
      <c r="B6827" s="3" t="inlineStr">
        <is>
          <t>111-0231074-1759447</t>
        </is>
      </c>
      <c r="C6827" s="3" t="inlineStr">
        <is>
          <t>RockyMountain</t>
        </is>
      </c>
    </row>
    <row collapsed="false" customFormat="false" customHeight="false" hidden="false" ht="12.1" outlineLevel="0" r="6828">
      <c r="A6828" s="3" t="s">
        <f>=HYPERLINK("https://mp39851918.megaplan.ua/deals/127636/card/","21790")</f>
      </c>
      <c r="B6828" s="3" t="inlineStr">
        <is>
          <t>111-9164503-5653859</t>
        </is>
      </c>
      <c r="C6828" s="3" t="inlineStr">
        <is>
          <t>RockyMountain</t>
        </is>
      </c>
    </row>
    <row collapsed="false" customFormat="false" customHeight="false" hidden="false" ht="12.1" outlineLevel="0" r="6829">
      <c r="A6829" s="3" t="s">
        <f>=HYPERLINK("https://mp39851918.megaplan.ua/deals/127637/card/","21791")</f>
      </c>
      <c r="B6829" s="3" t="inlineStr">
        <is>
          <t>114-6118505-8280239</t>
        </is>
      </c>
      <c r="C6829" s="3" t="inlineStr">
        <is>
          <t>TuckerRocky</t>
        </is>
      </c>
    </row>
    <row collapsed="false" customFormat="false" customHeight="false" hidden="false" ht="12.1" outlineLevel="0" r="6830">
      <c r="A6830" s="3" t="s">
        <f>=HYPERLINK("https://mp39851918.megaplan.ua/deals/127640/card/","21792")</f>
      </c>
      <c r="B6830" s="3" t="inlineStr">
        <is>
          <t>112-0058648-7500263</t>
        </is>
      </c>
      <c r="C6830" s="3" t="inlineStr">
        <is>
          <t>TuckerRocky</t>
        </is>
      </c>
    </row>
    <row collapsed="false" customFormat="false" customHeight="false" hidden="false" ht="12.1" outlineLevel="0" r="6831">
      <c r="A6831" s="3" t="s">
        <f>=HYPERLINK("https://mp39851918.megaplan.ua/deals/127641/card/","21793")</f>
      </c>
      <c r="B6831" s="3" t="inlineStr">
        <is>
          <t>112-3968677-9225040</t>
        </is>
      </c>
      <c r="C6831" s="3" t="inlineStr">
        <is>
          <t>Autodist</t>
        </is>
      </c>
    </row>
    <row collapsed="false" customFormat="false" customHeight="false" hidden="false" ht="12.1" outlineLevel="0" r="6832">
      <c r="A6832" s="3" t="s">
        <f>=HYPERLINK("https://mp39851918.megaplan.ua/deals/127656/card/","21794")</f>
      </c>
      <c r="B6832" s="3" t="inlineStr">
        <is>
          <t>111-0919424-2970639</t>
        </is>
      </c>
      <c r="C6832" s="3" t="inlineStr">
        <is>
          <t>TuckerRocky</t>
        </is>
      </c>
    </row>
    <row collapsed="false" customFormat="false" customHeight="false" hidden="false" ht="12.1" outlineLevel="0" r="6833">
      <c r="A6833" s="3" t="s">
        <f>=HYPERLINK("https://mp39851918.megaplan.ua/deals/127667/card/","21795")</f>
      </c>
      <c r="B6833" s="3" t="inlineStr">
        <is>
          <t>111-1906301-5852259</t>
        </is>
      </c>
      <c r="C6833" s="3" t="inlineStr">
        <is>
          <t>TuckerRocky</t>
        </is>
      </c>
    </row>
    <row collapsed="false" customFormat="false" customHeight="false" hidden="false" ht="12.1" outlineLevel="0" r="6834">
      <c r="A6834" s="3" t="s">
        <f>=HYPERLINK("https://mp39851918.megaplan.ua/deals/127673/card/","21796")</f>
      </c>
      <c r="B6834" s="3" t="inlineStr">
        <is>
          <t>114-8389253-2465031</t>
        </is>
      </c>
      <c r="C6834" s="3" t="inlineStr">
        <is>
          <t>RockyMountain</t>
        </is>
      </c>
    </row>
    <row collapsed="false" customFormat="false" customHeight="false" hidden="false" ht="12.1" outlineLevel="0" r="6835">
      <c r="A6835" s="3" t="s">
        <f>=HYPERLINK("https://mp39851918.megaplan.ua/deals/127676/card/","21797")</f>
      </c>
      <c r="B6835" s="3" t="inlineStr">
        <is>
          <t>111-8716680-0612206</t>
        </is>
      </c>
      <c r="C6835" s="3" t="inlineStr">
        <is>
          <t>TuckerRocky</t>
        </is>
      </c>
    </row>
    <row collapsed="false" customFormat="false" customHeight="false" hidden="false" ht="12.1" outlineLevel="0" r="6836">
      <c r="A6836" s="3" t="s">
        <f>=HYPERLINK("https://mp39851918.megaplan.ua/deals/127677/card/","21798")</f>
      </c>
      <c r="B6836" s="3" t="inlineStr">
        <is>
          <t>114-7030064-3489014</t>
        </is>
      </c>
      <c r="C6836" s="3" t="inlineStr">
        <is>
          <t>TuckerRocky</t>
        </is>
      </c>
    </row>
    <row collapsed="false" customFormat="false" customHeight="false" hidden="false" ht="12.1" outlineLevel="0" r="6837">
      <c r="A6837" s="3" t="s">
        <f>=HYPERLINK("https://mp39851918.megaplan.ua/deals/127702/card/","21800")</f>
      </c>
      <c r="B6837" s="3" t="inlineStr">
        <is>
          <t>114-5419287-8641837</t>
        </is>
      </c>
      <c r="C6837" s="3" t="inlineStr">
        <is>
          <t>Autodist</t>
        </is>
      </c>
    </row>
    <row collapsed="false" customFormat="false" customHeight="false" hidden="false" ht="12.1" outlineLevel="0" r="6838">
      <c r="A6838" s="3" t="s">
        <f>=HYPERLINK("https://mp39851918.megaplan.ua/deals/127733/card/","21801")</f>
      </c>
      <c r="B6838" s="3" t="inlineStr">
        <is>
          <t>114-1542420-7019413</t>
        </is>
      </c>
      <c r="C6838" s="3" t="inlineStr">
        <is>
          <t>TuckerRocky</t>
        </is>
      </c>
    </row>
    <row collapsed="false" customFormat="false" customHeight="false" hidden="false" ht="12.1" outlineLevel="0" r="6839">
      <c r="A6839" s="3" t="s">
        <f>=HYPERLINK("https://mp39851918.megaplan.ua/deals/127736/card/","21802")</f>
      </c>
      <c r="B6839" s="3" t="inlineStr">
        <is>
          <t>112-3794532-7879468</t>
        </is>
      </c>
      <c r="C6839" s="3" t="inlineStr">
        <is>
          <t>RockyMountain</t>
        </is>
      </c>
    </row>
    <row collapsed="false" customFormat="false" customHeight="false" hidden="false" ht="12.1" outlineLevel="0" r="6840">
      <c r="A6840" s="3" t="s">
        <f>=HYPERLINK("https://mp39851918.megaplan.ua/deals/127753/card/","21806")</f>
      </c>
      <c r="B6840" s="3" t="inlineStr">
        <is>
          <t>114-4312457-2828241</t>
        </is>
      </c>
      <c r="C6840" s="3" t="inlineStr">
        <is>
          <t>TuckerRocky</t>
        </is>
      </c>
    </row>
    <row collapsed="false" customFormat="false" customHeight="false" hidden="false" ht="12.1" outlineLevel="0" r="6841">
      <c r="A6841" s="3" t="s">
        <f>=HYPERLINK("https://mp39851918.megaplan.ua/deals/127761/card/","21807")</f>
      </c>
      <c r="B6841" s="3" t="inlineStr">
        <is>
          <t>114-2284350-5118664</t>
        </is>
      </c>
      <c r="C6841" s="3" t="inlineStr">
        <is>
          <t>RockyMountain</t>
        </is>
      </c>
    </row>
    <row collapsed="false" customFormat="false" customHeight="false" hidden="false" ht="12.1" outlineLevel="0" r="6842">
      <c r="A6842" s="3" t="s">
        <f>=HYPERLINK("https://mp39851918.megaplan.ua/deals/127766/card/","21808")</f>
      </c>
      <c r="B6842" s="3" t="inlineStr">
        <is>
          <t>111-6034227-5135418</t>
        </is>
      </c>
      <c r="C6842" s="3" t="inlineStr">
        <is>
          <t>RockyMountain</t>
        </is>
      </c>
    </row>
    <row collapsed="false" customFormat="false" customHeight="false" hidden="false" ht="12.1" outlineLevel="0" r="6843">
      <c r="A6843" s="3" t="s">
        <f>=HYPERLINK("https://mp39851918.megaplan.ua/deals/127772/card/","21809")</f>
      </c>
      <c r="B6843" s="3" t="inlineStr">
        <is>
          <t>111-0995169-4017013</t>
        </is>
      </c>
      <c r="C6843" s="3" t="inlineStr">
        <is>
          <t>TuckerRocky</t>
        </is>
      </c>
    </row>
    <row collapsed="false" customFormat="false" customHeight="false" hidden="false" ht="12.1" outlineLevel="0" r="6844">
      <c r="A6844" s="3" t="s">
        <f>=HYPERLINK("https://mp39851918.megaplan.ua/deals/127773/card/","21810")</f>
      </c>
      <c r="B6844" s="3" t="inlineStr">
        <is>
          <t>112-0888421-0236253</t>
        </is>
      </c>
      <c r="C6844" s="3" t="inlineStr">
        <is>
          <t>Autodist</t>
        </is>
      </c>
    </row>
    <row collapsed="false" customFormat="false" customHeight="false" hidden="false" ht="12.1" outlineLevel="0" r="6845">
      <c r="A6845" s="3" t="s">
        <f>=HYPERLINK("https://mp39851918.megaplan.ua/deals/127781/card/","21811")</f>
      </c>
      <c r="B6845" s="3" t="inlineStr">
        <is>
          <t>111-5438459-7721042</t>
        </is>
      </c>
      <c r="C6845" s="3" t="inlineStr">
        <is>
          <t>Autodist</t>
        </is>
      </c>
    </row>
    <row collapsed="false" customFormat="false" customHeight="false" hidden="false" ht="12.1" outlineLevel="0" r="6846">
      <c r="A6846" s="3" t="s">
        <f>=HYPERLINK("https://mp39851918.megaplan.ua/deals/127782/card/","21812")</f>
      </c>
      <c r="B6846" s="3" t="inlineStr">
        <is>
          <t>114-0412600-4747405</t>
        </is>
      </c>
      <c r="C6846" s="3" t="inlineStr">
        <is>
          <t>TuckerRocky</t>
        </is>
      </c>
    </row>
    <row collapsed="false" customFormat="false" customHeight="false" hidden="false" ht="12.1" outlineLevel="0" r="6847">
      <c r="A6847" s="3" t="s">
        <f>=HYPERLINK("https://mp39851918.megaplan.ua/deals/127789/card/","21814")</f>
      </c>
      <c r="B6847" s="3" t="inlineStr">
        <is>
          <t>111-0025320-4308248</t>
        </is>
      </c>
      <c r="C6847" s="3" t="inlineStr">
        <is>
          <t>Autodist</t>
        </is>
      </c>
    </row>
    <row collapsed="false" customFormat="false" customHeight="false" hidden="false" ht="12.1" outlineLevel="0" r="6848">
      <c r="A6848" s="3" t="s">
        <f>=HYPERLINK("https://mp39851918.megaplan.ua/deals/127798/card/","21817")</f>
      </c>
      <c r="B6848" s="3" t="inlineStr">
        <is>
          <t>114-9874278-6057821</t>
        </is>
      </c>
      <c r="C6848" s="3" t="inlineStr">
        <is>
          <t>TuckerRocky</t>
        </is>
      </c>
    </row>
    <row collapsed="false" customFormat="false" customHeight="false" hidden="false" ht="12.1" outlineLevel="0" r="6849">
      <c r="A6849" s="3" t="s">
        <f>=HYPERLINK("https://mp39851918.megaplan.ua/deals/127803/card/","21818")</f>
      </c>
      <c r="B6849" s="3" t="inlineStr">
        <is>
          <t>112-0270612-7726612</t>
        </is>
      </c>
      <c r="C6849" s="3" t="inlineStr">
        <is>
          <t>Autodist</t>
        </is>
      </c>
    </row>
    <row collapsed="false" customFormat="false" customHeight="false" hidden="false" ht="12.1" outlineLevel="0" r="6850">
      <c r="A6850" s="3" t="s">
        <f>=HYPERLINK("https://mp39851918.megaplan.ua/deals/127806/card/","21819")</f>
      </c>
      <c r="B6850" s="3" t="inlineStr">
        <is>
          <t>112-3024296-7103416</t>
        </is>
      </c>
      <c r="C6850" s="3" t="inlineStr">
        <is>
          <t>RockyMountain</t>
        </is>
      </c>
    </row>
    <row collapsed="false" customFormat="false" customHeight="false" hidden="false" ht="12.1" outlineLevel="0" r="6851">
      <c r="A6851" s="3" t="s">
        <f>=HYPERLINK("https://mp39851918.megaplan.ua/deals/127807/card/","21820")</f>
      </c>
      <c r="B6851" s="3" t="inlineStr">
        <is>
          <t>111-7449134-0742614</t>
        </is>
      </c>
      <c r="C6851" s="3" t="inlineStr">
        <is>
          <t>Autodist</t>
        </is>
      </c>
    </row>
    <row collapsed="false" customFormat="false" customHeight="false" hidden="false" ht="12.1" outlineLevel="0" r="6852">
      <c r="A6852" s="3" t="s">
        <f>=HYPERLINK("https://mp39851918.megaplan.ua/deals/127810/card/","21821")</f>
      </c>
      <c r="B6852" s="3" t="inlineStr">
        <is>
          <t>113-6836508-4249814</t>
        </is>
      </c>
      <c r="C6852" s="3" t="inlineStr">
        <is>
          <t>TuckerRocky</t>
        </is>
      </c>
    </row>
    <row collapsed="false" customFormat="false" customHeight="false" hidden="false" ht="12.1" outlineLevel="0" r="6853">
      <c r="A6853" s="3" t="s">
        <f>=HYPERLINK("https://mp39851918.megaplan.ua/deals/127814/card/","21822")</f>
      </c>
      <c r="B6853" s="3" t="inlineStr">
        <is>
          <t>113-8610378-5388254</t>
        </is>
      </c>
      <c r="C6853" s="3" t="inlineStr">
        <is>
          <t>RockyMountain</t>
        </is>
      </c>
    </row>
    <row collapsed="false" customFormat="false" customHeight="false" hidden="false" ht="12.1" outlineLevel="0" r="6854">
      <c r="A6854" s="3" t="s">
        <f>=HYPERLINK("https://mp39851918.megaplan.ua/deals/127824/card/","21825")</f>
      </c>
      <c r="B6854" s="3" t="inlineStr">
        <is>
          <t>112-8877331-6441836</t>
        </is>
      </c>
      <c r="C6854" s="3" t="inlineStr">
        <is>
          <t>RockyMountain</t>
        </is>
      </c>
    </row>
    <row collapsed="false" customFormat="false" customHeight="false" hidden="false" ht="12.1" outlineLevel="0" r="6855">
      <c r="A6855" s="3" t="s">
        <f>=HYPERLINK("https://mp39851918.megaplan.ua/deals/127825/card/","21826")</f>
      </c>
      <c r="B6855" s="3" t="inlineStr">
        <is>
          <t>113-6831200-3026666</t>
        </is>
      </c>
      <c r="C6855" s="3" t="inlineStr">
        <is>
          <t>Autodist</t>
        </is>
      </c>
    </row>
    <row collapsed="false" customFormat="false" customHeight="false" hidden="false" ht="12.1" outlineLevel="0" r="6856">
      <c r="A6856" s="3" t="s">
        <f>=HYPERLINK("https://mp39851918.megaplan.ua/deals/127829/card/","21827")</f>
      </c>
      <c r="B6856" s="3" t="inlineStr">
        <is>
          <t>111-1211429-0853815</t>
        </is>
      </c>
      <c r="C6856" s="3" t="inlineStr">
        <is>
          <t>RockyMountain</t>
        </is>
      </c>
    </row>
    <row collapsed="false" customFormat="false" customHeight="false" hidden="false" ht="12.1" outlineLevel="0" r="6857">
      <c r="A6857" s="3" t="s">
        <f>=HYPERLINK("https://mp39851918.megaplan.ua/deals/127834/card/","21828")</f>
      </c>
      <c r="B6857" s="3" t="inlineStr">
        <is>
          <t>111-9803943-9013014</t>
        </is>
      </c>
      <c r="C6857" s="3" t="inlineStr">
        <is>
          <t>Autodist</t>
        </is>
      </c>
    </row>
    <row collapsed="false" customFormat="false" customHeight="false" hidden="false" ht="12.1" outlineLevel="0" r="6858">
      <c r="A6858" s="3" t="s">
        <f>=HYPERLINK("https://mp39851918.megaplan.ua/deals/127836/card/","21829")</f>
      </c>
      <c r="B6858" s="3" t="inlineStr">
        <is>
          <t>114-0170976-4870669</t>
        </is>
      </c>
      <c r="C6858" s="3" t="inlineStr">
        <is>
          <t>PartsUnlimited</t>
        </is>
      </c>
    </row>
    <row collapsed="false" customFormat="false" customHeight="false" hidden="false" ht="12.1" outlineLevel="0" r="6859">
      <c r="A6859" s="3" t="s">
        <f>=HYPERLINK("https://mp39851918.megaplan.ua/deals/127837/card/","21830")</f>
      </c>
      <c r="B6859" s="3" t="inlineStr">
        <is>
          <t>111-9393715-4598645</t>
        </is>
      </c>
      <c r="C6859" s="3" t="inlineStr">
        <is>
          <t>TuckerRocky</t>
        </is>
      </c>
    </row>
    <row collapsed="false" customFormat="false" customHeight="false" hidden="false" ht="12.1" outlineLevel="0" r="6860">
      <c r="A6860" s="3" t="s">
        <f>=HYPERLINK("https://mp39851918.megaplan.ua/deals/127846/card/","21831")</f>
      </c>
      <c r="B6860" s="3" t="inlineStr">
        <is>
          <t>114-3384015-7533005</t>
        </is>
      </c>
      <c r="C6860" s="3" t="inlineStr">
        <is>
          <t>Autodist</t>
        </is>
      </c>
    </row>
    <row collapsed="false" customFormat="false" customHeight="false" hidden="false" ht="12.1" outlineLevel="0" r="6861">
      <c r="A6861" s="3" t="s">
        <f>=HYPERLINK("https://mp39851918.megaplan.ua/deals/127852/card/","21832")</f>
      </c>
      <c r="B6861" s="3" t="inlineStr">
        <is>
          <t>113-7814491-5773816</t>
        </is>
      </c>
      <c r="C6861" s="3" t="inlineStr">
        <is>
          <t>TuckerRocky</t>
        </is>
      </c>
    </row>
    <row collapsed="false" customFormat="false" customHeight="false" hidden="false" ht="12.1" outlineLevel="0" r="6862">
      <c r="A6862" s="3" t="s">
        <f>=HYPERLINK("https://mp39851918.megaplan.ua/deals/127857/card/","21834")</f>
      </c>
      <c r="B6862" s="3" t="inlineStr">
        <is>
          <t>114-4352892-0689812</t>
        </is>
      </c>
      <c r="C6862" s="3" t="inlineStr">
        <is>
          <t>RockyMountain</t>
        </is>
      </c>
    </row>
    <row collapsed="false" customFormat="false" customHeight="false" hidden="false" ht="12.1" outlineLevel="0" r="6863">
      <c r="A6863" s="3" t="s">
        <f>=HYPERLINK("https://mp39851918.megaplan.ua/deals/127859/card/","21835")</f>
      </c>
      <c r="B6863" s="3" t="inlineStr">
        <is>
          <t>114-4774380-8532217</t>
        </is>
      </c>
      <c r="C6863" s="3" t="inlineStr">
        <is>
          <t>RockyMountain</t>
        </is>
      </c>
    </row>
    <row collapsed="false" customFormat="false" customHeight="false" hidden="false" ht="12.1" outlineLevel="0" r="6864">
      <c r="A6864" s="3" t="s">
        <f>=HYPERLINK("https://mp39851918.megaplan.ua/deals/127860/card/","21836")</f>
      </c>
      <c r="B6864" s="3" t="inlineStr">
        <is>
          <t>111-1434284-5764233</t>
        </is>
      </c>
      <c r="C6864" s="3" t="inlineStr">
        <is>
          <t>TuckerRocky</t>
        </is>
      </c>
    </row>
    <row collapsed="false" customFormat="false" customHeight="false" hidden="false" ht="12.1" outlineLevel="0" r="6865">
      <c r="A6865" s="3" t="s">
        <f>=HYPERLINK("https://mp39851918.megaplan.ua/deals/127871/card/","21838")</f>
      </c>
      <c r="B6865" s="3" t="inlineStr">
        <is>
          <t>113-2999475-4469066</t>
        </is>
      </c>
      <c r="C6865" s="3" t="inlineStr">
        <is>
          <t>TuckerRocky</t>
        </is>
      </c>
    </row>
    <row collapsed="false" customFormat="false" customHeight="false" hidden="false" ht="12.1" outlineLevel="0" r="6866">
      <c r="A6866" s="3" t="s">
        <f>=HYPERLINK("https://mp39851918.megaplan.ua/deals/127873/card/","21839")</f>
      </c>
      <c r="B6866" s="3" t="inlineStr">
        <is>
          <t>112-4470987-3860247</t>
        </is>
      </c>
      <c r="C6866" s="3" t="inlineStr">
        <is>
          <t>PartsUnlimited</t>
        </is>
      </c>
    </row>
    <row collapsed="false" customFormat="false" customHeight="false" hidden="false" ht="12.1" outlineLevel="0" r="6867">
      <c r="A6867" s="3" t="s">
        <f>=HYPERLINK("https://mp39851918.megaplan.ua/deals/127876/card/","21840")</f>
      </c>
      <c r="B6867" s="3" t="inlineStr">
        <is>
          <t>111-1578388-1231400</t>
        </is>
      </c>
      <c r="C6867" s="3" t="inlineStr">
        <is>
          <t>RockyMountain</t>
        </is>
      </c>
    </row>
    <row collapsed="false" customFormat="false" customHeight="false" hidden="false" ht="12.1" outlineLevel="0" r="6868">
      <c r="A6868" s="3" t="s">
        <f>=HYPERLINK("https://mp39851918.megaplan.ua/deals/127878/card/","21841")</f>
      </c>
      <c r="B6868" s="3" t="inlineStr">
        <is>
          <t>112-1755927-9093801</t>
        </is>
      </c>
      <c r="C6868" s="3" t="inlineStr">
        <is>
          <t>TuckerRocky</t>
        </is>
      </c>
    </row>
    <row collapsed="false" customFormat="false" customHeight="false" hidden="false" ht="12.1" outlineLevel="0" r="6869">
      <c r="A6869" s="3" t="s">
        <f>=HYPERLINK("https://mp39851918.megaplan.ua/deals/127879/card/","21842")</f>
      </c>
      <c r="B6869" s="3" t="inlineStr">
        <is>
          <t>112-6242052-7357049</t>
        </is>
      </c>
      <c r="C6869" s="3" t="inlineStr">
        <is>
          <t>TuckerRocky</t>
        </is>
      </c>
    </row>
    <row collapsed="false" customFormat="false" customHeight="false" hidden="false" ht="12.1" outlineLevel="0" r="6870">
      <c r="A6870" s="3" t="s">
        <f>=HYPERLINK("https://mp39851918.megaplan.ua/deals/127880/card/","21843")</f>
      </c>
      <c r="B6870" s="3" t="inlineStr">
        <is>
          <t>113-3701588-2192256</t>
        </is>
      </c>
      <c r="C6870" s="3" t="inlineStr">
        <is>
          <t>TuckerRocky</t>
        </is>
      </c>
    </row>
    <row collapsed="false" customFormat="false" customHeight="false" hidden="false" ht="12.1" outlineLevel="0" r="6871">
      <c r="A6871" s="3" t="s">
        <f>=HYPERLINK("https://mp39851918.megaplan.ua/deals/127881/card/","21844")</f>
      </c>
      <c r="B6871" s="3" t="inlineStr">
        <is>
          <t>111-6193185-8690666</t>
        </is>
      </c>
      <c r="C6871" s="3" t="inlineStr">
        <is>
          <t>TuckerRocky</t>
        </is>
      </c>
    </row>
    <row collapsed="false" customFormat="false" customHeight="false" hidden="false" ht="12.1" outlineLevel="0" r="6872">
      <c r="A6872" s="3" t="s">
        <f>=HYPERLINK("https://mp39851918.megaplan.ua/deals/127884/card/","21845")</f>
      </c>
      <c r="B6872" s="3" t="inlineStr">
        <is>
          <t>111-0868696-3418635</t>
        </is>
      </c>
      <c r="C6872" s="3" t="inlineStr">
        <is>
          <t>PartsUnlimited</t>
        </is>
      </c>
    </row>
    <row collapsed="false" customFormat="false" customHeight="false" hidden="false" ht="12.1" outlineLevel="0" r="6873">
      <c r="A6873" s="3" t="s">
        <f>=HYPERLINK("https://mp39851918.megaplan.ua/deals/127885/card/","21846")</f>
      </c>
      <c r="B6873" s="3" t="inlineStr">
        <is>
          <t>111-2979088-5068216</t>
        </is>
      </c>
      <c r="C6873" s="3" t="inlineStr">
        <is>
          <t>Autodist</t>
        </is>
      </c>
    </row>
    <row collapsed="false" customFormat="false" customHeight="false" hidden="false" ht="12.1" outlineLevel="0" r="6874">
      <c r="A6874" s="3" t="s">
        <f>=HYPERLINK("https://mp39851918.megaplan.ua/deals/127887/card/","21847")</f>
      </c>
      <c r="B6874" s="3" t="inlineStr">
        <is>
          <t>113-6706755-0889026</t>
        </is>
      </c>
      <c r="C6874" s="3" t="inlineStr">
        <is>
          <t>RockyMountain</t>
        </is>
      </c>
    </row>
    <row collapsed="false" customFormat="false" customHeight="false" hidden="false" ht="12.1" outlineLevel="0" r="6875">
      <c r="A6875" s="3" t="s">
        <f>=HYPERLINK("https://mp39851918.megaplan.ua/deals/127912/card/","21849")</f>
      </c>
      <c r="B6875" s="3" t="inlineStr">
        <is>
          <t>112-7250851-9861833</t>
        </is>
      </c>
      <c r="C6875" s="3" t="inlineStr">
        <is>
          <t>Autodist</t>
        </is>
      </c>
    </row>
    <row collapsed="false" customFormat="false" customHeight="false" hidden="false" ht="12.1" outlineLevel="0" r="6876">
      <c r="A6876" s="3" t="s">
        <f>=HYPERLINK("https://mp39851918.megaplan.ua/deals/127917/card/","21850")</f>
      </c>
      <c r="B6876" s="3" t="inlineStr">
        <is>
          <t>113-5012471-6700215</t>
        </is>
      </c>
      <c r="C6876" s="3" t="inlineStr">
        <is>
          <t>Autodist</t>
        </is>
      </c>
    </row>
    <row collapsed="false" customFormat="false" customHeight="false" hidden="false" ht="12.1" outlineLevel="0" r="6877">
      <c r="A6877" s="3" t="s">
        <f>=HYPERLINK("https://mp39851918.megaplan.ua/deals/127934/card/","21851")</f>
      </c>
      <c r="B6877" s="3" t="inlineStr">
        <is>
          <t>112-2148280-7377008</t>
        </is>
      </c>
      <c r="C6877" s="3" t="inlineStr">
        <is>
          <t>PartsUnlimited</t>
        </is>
      </c>
    </row>
    <row collapsed="false" customFormat="false" customHeight="false" hidden="false" ht="12.1" outlineLevel="0" r="6878">
      <c r="A6878" s="3" t="s">
        <f>=HYPERLINK("https://mp39851918.megaplan.ua/deals/127951/card/","21853")</f>
      </c>
      <c r="B6878" s="3" t="inlineStr">
        <is>
          <t>114-4891524-8861036</t>
        </is>
      </c>
      <c r="C6878" s="3" t="inlineStr">
        <is>
          <t>PartsUnlimited</t>
        </is>
      </c>
    </row>
    <row collapsed="false" customFormat="false" customHeight="false" hidden="false" ht="12.1" outlineLevel="0" r="6879">
      <c r="A6879" s="3" t="s">
        <f>=HYPERLINK("https://mp39851918.megaplan.ua/deals/127955/card/","21854")</f>
      </c>
      <c r="B6879" s="3" t="inlineStr">
        <is>
          <t>114-8692370-3826666</t>
        </is>
      </c>
      <c r="C6879" s="3" t="inlineStr">
        <is>
          <t>RockyMountain</t>
        </is>
      </c>
    </row>
    <row collapsed="false" customFormat="false" customHeight="false" hidden="false" ht="12.1" outlineLevel="0" r="6880">
      <c r="A6880" s="3" t="s">
        <f>=HYPERLINK("https://mp39851918.megaplan.ua/deals/127958/card/","21855")</f>
      </c>
      <c r="B6880" s="3" t="inlineStr">
        <is>
          <t>111-5307711-4022624</t>
        </is>
      </c>
      <c r="C6880" s="3" t="inlineStr">
        <is>
          <t>TuckerRocky</t>
        </is>
      </c>
    </row>
    <row collapsed="false" customFormat="false" customHeight="false" hidden="false" ht="12.1" outlineLevel="0" r="6881">
      <c r="A6881" s="3" t="s">
        <f>=HYPERLINK("https://mp39851918.megaplan.ua/deals/127963/card/","21856")</f>
      </c>
      <c r="B6881" s="3" t="inlineStr">
        <is>
          <t>111-4359085-2527444</t>
        </is>
      </c>
      <c r="C6881" s="3" t="inlineStr">
        <is>
          <t>TuckerRocky</t>
        </is>
      </c>
    </row>
    <row collapsed="false" customFormat="false" customHeight="false" hidden="false" ht="12.1" outlineLevel="0" r="6882">
      <c r="A6882" s="3" t="s">
        <f>=HYPERLINK("https://mp39851918.megaplan.ua/deals/127977/card/","21858")</f>
      </c>
      <c r="B6882" s="3" t="inlineStr">
        <is>
          <t>113-6381178-8423446</t>
        </is>
      </c>
      <c r="C6882" s="3" t="inlineStr">
        <is>
          <t>RockyMountain</t>
        </is>
      </c>
    </row>
    <row collapsed="false" customFormat="false" customHeight="false" hidden="false" ht="12.1" outlineLevel="0" r="6883">
      <c r="A6883" s="3" t="s">
        <f>=HYPERLINK("https://mp39851918.megaplan.ua/deals/127998/card/","21859")</f>
      </c>
      <c r="B6883" s="3" t="inlineStr">
        <is>
          <t>112-3630521-1349849</t>
        </is>
      </c>
      <c r="C6883" s="3" t="inlineStr">
        <is>
          <t>Autodist</t>
        </is>
      </c>
    </row>
    <row collapsed="false" customFormat="false" customHeight="false" hidden="false" ht="12.1" outlineLevel="0" r="6884">
      <c r="A6884" s="3" t="s">
        <f>=HYPERLINK("https://mp39851918.megaplan.ua/deals/128007/card/","21861")</f>
      </c>
      <c r="B6884" s="3" t="inlineStr">
        <is>
          <t>112-7707589-8339457</t>
        </is>
      </c>
      <c r="C6884" s="3" t="inlineStr">
        <is>
          <t>Autodist</t>
        </is>
      </c>
    </row>
    <row collapsed="false" customFormat="false" customHeight="false" hidden="false" ht="12.1" outlineLevel="0" r="6885">
      <c r="A6885" s="3" t="s">
        <f>=HYPERLINK("https://mp39851918.megaplan.ua/deals/128016/card/","21863")</f>
      </c>
      <c r="B6885" s="3" t="inlineStr">
        <is>
          <t>112-4179943-9929046</t>
        </is>
      </c>
      <c r="C6885" s="3" t="inlineStr">
        <is>
          <t>Autodist</t>
        </is>
      </c>
    </row>
    <row collapsed="false" customFormat="false" customHeight="false" hidden="false" ht="12.1" outlineLevel="0" r="6886">
      <c r="A6886" s="3" t="s">
        <f>=HYPERLINK("https://mp39851918.megaplan.ua/deals/128021/card/","21865")</f>
      </c>
      <c r="B6886" s="3" t="inlineStr">
        <is>
          <t>113-0955455-2693863</t>
        </is>
      </c>
      <c r="C6886" s="3" t="inlineStr">
        <is>
          <t>RockyMountain</t>
        </is>
      </c>
    </row>
    <row collapsed="false" customFormat="false" customHeight="false" hidden="false" ht="12.1" outlineLevel="0" r="6887">
      <c r="A6887" s="3" t="s">
        <f>=HYPERLINK("https://mp39851918.megaplan.ua/deals/128023/card/","21866")</f>
      </c>
      <c r="B6887" s="3" t="inlineStr">
        <is>
          <t>113-9371620-1811469</t>
        </is>
      </c>
      <c r="C6887" s="3" t="inlineStr">
        <is>
          <t>RockyMountain</t>
        </is>
      </c>
    </row>
    <row collapsed="false" customFormat="false" customHeight="false" hidden="false" ht="12.1" outlineLevel="0" r="6888">
      <c r="A6888" s="3" t="s">
        <f>=HYPERLINK("https://mp39851918.megaplan.ua/deals/128031/card/","21867")</f>
      </c>
      <c r="B6888" s="3" t="inlineStr">
        <is>
          <t>112-4446689-1453040</t>
        </is>
      </c>
      <c r="C6888" s="3" t="inlineStr">
        <is>
          <t>Autodist</t>
        </is>
      </c>
    </row>
    <row collapsed="false" customFormat="false" customHeight="false" hidden="false" ht="12.1" outlineLevel="0" r="6889">
      <c r="A6889" s="3" t="s">
        <f>=HYPERLINK("https://mp39851918.megaplan.ua/deals/128036/card/","21868")</f>
      </c>
      <c r="B6889" s="3" t="inlineStr">
        <is>
          <t>113-2764910-0767463</t>
        </is>
      </c>
      <c r="C6889" s="3" t="inlineStr">
        <is>
          <t>PartsUnlimited</t>
        </is>
      </c>
    </row>
    <row collapsed="false" customFormat="false" customHeight="false" hidden="false" ht="12.1" outlineLevel="0" r="6890">
      <c r="A6890" s="3" t="s">
        <f>=HYPERLINK("https://mp39851918.megaplan.ua/deals/128042/card/","21869")</f>
      </c>
      <c r="B6890" s="3" t="inlineStr">
        <is>
          <t>112-1155239-8228235</t>
        </is>
      </c>
      <c r="C6890" s="3" t="inlineStr">
        <is>
          <t>RockyMountain</t>
        </is>
      </c>
    </row>
    <row collapsed="false" customFormat="false" customHeight="false" hidden="false" ht="12.1" outlineLevel="0" r="6891">
      <c r="A6891" s="3" t="s">
        <f>=HYPERLINK("https://mp39851918.megaplan.ua/deals/128049/card/","21870")</f>
      </c>
      <c r="B6891" s="3" t="inlineStr">
        <is>
          <t>112-6816770-9261853</t>
        </is>
      </c>
      <c r="C6891" s="3" t="inlineStr">
        <is>
          <t>RockyMountain</t>
        </is>
      </c>
    </row>
    <row collapsed="false" customFormat="false" customHeight="false" hidden="false" ht="12.1" outlineLevel="0" r="6892">
      <c r="A6892" s="3" t="s">
        <f>=HYPERLINK("https://mp39851918.megaplan.ua/deals/128050/card/","21871")</f>
      </c>
      <c r="B6892" s="3" t="inlineStr">
        <is>
          <t>113-0138322-3334634</t>
        </is>
      </c>
      <c r="C6892" s="3" t="inlineStr">
        <is>
          <t>TuckerRocky</t>
        </is>
      </c>
    </row>
    <row collapsed="false" customFormat="false" customHeight="false" hidden="false" ht="12.1" outlineLevel="0" r="6893">
      <c r="A6893" s="3" t="s">
        <f>=HYPERLINK("https://mp39851918.megaplan.ua/deals/128054/card/","21872")</f>
      </c>
      <c r="B6893" s="3" t="inlineStr">
        <is>
          <t>114-6293764-1465801</t>
        </is>
      </c>
      <c r="C6893" s="3" t="inlineStr">
        <is>
          <t>Autodist</t>
        </is>
      </c>
    </row>
    <row collapsed="false" customFormat="false" customHeight="false" hidden="false" ht="12.1" outlineLevel="0" r="6894">
      <c r="A6894" s="3" t="s">
        <f>=HYPERLINK("https://mp39851918.megaplan.ua/deals/128057/card/","21873")</f>
      </c>
      <c r="B6894" s="3" t="inlineStr">
        <is>
          <t>111-5947001-4855449</t>
        </is>
      </c>
      <c r="C6894" s="3" t="inlineStr">
        <is>
          <t>Autodist</t>
        </is>
      </c>
    </row>
    <row collapsed="false" customFormat="false" customHeight="false" hidden="false" ht="12.1" outlineLevel="0" r="6895">
      <c r="A6895" s="3" t="s">
        <f>=HYPERLINK("https://mp39851918.megaplan.ua/deals/128062/card/","21875")</f>
      </c>
      <c r="B6895" s="3" t="inlineStr">
        <is>
          <t>112-3500674-6517805</t>
        </is>
      </c>
      <c r="C6895" s="3" t="inlineStr">
        <is>
          <t>RockyMountain</t>
        </is>
      </c>
    </row>
    <row collapsed="false" customFormat="false" customHeight="false" hidden="false" ht="12.1" outlineLevel="0" r="6896">
      <c r="A6896" s="3" t="s">
        <f>=HYPERLINK("https://mp39851918.megaplan.ua/deals/128064/card/","21876")</f>
      </c>
      <c r="B6896" s="3" t="inlineStr">
        <is>
          <t>112-0693706-3277042</t>
        </is>
      </c>
      <c r="C6896" s="3" t="inlineStr">
        <is>
          <t>TuckerRocky</t>
        </is>
      </c>
    </row>
    <row collapsed="false" customFormat="false" customHeight="false" hidden="false" ht="12.1" outlineLevel="0" r="6897">
      <c r="A6897" s="3" t="s">
        <f>=HYPERLINK("https://mp39851918.megaplan.ua/deals/128069/card/","21877")</f>
      </c>
      <c r="B6897" s="3" t="inlineStr">
        <is>
          <t>113-5483705-7978658</t>
        </is>
      </c>
      <c r="C6897" s="3" t="inlineStr">
        <is>
          <t>TuckerRocky</t>
        </is>
      </c>
    </row>
    <row collapsed="false" customFormat="false" customHeight="false" hidden="false" ht="12.1" outlineLevel="0" r="6898">
      <c r="A6898" s="3" t="s">
        <f>=HYPERLINK("https://mp39851918.megaplan.ua/deals/128079/card/","21878")</f>
      </c>
      <c r="B6898" s="3" t="inlineStr">
        <is>
          <t>112-3622069-0440251</t>
        </is>
      </c>
      <c r="C6898" s="3" t="inlineStr">
        <is>
          <t>Autodist</t>
        </is>
      </c>
    </row>
    <row collapsed="false" customFormat="false" customHeight="false" hidden="false" ht="12.1" outlineLevel="0" r="6899">
      <c r="A6899" s="3" t="s">
        <f>=HYPERLINK("https://mp39851918.megaplan.ua/deals/128082/card/","21879")</f>
      </c>
      <c r="B6899" s="3" t="inlineStr">
        <is>
          <t>114-9028921-4805054</t>
        </is>
      </c>
      <c r="C6899" s="3" t="inlineStr">
        <is>
          <t>RockyMountain</t>
        </is>
      </c>
    </row>
    <row collapsed="false" customFormat="false" customHeight="false" hidden="false" ht="12.1" outlineLevel="0" r="6900">
      <c r="A6900" s="3" t="s">
        <f>=HYPERLINK("https://mp39851918.megaplan.ua/deals/128090/card/","21880")</f>
      </c>
      <c r="B6900" s="3" t="inlineStr">
        <is>
          <t>111-0320996-8469053</t>
        </is>
      </c>
      <c r="C6900" s="3" t="inlineStr">
        <is>
          <t>RockyMountain</t>
        </is>
      </c>
    </row>
    <row collapsed="false" customFormat="false" customHeight="false" hidden="false" ht="12.1" outlineLevel="0" r="6901">
      <c r="A6901" s="3" t="s">
        <f>=HYPERLINK("https://mp39851918.megaplan.ua/deals/128094/card/","21882")</f>
      </c>
      <c r="B6901" s="3" t="inlineStr">
        <is>
          <t>114-8230254-2623423</t>
        </is>
      </c>
      <c r="C6901" s="3" t="inlineStr">
        <is>
          <t>Autodist</t>
        </is>
      </c>
    </row>
    <row collapsed="false" customFormat="false" customHeight="false" hidden="false" ht="12.1" outlineLevel="0" r="6902">
      <c r="A6902" s="3" t="s">
        <f>=HYPERLINK("https://mp39851918.megaplan.ua/deals/128096/card/","21883")</f>
      </c>
      <c r="B6902" s="3" t="inlineStr">
        <is>
          <t>113-0579026-9084221</t>
        </is>
      </c>
      <c r="C6902" s="3" t="inlineStr">
        <is>
          <t>TuckerRocky</t>
        </is>
      </c>
    </row>
    <row collapsed="false" customFormat="false" customHeight="false" hidden="false" ht="12.1" outlineLevel="0" r="6903">
      <c r="A6903" s="3" t="s">
        <f>=HYPERLINK("https://mp39851918.megaplan.ua/deals/128110/card/","21886")</f>
      </c>
      <c r="B6903" s="3" t="inlineStr">
        <is>
          <t>114-6401883-5353057</t>
        </is>
      </c>
      <c r="C6903" s="3" t="inlineStr">
        <is>
          <t>RockyMountain</t>
        </is>
      </c>
    </row>
    <row collapsed="false" customFormat="false" customHeight="false" hidden="false" ht="12.1" outlineLevel="0" r="6904">
      <c r="A6904" s="3" t="s">
        <f>=HYPERLINK("https://mp39851918.megaplan.ua/deals/128113/card/","21887")</f>
      </c>
      <c r="B6904" s="3" t="inlineStr">
        <is>
          <t>114-7332322-1307403</t>
        </is>
      </c>
      <c r="C6904" s="3" t="inlineStr">
        <is>
          <t>TuckerRocky</t>
        </is>
      </c>
    </row>
    <row collapsed="false" customFormat="false" customHeight="false" hidden="false" ht="12.1" outlineLevel="0" r="6905">
      <c r="A6905" s="3" t="s">
        <f>=HYPERLINK("https://mp39851918.megaplan.ua/deals/128115/card/","21888")</f>
      </c>
      <c r="B6905" s="3" t="inlineStr">
        <is>
          <t>114-1154527-7502668</t>
        </is>
      </c>
      <c r="C6905" s="3" t="inlineStr">
        <is>
          <t>RockyMountain</t>
        </is>
      </c>
    </row>
    <row collapsed="false" customFormat="false" customHeight="false" hidden="false" ht="12.1" outlineLevel="0" r="6906">
      <c r="A6906" s="3" t="s">
        <f>=HYPERLINK("https://mp39851918.megaplan.ua/deals/128116/card/","21889")</f>
      </c>
      <c r="B6906" s="3" t="inlineStr">
        <is>
          <t>112-6939864-3842656</t>
        </is>
      </c>
      <c r="C6906" s="3" t="inlineStr">
        <is>
          <t>PartsUnlimited</t>
        </is>
      </c>
    </row>
    <row collapsed="false" customFormat="false" customHeight="false" hidden="false" ht="12.1" outlineLevel="0" r="6907">
      <c r="A6907" s="3" t="s">
        <f>=HYPERLINK("https://mp39851918.megaplan.ua/deals/128117/card/","21890")</f>
      </c>
      <c r="B6907" s="3" t="inlineStr">
        <is>
          <t>114-8633769-9671433</t>
        </is>
      </c>
      <c r="C6907" s="3" t="inlineStr">
        <is>
          <t>Autodist</t>
        </is>
      </c>
    </row>
    <row collapsed="false" customFormat="false" customHeight="false" hidden="false" ht="12.1" outlineLevel="0" r="6908">
      <c r="A6908" s="3" t="s">
        <f>=HYPERLINK("https://mp39851918.megaplan.ua/deals/128118/card/","21891")</f>
      </c>
      <c r="B6908" s="3" t="inlineStr">
        <is>
          <t>114-7701065-9417038</t>
        </is>
      </c>
      <c r="C6908" s="3" t="inlineStr">
        <is>
          <t>RockyMountain</t>
        </is>
      </c>
    </row>
    <row collapsed="false" customFormat="false" customHeight="false" hidden="false" ht="12.1" outlineLevel="0" r="6909">
      <c r="A6909" s="3" t="s">
        <f>=HYPERLINK("https://mp39851918.megaplan.ua/deals/128121/card/","21892")</f>
      </c>
      <c r="B6909" s="3" t="inlineStr">
        <is>
          <t>113-1519471-2865021</t>
        </is>
      </c>
      <c r="C6909" s="3" t="inlineStr">
        <is>
          <t>TuckerRocky</t>
        </is>
      </c>
    </row>
    <row collapsed="false" customFormat="false" customHeight="false" hidden="false" ht="12.1" outlineLevel="0" r="6910">
      <c r="A6910" s="3" t="s">
        <f>=HYPERLINK("https://mp39851918.megaplan.ua/deals/128129/card/","21893")</f>
      </c>
      <c r="B6910" s="3" t="inlineStr">
        <is>
          <t>112-6749948-2775430</t>
        </is>
      </c>
      <c r="C6910" s="3" t="inlineStr">
        <is>
          <t>RockyMountain</t>
        </is>
      </c>
    </row>
    <row collapsed="false" customFormat="false" customHeight="false" hidden="false" ht="12.1" outlineLevel="0" r="6911">
      <c r="A6911" s="3" t="s">
        <f>=HYPERLINK("https://mp39851918.megaplan.ua/deals/128131/card/","21894")</f>
      </c>
      <c r="B6911" s="3" t="inlineStr">
        <is>
          <t>112-0834295-9945051</t>
        </is>
      </c>
      <c r="C6911" s="3" t="inlineStr">
        <is>
          <t>TuckerRocky</t>
        </is>
      </c>
    </row>
    <row collapsed="false" customFormat="false" customHeight="false" hidden="false" ht="12.1" outlineLevel="0" r="6912">
      <c r="A6912" s="3" t="s">
        <f>=HYPERLINK("https://mp39851918.megaplan.ua/deals/128133/card/","21895")</f>
      </c>
      <c r="B6912" s="3" t="inlineStr">
        <is>
          <t>114-3896517-2505839</t>
        </is>
      </c>
      <c r="C6912" s="3" t="inlineStr">
        <is>
          <t>TuckerRocky</t>
        </is>
      </c>
    </row>
    <row collapsed="false" customFormat="false" customHeight="false" hidden="false" ht="12.1" outlineLevel="0" r="6913">
      <c r="A6913" s="3" t="s">
        <f>=HYPERLINK("https://mp39851918.megaplan.ua/deals/128153/card/","21897")</f>
      </c>
      <c r="B6913" s="3" t="inlineStr">
        <is>
          <t>114-1131480-4068229</t>
        </is>
      </c>
      <c r="C6913" s="3" t="inlineStr">
        <is>
          <t>TuckerRocky</t>
        </is>
      </c>
    </row>
    <row collapsed="false" customFormat="false" customHeight="false" hidden="false" ht="12.1" outlineLevel="0" r="6914">
      <c r="A6914" s="3" t="s">
        <f>=HYPERLINK("https://mp39851918.megaplan.ua/deals/128161/card/","21898")</f>
      </c>
      <c r="B6914" s="3" t="inlineStr">
        <is>
          <t>113-8831369-4328260</t>
        </is>
      </c>
      <c r="C6914" s="3" t="inlineStr">
        <is>
          <t>Autodist</t>
        </is>
      </c>
    </row>
    <row collapsed="false" customFormat="false" customHeight="false" hidden="false" ht="12.1" outlineLevel="0" r="6915">
      <c r="A6915" s="3" t="s">
        <f>=HYPERLINK("https://mp39851918.megaplan.ua/deals/128169/card/","21899")</f>
      </c>
      <c r="B6915" s="3" t="inlineStr">
        <is>
          <t>114-0559736-9030635</t>
        </is>
      </c>
      <c r="C6915" s="3" t="inlineStr">
        <is>
          <t>RockyMountain</t>
        </is>
      </c>
    </row>
    <row collapsed="false" customFormat="false" customHeight="false" hidden="false" ht="12.1" outlineLevel="0" r="6916">
      <c r="A6916" s="3" t="s">
        <f>=HYPERLINK("https://mp39851918.megaplan.ua/deals/128174/card/","21900")</f>
      </c>
      <c r="B6916" s="3" t="inlineStr">
        <is>
          <t>113-5217165-5497042</t>
        </is>
      </c>
      <c r="C6916" s="3" t="inlineStr">
        <is>
          <t>Autodist</t>
        </is>
      </c>
    </row>
    <row collapsed="false" customFormat="false" customHeight="false" hidden="false" ht="12.1" outlineLevel="0" r="6917">
      <c r="A6917" s="3" t="s">
        <f>=HYPERLINK("https://mp39851918.megaplan.ua/deals/128191/card/","21902")</f>
      </c>
      <c r="B6917" s="3" t="inlineStr">
        <is>
          <t>114-7229381-9952234</t>
        </is>
      </c>
      <c r="C6917" s="3" t="inlineStr">
        <is>
          <t>RockyMountain</t>
        </is>
      </c>
    </row>
    <row collapsed="false" customFormat="false" customHeight="false" hidden="false" ht="12.1" outlineLevel="0" r="6918">
      <c r="A6918" s="3" t="s">
        <f>=HYPERLINK("https://mp39851918.megaplan.ua/deals/128195/card/","21903")</f>
      </c>
      <c r="B6918" s="3" t="inlineStr">
        <is>
          <t>113-3949611-2090630</t>
        </is>
      </c>
      <c r="C6918" s="3" t="inlineStr">
        <is>
          <t>RockyMountain</t>
        </is>
      </c>
    </row>
    <row collapsed="false" customFormat="false" customHeight="false" hidden="false" ht="12.1" outlineLevel="0" r="6919">
      <c r="A6919" s="3" t="s">
        <f>=HYPERLINK("https://mp39851918.megaplan.ua/deals/128196/card/","21904")</f>
      </c>
      <c r="B6919" s="3" t="inlineStr">
        <is>
          <t>113-7537574-5572236</t>
        </is>
      </c>
      <c r="C6919" s="3" t="inlineStr">
        <is>
          <t>RockyMountain</t>
        </is>
      </c>
    </row>
    <row collapsed="false" customFormat="false" customHeight="false" hidden="false" ht="12.1" outlineLevel="0" r="6920">
      <c r="A6920" s="3" t="s">
        <f>=HYPERLINK("https://mp39851918.megaplan.ua/deals/128198/card/","21905")</f>
      </c>
      <c r="B6920" s="3" t="inlineStr">
        <is>
          <t>111-0180988-5405071</t>
        </is>
      </c>
      <c r="C6920" s="3" t="inlineStr">
        <is>
          <t>RockyMountain</t>
        </is>
      </c>
    </row>
    <row collapsed="false" customFormat="false" customHeight="false" hidden="false" ht="12.1" outlineLevel="0" r="6921">
      <c r="A6921" s="3" t="s">
        <f>=HYPERLINK("https://mp39851918.megaplan.ua/deals/128213/card/","21906")</f>
      </c>
      <c r="B6921" s="3" t="inlineStr">
        <is>
          <t>111-1493946-3286656</t>
        </is>
      </c>
      <c r="C6921" s="3" t="inlineStr">
        <is>
          <t>TuckerRocky</t>
        </is>
      </c>
    </row>
    <row collapsed="false" customFormat="false" customHeight="false" hidden="false" ht="12.1" outlineLevel="0" r="6922">
      <c r="A6922" s="3" t="s">
        <f>=HYPERLINK("https://mp39851918.megaplan.ua/deals/128214/card/","21907")</f>
      </c>
      <c r="B6922" s="3" t="inlineStr">
        <is>
          <t>112-7026499-2016213</t>
        </is>
      </c>
      <c r="C6922" s="3" t="inlineStr">
        <is>
          <t>PartsUnlimited</t>
        </is>
      </c>
    </row>
    <row collapsed="false" customFormat="false" customHeight="false" hidden="false" ht="12.1" outlineLevel="0" r="6923">
      <c r="A6923" s="3" t="s">
        <f>=HYPERLINK("https://mp39851918.megaplan.ua/deals/128234/card/","21909")</f>
      </c>
      <c r="B6923" s="3" t="inlineStr">
        <is>
          <t>111-3127768-9857024</t>
        </is>
      </c>
      <c r="C6923" s="3" t="inlineStr">
        <is>
          <t>TuckerRocky</t>
        </is>
      </c>
    </row>
    <row collapsed="false" customFormat="false" customHeight="false" hidden="false" ht="12.1" outlineLevel="0" r="6924">
      <c r="A6924" s="3" t="s">
        <f>=HYPERLINK("https://mp39851918.megaplan.ua/deals/128254/card/","21912")</f>
      </c>
      <c r="B6924" s="3" t="inlineStr">
        <is>
          <t>114-0567190-9455463</t>
        </is>
      </c>
      <c r="C6924" s="3" t="inlineStr">
        <is>
          <t>PartsUnlimited</t>
        </is>
      </c>
    </row>
    <row collapsed="false" customFormat="false" customHeight="false" hidden="false" ht="12.1" outlineLevel="0" r="6925">
      <c r="A6925" s="3" t="s">
        <f>=HYPERLINK("https://mp39851918.megaplan.ua/deals/128255/card/","21913")</f>
      </c>
      <c r="B6925" s="3" t="inlineStr">
        <is>
          <t>113-5146239-5007452</t>
        </is>
      </c>
      <c r="C6925" s="3" t="inlineStr">
        <is>
          <t>RockyMountain</t>
        </is>
      </c>
    </row>
    <row collapsed="false" customFormat="false" customHeight="false" hidden="false" ht="12.1" outlineLevel="0" r="6926">
      <c r="A6926" s="3" t="s">
        <f>=HYPERLINK("https://mp39851918.megaplan.ua/deals/128263/card/","21914")</f>
      </c>
      <c r="B6926" s="3" t="inlineStr">
        <is>
          <t>112-4889313-3335449</t>
        </is>
      </c>
      <c r="C6926" s="3" t="inlineStr">
        <is>
          <t>RockyMountain</t>
        </is>
      </c>
    </row>
    <row collapsed="false" customFormat="false" customHeight="false" hidden="false" ht="12.1" outlineLevel="0" r="6927">
      <c r="A6927" s="3" t="s">
        <f>=HYPERLINK("https://mp39851918.megaplan.ua/deals/128281/card/","21915")</f>
      </c>
      <c r="B6927" s="3" t="inlineStr">
        <is>
          <t>114-0213531-4677006</t>
        </is>
      </c>
      <c r="C6927" s="3" t="inlineStr">
        <is>
          <t>TuckerRocky</t>
        </is>
      </c>
    </row>
    <row collapsed="false" customFormat="false" customHeight="false" hidden="false" ht="12.1" outlineLevel="0" r="6928">
      <c r="A6928" s="3" t="s">
        <f>=HYPERLINK("https://mp39851918.megaplan.ua/deals/128294/card/","21916")</f>
      </c>
      <c r="B6928" s="3" t="inlineStr">
        <is>
          <t>113-2087419-0218619</t>
        </is>
      </c>
      <c r="C6928" s="3" t="inlineStr">
        <is>
          <t>RockyMountain</t>
        </is>
      </c>
    </row>
    <row collapsed="false" customFormat="false" customHeight="false" hidden="false" ht="12.1" outlineLevel="0" r="6929">
      <c r="A6929" s="3" t="s">
        <f>=HYPERLINK("https://mp39851918.megaplan.ua/deals/128308/card/","21917")</f>
      </c>
      <c r="B6929" s="3" t="inlineStr">
        <is>
          <t>113-4253280-2933846</t>
        </is>
      </c>
      <c r="C6929" s="3" t="inlineStr">
        <is>
          <t>RockyMountain</t>
        </is>
      </c>
    </row>
    <row collapsed="false" customFormat="false" customHeight="false" hidden="false" ht="12.1" outlineLevel="0" r="6930">
      <c r="A6930" s="3" t="s">
        <f>=HYPERLINK("https://mp39851918.megaplan.ua/deals/128316/card/","21918")</f>
      </c>
      <c r="B6930" s="3" t="inlineStr">
        <is>
          <t>114-5571963-7645023</t>
        </is>
      </c>
      <c r="C6930" s="3" t="inlineStr">
        <is>
          <t>RockyMountain</t>
        </is>
      </c>
    </row>
    <row collapsed="false" customFormat="false" customHeight="false" hidden="false" ht="12.1" outlineLevel="0" r="6931">
      <c r="A6931" s="3" t="s">
        <f>=HYPERLINK("https://mp39851918.megaplan.ua/deals/128337/card/","21923")</f>
      </c>
      <c r="B6931" s="3" t="inlineStr">
        <is>
          <t>112-7665773-2276248</t>
        </is>
      </c>
      <c r="C6931" s="3" t="inlineStr">
        <is>
          <t>Autodist</t>
        </is>
      </c>
    </row>
    <row collapsed="false" customFormat="false" customHeight="false" hidden="false" ht="12.1" outlineLevel="0" r="6932">
      <c r="A6932" s="3" t="s">
        <f>=HYPERLINK("https://mp39851918.megaplan.ua/deals/128341/card/","21924")</f>
      </c>
      <c r="B6932" s="3" t="inlineStr">
        <is>
          <t>112-8699625-2782631</t>
        </is>
      </c>
      <c r="C6932" s="3" t="inlineStr">
        <is>
          <t>Autodist</t>
        </is>
      </c>
    </row>
    <row collapsed="false" customFormat="false" customHeight="false" hidden="false" ht="12.1" outlineLevel="0" r="6933">
      <c r="A6933" s="3" t="s">
        <f>=HYPERLINK("https://mp39851918.megaplan.ua/deals/128342/card/","21925")</f>
      </c>
      <c r="B6933" s="3" t="inlineStr">
        <is>
          <t>113-0451979-4077801</t>
        </is>
      </c>
      <c r="C6933" s="3" t="inlineStr">
        <is>
          <t>RockyMountain</t>
        </is>
      </c>
    </row>
    <row collapsed="false" customFormat="false" customHeight="false" hidden="false" ht="12.1" outlineLevel="0" r="6934">
      <c r="A6934" s="3" t="s">
        <f>=HYPERLINK("https://mp39851918.megaplan.ua/deals/128343/card/","21926")</f>
      </c>
      <c r="B6934" s="3" t="inlineStr">
        <is>
          <t>113-4965572-0521011</t>
        </is>
      </c>
      <c r="C6934" s="3" t="inlineStr">
        <is>
          <t>Autodist</t>
        </is>
      </c>
    </row>
    <row collapsed="false" customFormat="false" customHeight="false" hidden="false" ht="12.1" outlineLevel="0" r="6935">
      <c r="A6935" s="3" t="s">
        <f>=HYPERLINK("https://mp39851918.megaplan.ua/deals/128344/card/","21927")</f>
      </c>
      <c r="B6935" s="3" t="inlineStr">
        <is>
          <t>114-0626062-8664258</t>
        </is>
      </c>
      <c r="C6935" s="3" t="inlineStr">
        <is>
          <t>RockyMountain</t>
        </is>
      </c>
    </row>
    <row collapsed="false" customFormat="false" customHeight="false" hidden="false" ht="12.1" outlineLevel="0" r="6936">
      <c r="A6936" s="3" t="s">
        <f>=HYPERLINK("https://mp39851918.megaplan.ua/deals/128346/card/","21928")</f>
      </c>
      <c r="B6936" s="3" t="inlineStr">
        <is>
          <t>114-4061330-5133057</t>
        </is>
      </c>
      <c r="C6936" s="3" t="inlineStr">
        <is>
          <t>TuckerRocky</t>
        </is>
      </c>
    </row>
    <row collapsed="false" customFormat="false" customHeight="false" hidden="false" ht="12.1" outlineLevel="0" r="6937">
      <c r="A6937" s="3" t="s">
        <f>=HYPERLINK("https://mp39851918.megaplan.ua/deals/128353/card/","21929")</f>
      </c>
      <c r="B6937" s="3" t="inlineStr">
        <is>
          <t>114-7491647-6144205</t>
        </is>
      </c>
      <c r="C6937" s="3" t="inlineStr">
        <is>
          <t>Autodist</t>
        </is>
      </c>
    </row>
    <row collapsed="false" customFormat="false" customHeight="false" hidden="false" ht="12.1" outlineLevel="0" r="6938">
      <c r="A6938" s="3" t="s">
        <f>=HYPERLINK("https://mp39851918.megaplan.ua/deals/128370/card/","21930")</f>
      </c>
      <c r="B6938" s="3" t="inlineStr">
        <is>
          <t>111-0243693-8736201</t>
        </is>
      </c>
      <c r="C6938" s="3" t="inlineStr">
        <is>
          <t>PartsUnlimited</t>
        </is>
      </c>
    </row>
    <row collapsed="false" customFormat="false" customHeight="false" hidden="false" ht="12.1" outlineLevel="0" r="6939">
      <c r="A6939" s="3" t="s">
        <f>=HYPERLINK("https://mp39851918.megaplan.ua/deals/128378/card/","21931")</f>
      </c>
      <c r="B6939" s="3" t="inlineStr">
        <is>
          <t>111-0525752-0834666</t>
        </is>
      </c>
      <c r="C6939" s="3" t="inlineStr">
        <is>
          <t>RockyMountain</t>
        </is>
      </c>
    </row>
    <row collapsed="false" customFormat="false" customHeight="false" hidden="false" ht="12.1" outlineLevel="0" r="6940">
      <c r="A6940" s="3" t="s">
        <f>=HYPERLINK("https://mp39851918.megaplan.ua/deals/128384/card/","21932")</f>
      </c>
      <c r="B6940" s="3" t="inlineStr">
        <is>
          <t>114-7803880-0072244</t>
        </is>
      </c>
      <c r="C6940" s="3" t="inlineStr">
        <is>
          <t>TuckerRocky</t>
        </is>
      </c>
    </row>
    <row collapsed="false" customFormat="false" customHeight="false" hidden="false" ht="12.1" outlineLevel="0" r="6941">
      <c r="A6941" s="3" t="s">
        <f>=HYPERLINK("https://mp39851918.megaplan.ua/deals/128407/card/","21933")</f>
      </c>
      <c r="B6941" s="3" t="inlineStr">
        <is>
          <t>113-4084869-3300233</t>
        </is>
      </c>
      <c r="C6941" s="3" t="inlineStr">
        <is>
          <t>RockyMountain</t>
        </is>
      </c>
    </row>
    <row collapsed="false" customFormat="false" customHeight="false" hidden="false" ht="12.1" outlineLevel="0" r="6942">
      <c r="A6942" s="3" t="s">
        <f>=HYPERLINK("https://mp39851918.megaplan.ua/deals/128459/card/","21935")</f>
      </c>
      <c r="B6942" s="3" t="inlineStr">
        <is>
          <t>113-6687872-7996249</t>
        </is>
      </c>
      <c r="C6942" s="3" t="inlineStr">
        <is>
          <t>Autodist</t>
        </is>
      </c>
    </row>
    <row collapsed="false" customFormat="false" customHeight="false" hidden="false" ht="12.1" outlineLevel="0" r="6943">
      <c r="A6943" s="3" t="s">
        <f>=HYPERLINK("https://mp39851918.megaplan.ua/deals/128468/card/","21936")</f>
      </c>
      <c r="B6943" s="3" t="inlineStr">
        <is>
          <t>114-4361749-6043434</t>
        </is>
      </c>
      <c r="C6943" s="3" t="inlineStr">
        <is>
          <t>Autodist</t>
        </is>
      </c>
    </row>
    <row collapsed="false" customFormat="false" customHeight="false" hidden="false" ht="12.1" outlineLevel="0" r="6944">
      <c r="A6944" s="3" t="s">
        <f>=HYPERLINK("https://mp39851918.megaplan.ua/deals/128475/card/","21937")</f>
      </c>
      <c r="B6944" s="3" t="inlineStr">
        <is>
          <t>113-4617278-8198668</t>
        </is>
      </c>
      <c r="C6944" s="3" t="inlineStr">
        <is>
          <t>RockyMountain</t>
        </is>
      </c>
    </row>
    <row collapsed="false" customFormat="false" customHeight="false" hidden="false" ht="12.1" outlineLevel="0" r="6945">
      <c r="A6945" s="3" t="s">
        <f>=HYPERLINK("https://mp39851918.megaplan.ua/deals/128496/card/","21938")</f>
      </c>
      <c r="B6945" s="3" t="inlineStr">
        <is>
          <t>113-8661553-5253019</t>
        </is>
      </c>
      <c r="C6945" s="3" t="inlineStr">
        <is>
          <t>PartsUnlimited</t>
        </is>
      </c>
    </row>
    <row collapsed="false" customFormat="false" customHeight="false" hidden="false" ht="12.1" outlineLevel="0" r="6946">
      <c r="A6946" s="3" t="s">
        <f>=HYPERLINK("https://mp39851918.megaplan.ua/deals/128497/card/","21939")</f>
      </c>
      <c r="B6946" s="3" t="inlineStr">
        <is>
          <t>114-9723598-9063414</t>
        </is>
      </c>
      <c r="C6946" s="3" t="inlineStr">
        <is>
          <t>Autodist</t>
        </is>
      </c>
    </row>
    <row collapsed="false" customFormat="false" customHeight="false" hidden="false" ht="12.1" outlineLevel="0" r="6947">
      <c r="A6947" s="3" t="s">
        <f>=HYPERLINK("https://mp39851918.megaplan.ua/deals/128542/card/","21940")</f>
      </c>
      <c r="B6947" s="3" t="inlineStr">
        <is>
          <t>114-0323128-5147404</t>
        </is>
      </c>
      <c r="C6947" s="3" t="inlineStr">
        <is>
          <t>RockyMountain</t>
        </is>
      </c>
    </row>
    <row collapsed="false" customFormat="false" customHeight="false" hidden="false" ht="12.1" outlineLevel="0" r="6948">
      <c r="A6948" s="3" t="s">
        <f>=HYPERLINK("https://mp39851918.megaplan.ua/deals/128549/card/","21942")</f>
      </c>
      <c r="B6948" s="3" t="inlineStr">
        <is>
          <t>114-2069979-8471468</t>
        </is>
      </c>
      <c r="C6948" s="3" t="inlineStr">
        <is>
          <t>PartsUnlimited</t>
        </is>
      </c>
    </row>
    <row collapsed="false" customFormat="false" customHeight="false" hidden="false" ht="12.1" outlineLevel="0" r="6949">
      <c r="A6949" s="3" t="s">
        <f>=HYPERLINK("https://mp39851918.megaplan.ua/deals/128554/card/","21943")</f>
      </c>
      <c r="B6949" s="3" t="inlineStr">
        <is>
          <t>113-2973559-1289044</t>
        </is>
      </c>
      <c r="C6949" s="3" t="inlineStr">
        <is>
          <t>RockyMountain</t>
        </is>
      </c>
    </row>
    <row collapsed="false" customFormat="false" customHeight="false" hidden="false" ht="12.1" outlineLevel="0" r="6950">
      <c r="A6950" s="3" t="s">
        <f>=HYPERLINK("https://mp39851918.megaplan.ua/deals/128558/card/","21944")</f>
      </c>
      <c r="B6950" s="3" t="inlineStr">
        <is>
          <t>113-4628189-1043402</t>
        </is>
      </c>
      <c r="C6950" s="3" t="inlineStr">
        <is>
          <t>Autodist</t>
        </is>
      </c>
    </row>
    <row collapsed="false" customFormat="false" customHeight="false" hidden="false" ht="12.1" outlineLevel="0" r="6951">
      <c r="A6951" s="3" t="s">
        <f>=HYPERLINK("https://mp39851918.megaplan.ua/deals/128575/card/","21945")</f>
      </c>
      <c r="B6951" s="3" t="inlineStr">
        <is>
          <t>114-4898827-4529841</t>
        </is>
      </c>
      <c r="C6951" s="3" t="inlineStr">
        <is>
          <t>PartsUnlimited</t>
        </is>
      </c>
    </row>
    <row collapsed="false" customFormat="false" customHeight="false" hidden="false" ht="12.1" outlineLevel="0" r="6952">
      <c r="A6952" s="3" t="s">
        <f>=HYPERLINK("https://mp39851918.megaplan.ua/deals/128576/card/","21946")</f>
      </c>
      <c r="B6952" s="3" t="inlineStr">
        <is>
          <t>114-6692534-2040201</t>
        </is>
      </c>
      <c r="C6952" s="3" t="inlineStr">
        <is>
          <t>Autodist</t>
        </is>
      </c>
    </row>
    <row collapsed="false" customFormat="false" customHeight="false" hidden="false" ht="12.1" outlineLevel="0" r="6953">
      <c r="A6953" s="3" t="s">
        <f>=HYPERLINK("https://mp39851918.megaplan.ua/deals/128581/card/","21947")</f>
      </c>
      <c r="B6953" s="3" t="inlineStr">
        <is>
          <t>112-0651970-5885069</t>
        </is>
      </c>
      <c r="C6953" s="3" t="inlineStr">
        <is>
          <t>RockyMountain</t>
        </is>
      </c>
    </row>
    <row collapsed="false" customFormat="false" customHeight="false" hidden="false" ht="12.1" outlineLevel="0" r="6954">
      <c r="A6954" s="3" t="s">
        <f>=HYPERLINK("https://mp39851918.megaplan.ua/deals/128582/card/","21948")</f>
      </c>
      <c r="B6954" s="3" t="inlineStr">
        <is>
          <t>113-0729263-9907446</t>
        </is>
      </c>
      <c r="C6954" s="3" t="inlineStr">
        <is>
          <t>RockyMountain</t>
        </is>
      </c>
    </row>
    <row collapsed="false" customFormat="false" customHeight="false" hidden="false" ht="12.1" outlineLevel="0" r="6955">
      <c r="A6955" s="3" t="s">
        <f>=HYPERLINK("https://mp39851918.megaplan.ua/deals/128594/card/","21950")</f>
      </c>
      <c r="B6955" s="3" t="inlineStr">
        <is>
          <t>113-5153011-5376252</t>
        </is>
      </c>
      <c r="C6955" s="3" t="inlineStr">
        <is>
          <t>TuckerRocky</t>
        </is>
      </c>
    </row>
    <row collapsed="false" customFormat="false" customHeight="false" hidden="false" ht="12.1" outlineLevel="0" r="6956">
      <c r="A6956" s="3" t="s">
        <f>=HYPERLINK("https://mp39851918.megaplan.ua/deals/128598/card/","21951")</f>
      </c>
      <c r="B6956" s="3" t="inlineStr">
        <is>
          <t>114-9866251-1157806</t>
        </is>
      </c>
      <c r="C6956" s="3" t="inlineStr">
        <is>
          <t>RockyMountain</t>
        </is>
      </c>
    </row>
    <row collapsed="false" customFormat="false" customHeight="false" hidden="false" ht="12.1" outlineLevel="0" r="6957">
      <c r="A6957" s="3" t="s">
        <f>=HYPERLINK("https://mp39851918.megaplan.ua/deals/128599/card/","21952")</f>
      </c>
      <c r="B6957" s="3" t="inlineStr">
        <is>
          <t>114-6120872-1761022</t>
        </is>
      </c>
      <c r="C6957" s="3" t="inlineStr">
        <is>
          <t>TuckerRocky</t>
        </is>
      </c>
    </row>
    <row collapsed="false" customFormat="false" customHeight="false" hidden="false" ht="12.1" outlineLevel="0" r="6958">
      <c r="A6958" s="3" t="s">
        <f>=HYPERLINK("https://mp39851918.megaplan.ua/deals/128600/card/","21953")</f>
      </c>
      <c r="B6958" s="3" t="inlineStr">
        <is>
          <t>113-0217727-8556262</t>
        </is>
      </c>
      <c r="C6958" s="3" t="inlineStr">
        <is>
          <t>PartsUnlimited</t>
        </is>
      </c>
    </row>
    <row collapsed="false" customFormat="false" customHeight="false" hidden="false" ht="12.1" outlineLevel="0" r="6959">
      <c r="A6959" s="3" t="s">
        <f>=HYPERLINK("https://mp39851918.megaplan.ua/deals/128619/card/","21954")</f>
      </c>
      <c r="B6959" s="3" t="inlineStr">
        <is>
          <t>112-8243238-8231425</t>
        </is>
      </c>
      <c r="C6959" s="3" t="inlineStr">
        <is>
          <t>Autodist</t>
        </is>
      </c>
    </row>
    <row collapsed="false" customFormat="false" customHeight="false" hidden="false" ht="12.1" outlineLevel="0" r="6960">
      <c r="A6960" s="3" t="s">
        <f>=HYPERLINK("https://mp39851918.megaplan.ua/deals/128625/card/","21956")</f>
      </c>
      <c r="B6960" s="3" t="inlineStr">
        <is>
          <t>114-5983985-3050605</t>
        </is>
      </c>
      <c r="C6960" s="3" t="inlineStr">
        <is>
          <t>PartsUnlimited</t>
        </is>
      </c>
    </row>
    <row collapsed="false" customFormat="false" customHeight="false" hidden="false" ht="12.1" outlineLevel="0" r="6961">
      <c r="A6961" s="3" t="s">
        <f>=HYPERLINK("https://mp39851918.megaplan.ua/deals/128630/card/","21957")</f>
      </c>
      <c r="B6961" s="3" t="inlineStr">
        <is>
          <t>113-0313421-2593870</t>
        </is>
      </c>
      <c r="C6961" s="3" t="inlineStr">
        <is>
          <t>Autodist</t>
        </is>
      </c>
    </row>
    <row collapsed="false" customFormat="false" customHeight="false" hidden="false" ht="12.1" outlineLevel="0" r="6962">
      <c r="A6962" s="3" t="s">
        <f>=HYPERLINK("https://mp39851918.megaplan.ua/deals/128631/card/","21958")</f>
      </c>
      <c r="B6962" s="3" t="inlineStr">
        <is>
          <t>111-0837843-9302600</t>
        </is>
      </c>
      <c r="C6962" s="3" t="inlineStr">
        <is>
          <t>RockyMountain</t>
        </is>
      </c>
    </row>
    <row collapsed="false" customFormat="false" customHeight="false" hidden="false" ht="12.1" outlineLevel="0" r="6963">
      <c r="A6963" s="3" t="s">
        <f>=HYPERLINK("https://mp39851918.megaplan.ua/deals/128635/card/","21960")</f>
      </c>
      <c r="B6963" s="3" t="inlineStr">
        <is>
          <t>114-8907765-3265805</t>
        </is>
      </c>
      <c r="C6963" s="3" t="inlineStr">
        <is>
          <t>Autodist</t>
        </is>
      </c>
    </row>
    <row collapsed="false" customFormat="false" customHeight="false" hidden="false" ht="12.1" outlineLevel="0" r="6964">
      <c r="A6964" s="3" t="s">
        <f>=HYPERLINK("https://mp39851918.megaplan.ua/deals/128637/card/","21961")</f>
      </c>
      <c r="B6964" s="3" t="inlineStr">
        <is>
          <t>113-4170767-1267463</t>
        </is>
      </c>
      <c r="C6964" s="3" t="inlineStr">
        <is>
          <t>PartsUnlimited</t>
        </is>
      </c>
    </row>
    <row collapsed="false" customFormat="false" customHeight="false" hidden="false" ht="12.1" outlineLevel="0" r="6965">
      <c r="A6965" s="3" t="s">
        <f>=HYPERLINK("https://mp39851918.megaplan.ua/deals/128641/card/","21962")</f>
      </c>
      <c r="B6965" s="3" t="inlineStr">
        <is>
          <t>112-7313264-1377018</t>
        </is>
      </c>
      <c r="C6965" s="3" t="inlineStr">
        <is>
          <t>PartsUnlimited</t>
        </is>
      </c>
    </row>
    <row collapsed="false" customFormat="false" customHeight="false" hidden="false" ht="12.1" outlineLevel="0" r="6966">
      <c r="A6966" s="3" t="s">
        <f>=HYPERLINK("https://mp39851918.megaplan.ua/deals/128646/card/","21963")</f>
      </c>
      <c r="B6966" s="3" t="inlineStr">
        <is>
          <t>112-3651686-4907412</t>
        </is>
      </c>
      <c r="C6966" s="3" t="inlineStr">
        <is>
          <t>PartsUnlimited</t>
        </is>
      </c>
    </row>
    <row collapsed="false" customFormat="false" customHeight="false" hidden="false" ht="12.1" outlineLevel="0" r="6967">
      <c r="A6967" s="3" t="s">
        <f>=HYPERLINK("https://mp39851918.megaplan.ua/deals/128649/card/","21964")</f>
      </c>
      <c r="B6967" s="3" t="inlineStr">
        <is>
          <t>113-1183741-7390615</t>
        </is>
      </c>
      <c r="C6967" s="3" t="inlineStr">
        <is>
          <t>TuckerRocky</t>
        </is>
      </c>
    </row>
    <row collapsed="false" customFormat="false" customHeight="false" hidden="false" ht="12.1" outlineLevel="0" r="6968">
      <c r="A6968" s="3" t="s">
        <f>=HYPERLINK("https://mp39851918.megaplan.ua/deals/128653/card/","21965")</f>
      </c>
      <c r="B6968" s="3" t="inlineStr">
        <is>
          <t>113-4434989-7778661</t>
        </is>
      </c>
      <c r="C6968" s="3" t="inlineStr">
        <is>
          <t>PartsUnlimited</t>
        </is>
      </c>
    </row>
    <row collapsed="false" customFormat="false" customHeight="false" hidden="false" ht="12.1" outlineLevel="0" r="6969">
      <c r="A6969" s="3" t="s">
        <f>=HYPERLINK("https://mp39851918.megaplan.ua/deals/128660/card/","21966")</f>
      </c>
      <c r="B6969" s="3" t="inlineStr">
        <is>
          <t>114-1157191-8829860</t>
        </is>
      </c>
      <c r="C6969" s="3" t="inlineStr">
        <is>
          <t>RockyMountain</t>
        </is>
      </c>
    </row>
    <row collapsed="false" customFormat="false" customHeight="false" hidden="false" ht="12.1" outlineLevel="0" r="6970">
      <c r="A6970" s="3" t="s">
        <f>=HYPERLINK("https://mp39851918.megaplan.ua/deals/128661/card/","21967")</f>
      </c>
      <c r="B6970" s="3" t="inlineStr">
        <is>
          <t>112-9785387-3215450</t>
        </is>
      </c>
      <c r="C6970" s="3" t="inlineStr">
        <is>
          <t>TuckerRocky</t>
        </is>
      </c>
    </row>
    <row collapsed="false" customFormat="false" customHeight="false" hidden="false" ht="12.1" outlineLevel="0" r="6971">
      <c r="A6971" s="3" t="s">
        <f>=HYPERLINK("https://mp39851918.megaplan.ua/deals/128680/card/","21969")</f>
      </c>
      <c r="B6971" s="3" t="inlineStr">
        <is>
          <t>112-9167029-5318661</t>
        </is>
      </c>
      <c r="C6971" s="3" t="inlineStr">
        <is>
          <t>RockyMountain</t>
        </is>
      </c>
    </row>
    <row collapsed="false" customFormat="false" customHeight="false" hidden="false" ht="12.1" outlineLevel="0" r="6972">
      <c r="A6972" s="3" t="s">
        <f>=HYPERLINK("https://mp39851918.megaplan.ua/deals/128683/card/","21970")</f>
      </c>
      <c r="B6972" s="3" t="inlineStr">
        <is>
          <t>114-7023720-5357059</t>
        </is>
      </c>
      <c r="C6972" s="3" t="inlineStr">
        <is>
          <t>PartsUnlimited</t>
        </is>
      </c>
    </row>
    <row collapsed="false" customFormat="false" customHeight="false" hidden="false" ht="12.1" outlineLevel="0" r="6973">
      <c r="A6973" s="3" t="s">
        <f>=HYPERLINK("https://mp39851918.megaplan.ua/deals/128684/card/","21971")</f>
      </c>
      <c r="B6973" s="3" t="inlineStr">
        <is>
          <t>113-5648933-8797013</t>
        </is>
      </c>
      <c r="C6973" s="3" t="inlineStr">
        <is>
          <t>TuckerRocky</t>
        </is>
      </c>
    </row>
    <row collapsed="false" customFormat="false" customHeight="false" hidden="false" ht="12.1" outlineLevel="0" r="6974">
      <c r="A6974" s="3" t="s">
        <f>=HYPERLINK("https://mp39851918.megaplan.ua/deals/128685/card/","21972")</f>
      </c>
      <c r="B6974" s="3" t="inlineStr">
        <is>
          <t>113-8098331-3382612</t>
        </is>
      </c>
      <c r="C6974" s="3" t="inlineStr">
        <is>
          <t>TuckerRocky</t>
        </is>
      </c>
    </row>
    <row collapsed="false" customFormat="false" customHeight="false" hidden="false" ht="12.1" outlineLevel="0" r="6975">
      <c r="A6975" s="3" t="s">
        <f>=HYPERLINK("https://mp39851918.megaplan.ua/deals/128686/card/","21973")</f>
      </c>
      <c r="B6975" s="3" t="inlineStr">
        <is>
          <t>112-5887286-8483438</t>
        </is>
      </c>
      <c r="C6975" s="3" t="inlineStr">
        <is>
          <t>TuckerRocky</t>
        </is>
      </c>
    </row>
    <row collapsed="false" customFormat="false" customHeight="false" hidden="false" ht="12.1" outlineLevel="0" r="6976">
      <c r="A6976" s="3" t="s">
        <f>=HYPERLINK("https://mp39851918.megaplan.ua/deals/128687/card/","21974")</f>
      </c>
      <c r="B6976" s="3" t="inlineStr">
        <is>
          <t>112-9500320-1563440</t>
        </is>
      </c>
      <c r="C6976" s="3" t="inlineStr">
        <is>
          <t>PartsUnlimited</t>
        </is>
      </c>
    </row>
    <row collapsed="false" customFormat="false" customHeight="false" hidden="false" ht="12.1" outlineLevel="0" r="6977">
      <c r="A6977" s="3" t="s">
        <f>=HYPERLINK("https://mp39851918.megaplan.ua/deals/128688/card/","21975")</f>
      </c>
      <c r="B6977" s="3" t="inlineStr">
        <is>
          <t>114-3304806-5527456</t>
        </is>
      </c>
      <c r="C6977" s="3" t="inlineStr">
        <is>
          <t>PartsUnlimited</t>
        </is>
      </c>
    </row>
    <row collapsed="false" customFormat="false" customHeight="false" hidden="false" ht="12.1" outlineLevel="0" r="6978">
      <c r="A6978" s="3" t="s">
        <f>=HYPERLINK("https://mp39851918.megaplan.ua/deals/128689/card/","21976")</f>
      </c>
      <c r="B6978" s="3" t="inlineStr">
        <is>
          <t>114-3784582-3929835</t>
        </is>
      </c>
      <c r="C6978" s="3" t="inlineStr">
        <is>
          <t>PartsUnlimited</t>
        </is>
      </c>
    </row>
    <row collapsed="false" customFormat="false" customHeight="false" hidden="false" ht="12.1" outlineLevel="0" r="6979">
      <c r="A6979" s="3" t="s">
        <f>=HYPERLINK("https://mp39851918.megaplan.ua/deals/128698/card/","21977")</f>
      </c>
      <c r="B6979" s="3" t="inlineStr">
        <is>
          <t>111-3063062-5437866</t>
        </is>
      </c>
      <c r="C6979" s="3" t="inlineStr">
        <is>
          <t>Autodist</t>
        </is>
      </c>
    </row>
    <row collapsed="false" customFormat="false" customHeight="false" hidden="false" ht="12.1" outlineLevel="0" r="6980">
      <c r="A6980" s="3" t="s">
        <f>=HYPERLINK("https://mp39851918.megaplan.ua/deals/128704/card/","21978")</f>
      </c>
      <c r="B6980" s="3" t="inlineStr">
        <is>
          <t>111-0493360-5277823</t>
        </is>
      </c>
      <c r="C6980" s="3" t="inlineStr">
        <is>
          <t>Autodist</t>
        </is>
      </c>
    </row>
    <row collapsed="false" customFormat="false" customHeight="false" hidden="false" ht="12.1" outlineLevel="0" r="6981">
      <c r="A6981" s="3" t="s">
        <f>=HYPERLINK("https://mp39851918.megaplan.ua/deals/128708/card/","21979")</f>
      </c>
      <c r="B6981" s="3" t="inlineStr">
        <is>
          <t>113-4933527-7744258</t>
        </is>
      </c>
      <c r="C6981" s="3" t="inlineStr">
        <is>
          <t>RockyMountain</t>
        </is>
      </c>
    </row>
    <row collapsed="false" customFormat="false" customHeight="false" hidden="false" ht="12.1" outlineLevel="0" r="6982">
      <c r="A6982" s="3" t="s">
        <f>=HYPERLINK("https://mp39851918.megaplan.ua/deals/128717/card/","21981")</f>
      </c>
      <c r="B6982" s="3" t="inlineStr">
        <is>
          <t>114-9024534-3524218</t>
        </is>
      </c>
      <c r="C6982" s="3" t="inlineStr">
        <is>
          <t>TuckerRocky</t>
        </is>
      </c>
    </row>
    <row collapsed="false" customFormat="false" customHeight="false" hidden="false" ht="12.1" outlineLevel="0" r="6983">
      <c r="A6983" s="3" t="s">
        <f>=HYPERLINK("https://mp39851918.megaplan.ua/deals/128723/card/","21982")</f>
      </c>
      <c r="B6983" s="3" t="inlineStr">
        <is>
          <t>113-8379678-4609052</t>
        </is>
      </c>
      <c r="C6983" s="3" t="inlineStr">
        <is>
          <t>Autodist</t>
        </is>
      </c>
    </row>
    <row collapsed="false" customFormat="false" customHeight="false" hidden="false" ht="12.1" outlineLevel="0" r="6984">
      <c r="A6984" s="3" t="s">
        <f>=HYPERLINK("https://mp39851918.megaplan.ua/deals/128730/card/","21983")</f>
      </c>
      <c r="B6984" s="3" t="inlineStr">
        <is>
          <t>113-8305896-1672226</t>
        </is>
      </c>
      <c r="C6984" s="3" t="inlineStr">
        <is>
          <t>RockyMountain</t>
        </is>
      </c>
    </row>
    <row collapsed="false" customFormat="false" customHeight="false" hidden="false" ht="12.1" outlineLevel="0" r="6985">
      <c r="A6985" s="3" t="s">
        <f>=HYPERLINK("https://mp39851918.megaplan.ua/deals/128733/card/","21984")</f>
      </c>
      <c r="B6985" s="3" t="inlineStr">
        <is>
          <t>113-0575030-0521053</t>
        </is>
      </c>
      <c r="C6985" s="3" t="inlineStr">
        <is>
          <t>Autodist</t>
        </is>
      </c>
    </row>
    <row collapsed="false" customFormat="false" customHeight="false" hidden="false" ht="12.1" outlineLevel="0" r="6986">
      <c r="A6986" s="3" t="s">
        <f>=HYPERLINK("https://mp39851918.megaplan.ua/deals/128737/card/","21985")</f>
      </c>
      <c r="B6986" s="3" t="inlineStr">
        <is>
          <t>112-9511116-5967459</t>
        </is>
      </c>
      <c r="C6986" s="3" t="inlineStr">
        <is>
          <t>RockyMountain</t>
        </is>
      </c>
    </row>
    <row collapsed="false" customFormat="false" customHeight="false" hidden="false" ht="12.1" outlineLevel="0" r="6987">
      <c r="A6987" s="3" t="s">
        <f>=HYPERLINK("https://mp39851918.megaplan.ua/deals/128745/card/","21986")</f>
      </c>
      <c r="B6987" s="3" t="inlineStr">
        <is>
          <t>113-8974005-9391411</t>
        </is>
      </c>
      <c r="C6987" s="3" t="inlineStr">
        <is>
          <t>TuckerRocky</t>
        </is>
      </c>
    </row>
    <row collapsed="false" customFormat="false" customHeight="false" hidden="false" ht="12.1" outlineLevel="0" r="6988">
      <c r="A6988" s="3" t="s">
        <f>=HYPERLINK("https://mp39851918.megaplan.ua/deals/128751/card/","21987")</f>
      </c>
      <c r="B6988" s="3" t="inlineStr">
        <is>
          <t>112-8241629-0330608</t>
        </is>
      </c>
      <c r="C6988" s="3" t="inlineStr">
        <is>
          <t>Autodist</t>
        </is>
      </c>
    </row>
    <row collapsed="false" customFormat="false" customHeight="false" hidden="false" ht="12.1" outlineLevel="0" r="6989">
      <c r="A6989" s="3" t="s">
        <f>=HYPERLINK("https://mp39851918.megaplan.ua/deals/128778/card/","21989")</f>
      </c>
      <c r="B6989" s="3" t="inlineStr">
        <is>
          <t>112-8881608-9007419</t>
        </is>
      </c>
      <c r="C6989" s="3" t="inlineStr">
        <is>
          <t>Autodist</t>
        </is>
      </c>
    </row>
    <row collapsed="false" customFormat="false" customHeight="false" hidden="false" ht="12.1" outlineLevel="0" r="6990">
      <c r="A6990" s="3" t="s">
        <f>=HYPERLINK("https://mp39851918.megaplan.ua/deals/128806/card/","21991")</f>
      </c>
      <c r="B6990" s="3" t="inlineStr">
        <is>
          <t>113-1740981-7047458</t>
        </is>
      </c>
      <c r="C6990" s="3" t="inlineStr">
        <is>
          <t>RockyMountain</t>
        </is>
      </c>
    </row>
    <row collapsed="false" customFormat="false" customHeight="false" hidden="false" ht="12.1" outlineLevel="0" r="6991">
      <c r="A6991" s="3" t="s">
        <f>=HYPERLINK("https://mp39851918.megaplan.ua/deals/128809/card/","21992")</f>
      </c>
      <c r="B6991" s="3" t="inlineStr">
        <is>
          <t>113-9877808-2037834</t>
        </is>
      </c>
      <c r="C6991" s="3" t="inlineStr">
        <is>
          <t>Autodist</t>
        </is>
      </c>
    </row>
    <row collapsed="false" customFormat="false" customHeight="false" hidden="false" ht="12.1" outlineLevel="0" r="6992">
      <c r="A6992" s="3" t="s">
        <f>=HYPERLINK("https://mp39851918.megaplan.ua/deals/128812/card/","21993")</f>
      </c>
      <c r="B6992" s="3" t="inlineStr">
        <is>
          <t>112-4413026-4040221</t>
        </is>
      </c>
      <c r="C6992" s="3" t="inlineStr">
        <is>
          <t>PartsUnlimited</t>
        </is>
      </c>
    </row>
    <row collapsed="false" customFormat="false" customHeight="false" hidden="false" ht="12.1" outlineLevel="0" r="6993">
      <c r="A6993" s="3" t="s">
        <f>=HYPERLINK("https://mp39851918.megaplan.ua/deals/128819/card/","21994")</f>
      </c>
      <c r="B6993" s="3" t="inlineStr">
        <is>
          <t>113-2308340-4153025</t>
        </is>
      </c>
      <c r="C6993" s="3" t="inlineStr">
        <is>
          <t>TuckerRocky</t>
        </is>
      </c>
    </row>
    <row collapsed="false" customFormat="false" customHeight="false" hidden="false" ht="12.1" outlineLevel="0" r="6994">
      <c r="A6994" s="3" t="s">
        <f>=HYPERLINK("https://mp39851918.megaplan.ua/deals/128828/card/","21996")</f>
      </c>
      <c r="B6994" s="3" t="inlineStr">
        <is>
          <t>112-5489097-6642654</t>
        </is>
      </c>
      <c r="C6994" s="3" t="inlineStr">
        <is>
          <t>Autodist</t>
        </is>
      </c>
    </row>
    <row collapsed="false" customFormat="false" customHeight="false" hidden="false" ht="12.1" outlineLevel="0" r="6995">
      <c r="A6995" s="3" t="s">
        <f>=HYPERLINK("https://mp39851918.megaplan.ua/deals/128831/card/","21997")</f>
      </c>
      <c r="B6995" s="3" t="inlineStr">
        <is>
          <t>114-3108015-3612268</t>
        </is>
      </c>
      <c r="C6995" s="3" t="inlineStr">
        <is>
          <t>RockyMountain</t>
        </is>
      </c>
    </row>
    <row collapsed="false" customFormat="false" customHeight="false" hidden="false" ht="12.1" outlineLevel="0" r="6996">
      <c r="A6996" s="3" t="s">
        <f>=HYPERLINK("https://mp39851918.megaplan.ua/deals/128842/card/","21998")</f>
      </c>
      <c r="B6996" s="3" t="inlineStr">
        <is>
          <t>112-7624802-2520263</t>
        </is>
      </c>
      <c r="C6996" s="3" t="inlineStr">
        <is>
          <t>Autodist</t>
        </is>
      </c>
    </row>
    <row collapsed="false" customFormat="false" customHeight="false" hidden="false" ht="12.1" outlineLevel="0" r="6997">
      <c r="A6997" s="3" t="s">
        <f>=HYPERLINK("https://mp39851918.megaplan.ua/deals/128855/card/","21999")</f>
      </c>
      <c r="B6997" s="3" t="inlineStr">
        <is>
          <t>114-6277966-4848224</t>
        </is>
      </c>
      <c r="C6997" s="3" t="inlineStr">
        <is>
          <t>RockyMountain</t>
        </is>
      </c>
    </row>
    <row collapsed="false" customFormat="false" customHeight="false" hidden="false" ht="12.1" outlineLevel="0" r="6998">
      <c r="A6998" s="3" t="s">
        <f>=HYPERLINK("https://mp39851918.megaplan.ua/deals/128858/card/","22001")</f>
      </c>
      <c r="B6998" s="3" t="inlineStr">
        <is>
          <t>112-8310676-0024220</t>
        </is>
      </c>
      <c r="C6998" s="3" t="inlineStr">
        <is>
          <t>RockyMountain</t>
        </is>
      </c>
    </row>
    <row collapsed="false" customFormat="false" customHeight="false" hidden="false" ht="12.1" outlineLevel="0" r="6999">
      <c r="A6999" s="3" t="s">
        <f>=HYPERLINK("https://mp39851918.megaplan.ua/deals/128860/card/","22002")</f>
      </c>
      <c r="B6999" s="3" t="inlineStr">
        <is>
          <t>112-8605670-0501848</t>
        </is>
      </c>
      <c r="C6999" s="3" t="inlineStr">
        <is>
          <t>RockyMountain</t>
        </is>
      </c>
    </row>
    <row collapsed="false" customFormat="false" customHeight="false" hidden="false" ht="12.1" outlineLevel="0" r="7000">
      <c r="A7000" s="3" t="s">
        <f>=HYPERLINK("https://mp39851918.megaplan.ua/deals/128874/card/","22003")</f>
      </c>
      <c r="B7000" s="3" t="inlineStr">
        <is>
          <t>114-7089643-5502669</t>
        </is>
      </c>
      <c r="C7000" s="3" t="inlineStr">
        <is>
          <t>Autodist</t>
        </is>
      </c>
    </row>
    <row collapsed="false" customFormat="false" customHeight="false" hidden="false" ht="12.1" outlineLevel="0" r="7001">
      <c r="A7001" s="3" t="s">
        <f>=HYPERLINK("https://mp39851918.megaplan.ua/deals/128884/card/","22004")</f>
      </c>
      <c r="B7001" s="3" t="inlineStr">
        <is>
          <t>113-1586463-4136241</t>
        </is>
      </c>
      <c r="C7001" s="3" t="inlineStr">
        <is>
          <t>PartsUnlimited</t>
        </is>
      </c>
    </row>
    <row collapsed="false" customFormat="false" customHeight="false" hidden="false" ht="12.1" outlineLevel="0" r="7002">
      <c r="A7002" s="3" t="s">
        <f>=HYPERLINK("https://mp39851918.megaplan.ua/deals/128915/card/","22005")</f>
      </c>
      <c r="B7002" s="3" t="inlineStr">
        <is>
          <t>114-2148275-8030613</t>
        </is>
      </c>
      <c r="C7002" s="3" t="inlineStr">
        <is>
          <t>RockyMountain</t>
        </is>
      </c>
    </row>
    <row collapsed="false" customFormat="false" customHeight="false" hidden="false" ht="12.1" outlineLevel="0" r="7003">
      <c r="A7003" s="3" t="s">
        <f>=HYPERLINK("https://mp39851918.megaplan.ua/deals/128943/card/","22007")</f>
      </c>
      <c r="B7003" s="3" t="inlineStr">
        <is>
          <t>113-8720233-8897861</t>
        </is>
      </c>
      <c r="C7003" s="3" t="inlineStr">
        <is>
          <t>TuckerRocky</t>
        </is>
      </c>
    </row>
    <row collapsed="false" customFormat="false" customHeight="false" hidden="false" ht="12.1" outlineLevel="0" r="7004">
      <c r="A7004" s="3" t="s">
        <f>=HYPERLINK("https://mp39851918.megaplan.ua/deals/128952/card/","22008")</f>
      </c>
      <c r="B7004" s="3" t="inlineStr">
        <is>
          <t>113-9219265-6723459</t>
        </is>
      </c>
      <c r="C7004" s="3" t="inlineStr">
        <is>
          <t>TuckerRocky</t>
        </is>
      </c>
    </row>
    <row collapsed="false" customFormat="false" customHeight="false" hidden="false" ht="12.1" outlineLevel="0" r="7005">
      <c r="A7005" s="3" t="s">
        <f>=HYPERLINK("https://mp39851918.megaplan.ua/deals/128953/card/","22009")</f>
      </c>
      <c r="B7005" s="3" t="inlineStr">
        <is>
          <t>112-4988515-3933010</t>
        </is>
      </c>
      <c r="C7005" s="3" t="inlineStr">
        <is>
          <t>PartsUnlimited</t>
        </is>
      </c>
    </row>
    <row collapsed="false" customFormat="false" customHeight="false" hidden="false" ht="12.1" outlineLevel="0" r="7006">
      <c r="A7006" s="3" t="s">
        <f>=HYPERLINK("https://mp39851918.megaplan.ua/deals/128980/card/","22010")</f>
      </c>
      <c r="B7006" s="3" t="inlineStr">
        <is>
          <t>113-4876256-7764204</t>
        </is>
      </c>
      <c r="C7006" s="3" t="inlineStr">
        <is>
          <t>RockyMountain</t>
        </is>
      </c>
    </row>
    <row collapsed="false" customFormat="false" customHeight="false" hidden="false" ht="12.1" outlineLevel="0" r="7007">
      <c r="A7007" s="3" t="s">
        <f>=HYPERLINK("https://mp39851918.megaplan.ua/deals/128984/card/","22011")</f>
      </c>
      <c r="B7007" s="3" t="inlineStr">
        <is>
          <t>112-5168507-6129810</t>
        </is>
      </c>
      <c r="C7007" s="3" t="inlineStr">
        <is>
          <t>RockyMountain</t>
        </is>
      </c>
    </row>
    <row collapsed="false" customFormat="false" customHeight="false" hidden="false" ht="12.1" outlineLevel="0" r="7008">
      <c r="A7008" s="3" t="s">
        <f>=HYPERLINK("https://mp39851918.megaplan.ua/deals/128985/card/","22012")</f>
      </c>
      <c r="B7008" s="3" t="inlineStr">
        <is>
          <t>114-8136449-2431409</t>
        </is>
      </c>
      <c r="C7008" s="3" t="inlineStr">
        <is>
          <t>RockyMountain</t>
        </is>
      </c>
    </row>
    <row collapsed="false" customFormat="false" customHeight="false" hidden="false" ht="12.1" outlineLevel="0" r="7009">
      <c r="A7009" s="3" t="s">
        <f>=HYPERLINK("https://mp39851918.megaplan.ua/deals/128991/card/","22013")</f>
      </c>
      <c r="B7009" s="3" t="inlineStr">
        <is>
          <t>114-6812586-7681001</t>
        </is>
      </c>
      <c r="C7009" s="3" t="inlineStr">
        <is>
          <t>RockyMountain</t>
        </is>
      </c>
    </row>
    <row collapsed="false" customFormat="false" customHeight="false" hidden="false" ht="12.1" outlineLevel="0" r="7010">
      <c r="A7010" s="3" t="s">
        <f>=HYPERLINK("https://mp39851918.megaplan.ua/deals/129002/card/","22014")</f>
      </c>
      <c r="B7010" s="3" t="inlineStr">
        <is>
          <t>113-1154879-1209846</t>
        </is>
      </c>
      <c r="C7010" s="3" t="inlineStr">
        <is>
          <t>Autodist</t>
        </is>
      </c>
    </row>
    <row collapsed="false" customFormat="false" customHeight="false" hidden="false" ht="12.1" outlineLevel="0" r="7011">
      <c r="A7011" s="3" t="s">
        <f>=HYPERLINK("https://mp39851918.megaplan.ua/deals/129024/card/","22015")</f>
      </c>
      <c r="B7011" s="3" t="inlineStr">
        <is>
          <t>114-1980006-7450625</t>
        </is>
      </c>
      <c r="C7011" s="3" t="inlineStr">
        <is>
          <t>RockyMountain</t>
        </is>
      </c>
    </row>
    <row collapsed="false" customFormat="false" customHeight="false" hidden="false" ht="12.1" outlineLevel="0" r="7012">
      <c r="A7012" s="3" t="s">
        <f>=HYPERLINK("https://mp39851918.megaplan.ua/deals/129052/card/","22016")</f>
      </c>
      <c r="B7012" s="3" t="inlineStr">
        <is>
          <t>114-1008953-7621011</t>
        </is>
      </c>
      <c r="C7012" s="3" t="inlineStr">
        <is>
          <t>Autodist</t>
        </is>
      </c>
    </row>
    <row collapsed="false" customFormat="false" customHeight="false" hidden="false" ht="12.1" outlineLevel="0" r="7013">
      <c r="A7013" s="3" t="s">
        <f>=HYPERLINK("https://mp39851918.megaplan.ua/deals/129062/card/","22019")</f>
      </c>
      <c r="B7013" s="3" t="inlineStr">
        <is>
          <t>114-4267444-1519428</t>
        </is>
      </c>
      <c r="C7013" s="3" t="inlineStr">
        <is>
          <t>PartsUnlimited</t>
        </is>
      </c>
    </row>
    <row collapsed="false" customFormat="false" customHeight="false" hidden="false" ht="12.1" outlineLevel="0" r="7014">
      <c r="A7014" s="3" t="s">
        <f>=HYPERLINK("https://mp39851918.megaplan.ua/deals/129063/card/","22020")</f>
      </c>
      <c r="B7014" s="3" t="inlineStr">
        <is>
          <t>111-3809450-2502647</t>
        </is>
      </c>
      <c r="C7014" s="3" t="inlineStr">
        <is>
          <t>Autodist</t>
        </is>
      </c>
    </row>
    <row collapsed="false" customFormat="false" customHeight="false" hidden="false" ht="12.1" outlineLevel="0" r="7015">
      <c r="A7015" s="3" t="s">
        <f>=HYPERLINK("https://mp39851918.megaplan.ua/deals/129081/card/","22021")</f>
      </c>
      <c r="B7015" s="3" t="inlineStr">
        <is>
          <t>112-4240112-6695449</t>
        </is>
      </c>
      <c r="C7015" s="3" t="inlineStr">
        <is>
          <t>TuckerRocky</t>
        </is>
      </c>
    </row>
    <row collapsed="false" customFormat="false" customHeight="false" hidden="false" ht="12.1" outlineLevel="0" r="7016">
      <c r="A7016" s="3" t="s">
        <f>=HYPERLINK("https://mp39851918.megaplan.ua/deals/129090/card/","22022")</f>
      </c>
      <c r="B7016" s="3" t="inlineStr">
        <is>
          <t>112-3144272-6490629</t>
        </is>
      </c>
      <c r="C7016" s="3" t="inlineStr">
        <is>
          <t>Autodist</t>
        </is>
      </c>
    </row>
    <row collapsed="false" customFormat="false" customHeight="false" hidden="false" ht="12.1" outlineLevel="0" r="7017">
      <c r="A7017" s="3" t="s">
        <f>=HYPERLINK("https://mp39851918.megaplan.ua/deals/129115/card/","22024")</f>
      </c>
      <c r="B7017" s="3" t="inlineStr">
        <is>
          <t>113-2701013-8549800</t>
        </is>
      </c>
      <c r="C7017" s="3" t="inlineStr">
        <is>
          <t>Autodist</t>
        </is>
      </c>
    </row>
    <row collapsed="false" customFormat="false" customHeight="false" hidden="false" ht="12.1" outlineLevel="0" r="7018">
      <c r="A7018" s="3" t="s">
        <f>=HYPERLINK("https://mp39851918.megaplan.ua/deals/129133/card/","22025")</f>
      </c>
      <c r="B7018" s="3" t="inlineStr">
        <is>
          <t>111-3794591-5581062</t>
        </is>
      </c>
      <c r="C7018" s="3" t="inlineStr">
        <is>
          <t>PartsUnlimited</t>
        </is>
      </c>
    </row>
    <row collapsed="false" customFormat="false" customHeight="false" hidden="false" ht="12.1" outlineLevel="0" r="7019">
      <c r="A7019" s="3" t="s">
        <f>=HYPERLINK("https://mp39851918.megaplan.ua/deals/129136/card/","22026")</f>
      </c>
      <c r="B7019" s="3" t="inlineStr">
        <is>
          <t>113-3541365-5218624</t>
        </is>
      </c>
      <c r="C7019" s="3" t="inlineStr">
        <is>
          <t>RockyMountain</t>
        </is>
      </c>
    </row>
    <row collapsed="false" customFormat="false" customHeight="false" hidden="false" ht="12.1" outlineLevel="0" r="7020">
      <c r="A7020" s="3" t="s">
        <f>=HYPERLINK("https://mp39851918.megaplan.ua/deals/129139/card/","22027")</f>
      </c>
      <c r="B7020" s="3" t="inlineStr">
        <is>
          <t>112-0183649-1417840</t>
        </is>
      </c>
      <c r="C7020" s="3" t="inlineStr">
        <is>
          <t>RockyMountain</t>
        </is>
      </c>
    </row>
    <row collapsed="false" customFormat="false" customHeight="false" hidden="false" ht="12.1" outlineLevel="0" r="7021">
      <c r="A7021" s="3" t="s">
        <f>=HYPERLINK("https://mp39851918.megaplan.ua/deals/129140/card/","22028")</f>
      </c>
      <c r="B7021" s="3" t="inlineStr">
        <is>
          <t>114-0460468-3468255</t>
        </is>
      </c>
      <c r="C7021" s="3" t="inlineStr">
        <is>
          <t>TuckerRocky</t>
        </is>
      </c>
    </row>
    <row collapsed="false" customFormat="false" customHeight="false" hidden="false" ht="12.1" outlineLevel="0" r="7022">
      <c r="A7022" s="3" t="s">
        <f>=HYPERLINK("https://mp39851918.megaplan.ua/deals/129159/card/","22029")</f>
      </c>
      <c r="B7022" s="3" t="inlineStr">
        <is>
          <t>114-0937218-5127438</t>
        </is>
      </c>
      <c r="C7022" s="3" t="inlineStr">
        <is>
          <t>Autodist</t>
        </is>
      </c>
    </row>
    <row collapsed="false" customFormat="false" customHeight="false" hidden="false" ht="12.1" outlineLevel="0" r="7023">
      <c r="A7023" s="3" t="s">
        <f>=HYPERLINK("https://mp39851918.megaplan.ua/deals/129169/card/","22032")</f>
      </c>
      <c r="B7023" s="3" t="inlineStr">
        <is>
          <t>111-6281337-0010636</t>
        </is>
      </c>
      <c r="C7023" s="3" t="inlineStr">
        <is>
          <t>PartsUnlimited</t>
        </is>
      </c>
    </row>
    <row collapsed="false" customFormat="false" customHeight="false" hidden="false" ht="12.1" outlineLevel="0" r="7024">
      <c r="A7024" s="3" t="s">
        <f>=HYPERLINK("https://mp39851918.megaplan.ua/deals/129173/card/","22033")</f>
      </c>
      <c r="B7024" s="3" t="inlineStr">
        <is>
          <t>114-6519041-5532227</t>
        </is>
      </c>
      <c r="C7024" s="3" t="inlineStr">
        <is>
          <t>RockyMountain</t>
        </is>
      </c>
    </row>
    <row collapsed="false" customFormat="false" customHeight="false" hidden="false" ht="12.1" outlineLevel="0" r="7025">
      <c r="A7025" s="3" t="s">
        <f>=HYPERLINK("https://mp39851918.megaplan.ua/deals/129175/card/","22034")</f>
      </c>
      <c r="B7025" s="3" t="inlineStr">
        <is>
          <t>112-4703907-0810659</t>
        </is>
      </c>
      <c r="C7025" s="3" t="inlineStr">
        <is>
          <t>RockyMountain</t>
        </is>
      </c>
    </row>
    <row collapsed="false" customFormat="false" customHeight="false" hidden="false" ht="12.1" outlineLevel="0" r="7026">
      <c r="A7026" s="3" t="s">
        <f>=HYPERLINK("https://mp39851918.megaplan.ua/deals/129188/card/","22037")</f>
      </c>
      <c r="B7026" s="3" t="inlineStr">
        <is>
          <t>114-6921824-7789866</t>
        </is>
      </c>
      <c r="C7026" s="3" t="inlineStr">
        <is>
          <t>RockyMountain</t>
        </is>
      </c>
    </row>
    <row collapsed="false" customFormat="false" customHeight="false" hidden="false" ht="12.1" outlineLevel="0" r="7027">
      <c r="A7027" s="3" t="s">
        <f>=HYPERLINK("https://mp39851918.megaplan.ua/deals/129192/card/","22038")</f>
      </c>
      <c r="B7027" s="3" t="inlineStr">
        <is>
          <t>113-0221596-0680210</t>
        </is>
      </c>
      <c r="C7027" s="3" t="inlineStr">
        <is>
          <t>Autodist</t>
        </is>
      </c>
    </row>
    <row collapsed="false" customFormat="false" customHeight="false" hidden="false" ht="12.1" outlineLevel="0" r="7028">
      <c r="A7028" s="3" t="s">
        <f>=HYPERLINK("https://mp39851918.megaplan.ua/deals/129195/card/","22039")</f>
      </c>
      <c r="B7028" s="3" t="inlineStr">
        <is>
          <t>112-2519411-9097867</t>
        </is>
      </c>
      <c r="C7028" s="3" t="inlineStr">
        <is>
          <t>Autodist</t>
        </is>
      </c>
    </row>
    <row collapsed="false" customFormat="false" customHeight="false" hidden="false" ht="12.1" outlineLevel="0" r="7029">
      <c r="A7029" s="3" t="s">
        <f>=HYPERLINK("https://mp39851918.megaplan.ua/deals/129209/card/","22043")</f>
      </c>
      <c r="B7029" s="3" t="inlineStr">
        <is>
          <t>113-2139100-6556266</t>
        </is>
      </c>
      <c r="C7029" s="3" t="inlineStr">
        <is>
          <t>TuckerRocky</t>
        </is>
      </c>
    </row>
    <row collapsed="false" customFormat="false" customHeight="false" hidden="false" ht="12.1" outlineLevel="0" r="7030">
      <c r="A7030" s="3" t="s">
        <f>=HYPERLINK("https://mp39851918.megaplan.ua/deals/129213/card/","22044")</f>
      </c>
      <c r="B7030" s="3" t="inlineStr">
        <is>
          <t>114-3258751-7033817</t>
        </is>
      </c>
      <c r="C7030" s="3" t="inlineStr">
        <is>
          <t>TuckerRocky</t>
        </is>
      </c>
    </row>
    <row collapsed="false" customFormat="false" customHeight="false" hidden="false" ht="12.1" outlineLevel="0" r="7031">
      <c r="A7031" s="3" t="s">
        <f>=HYPERLINK("https://mp39851918.megaplan.ua/deals/129216/card/","22045")</f>
      </c>
      <c r="B7031" s="3" t="inlineStr">
        <is>
          <t>112-2199783-6159407</t>
        </is>
      </c>
      <c r="C7031" s="3" t="inlineStr">
        <is>
          <t>RockyMountain</t>
        </is>
      </c>
    </row>
    <row collapsed="false" customFormat="false" customHeight="false" hidden="false" ht="12.1" outlineLevel="0" r="7032">
      <c r="A7032" s="3" t="s">
        <f>=HYPERLINK("https://mp39851918.megaplan.ua/deals/129232/card/","22046")</f>
      </c>
      <c r="B7032" s="3" t="inlineStr">
        <is>
          <t>112-4600206-5760211</t>
        </is>
      </c>
      <c r="C7032" s="3" t="inlineStr">
        <is>
          <t>PartsUnlimited</t>
        </is>
      </c>
    </row>
    <row collapsed="false" customFormat="false" customHeight="false" hidden="false" ht="12.1" outlineLevel="0" r="7033">
      <c r="A7033" s="3" t="s">
        <f>=HYPERLINK("https://mp39851918.megaplan.ua/deals/129234/card/","22047")</f>
      </c>
      <c r="B7033" s="3" t="inlineStr">
        <is>
          <t>112-6698685-1921861</t>
        </is>
      </c>
      <c r="C7033" s="3" t="inlineStr">
        <is>
          <t>PartsUnlimited</t>
        </is>
      </c>
    </row>
    <row collapsed="false" customFormat="false" customHeight="false" hidden="false" ht="12.1" outlineLevel="0" r="7034">
      <c r="A7034" s="3" t="s">
        <f>=HYPERLINK("https://mp39851918.megaplan.ua/deals/129235/card/","22048")</f>
      </c>
      <c r="B7034" s="3" t="inlineStr">
        <is>
          <t>112-2849085-0644216</t>
        </is>
      </c>
      <c r="C7034" s="3" t="inlineStr">
        <is>
          <t>PartsUnlimited</t>
        </is>
      </c>
    </row>
    <row collapsed="false" customFormat="false" customHeight="false" hidden="false" ht="12.1" outlineLevel="0" r="7035">
      <c r="A7035" s="3" t="s">
        <f>=HYPERLINK("https://mp39851918.megaplan.ua/deals/129244/card/","22049")</f>
      </c>
      <c r="B7035" s="3" t="inlineStr">
        <is>
          <t>113-4075587-7721009</t>
        </is>
      </c>
      <c r="C7035" s="3" t="inlineStr">
        <is>
          <t>PartsUnlimited</t>
        </is>
      </c>
    </row>
    <row collapsed="false" customFormat="false" customHeight="false" hidden="false" ht="12.1" outlineLevel="0" r="7036">
      <c r="A7036" s="3" t="s">
        <f>=HYPERLINK("https://mp39851918.megaplan.ua/deals/129263/card/","22051")</f>
      </c>
      <c r="B7036" s="3" t="inlineStr">
        <is>
          <t>113-5555194-3405046</t>
        </is>
      </c>
      <c r="C7036" s="3" t="inlineStr">
        <is>
          <t>RockyMountain</t>
        </is>
      </c>
    </row>
    <row collapsed="false" customFormat="false" customHeight="false" hidden="false" ht="12.1" outlineLevel="0" r="7037">
      <c r="A7037" s="3" t="s">
        <f>=HYPERLINK("https://mp39851918.megaplan.ua/deals/129269/card/","22053")</f>
      </c>
      <c r="B7037" s="3" t="inlineStr">
        <is>
          <t>111-9181558-3437046</t>
        </is>
      </c>
      <c r="C7037" s="3" t="inlineStr">
        <is>
          <t>RockyMountain</t>
        </is>
      </c>
    </row>
    <row collapsed="false" customFormat="false" customHeight="false" hidden="false" ht="12.1" outlineLevel="0" r="7038">
      <c r="A7038" s="3" t="s">
        <f>=HYPERLINK("https://mp39851918.megaplan.ua/deals/129272/card/","22054")</f>
      </c>
      <c r="B7038" s="3" t="inlineStr">
        <is>
          <t>114-7144866-9955409</t>
        </is>
      </c>
      <c r="C7038" s="3" t="inlineStr">
        <is>
          <t>Autodist</t>
        </is>
      </c>
    </row>
    <row collapsed="false" customFormat="false" customHeight="false" hidden="false" ht="12.1" outlineLevel="0" r="7039">
      <c r="A7039" s="3" t="s">
        <f>=HYPERLINK("https://mp39851918.megaplan.ua/deals/129276/card/","22055")</f>
      </c>
      <c r="B7039" s="3" t="inlineStr">
        <is>
          <t>112-1397741-4416210</t>
        </is>
      </c>
      <c r="C7039" s="3" t="inlineStr">
        <is>
          <t>RockyMountain</t>
        </is>
      </c>
    </row>
    <row collapsed="false" customFormat="false" customHeight="false" hidden="false" ht="12.1" outlineLevel="0" r="7040">
      <c r="A7040" s="3" t="s">
        <f>=HYPERLINK("https://mp39851918.megaplan.ua/deals/129288/card/","22056")</f>
      </c>
      <c r="B7040" s="3" t="inlineStr">
        <is>
          <t>114-5270627-4253832</t>
        </is>
      </c>
      <c r="C7040" s="3" t="inlineStr">
        <is>
          <t>PartsUnlimited</t>
        </is>
      </c>
    </row>
    <row collapsed="false" customFormat="false" customHeight="false" hidden="false" ht="12.1" outlineLevel="0" r="7041">
      <c r="A7041" s="3" t="s">
        <f>=HYPERLINK("https://mp39851918.megaplan.ua/deals/129296/card/","22057")</f>
      </c>
      <c r="B7041" s="3" t="inlineStr">
        <is>
          <t>114-2167662-6553001</t>
        </is>
      </c>
      <c r="C7041" s="3" t="inlineStr">
        <is>
          <t>Autodist</t>
        </is>
      </c>
    </row>
    <row collapsed="false" customFormat="false" customHeight="false" hidden="false" ht="12.1" outlineLevel="0" r="7042">
      <c r="A7042" s="3" t="s">
        <f>=HYPERLINK("https://mp39851918.megaplan.ua/deals/129341/card/","22059")</f>
      </c>
      <c r="B7042" s="3" t="inlineStr">
        <is>
          <t>112-6517617-5128253</t>
        </is>
      </c>
      <c r="C7042" s="3" t="inlineStr">
        <is>
          <t>PartsUnlimited</t>
        </is>
      </c>
    </row>
    <row collapsed="false" customFormat="false" customHeight="false" hidden="false" ht="12.1" outlineLevel="0" r="7043">
      <c r="A7043" s="3" t="s">
        <f>=HYPERLINK("https://mp39851918.megaplan.ua/deals/129354/card/","22060")</f>
      </c>
      <c r="B7043" s="3" t="inlineStr">
        <is>
          <t>113-1352258-1155436</t>
        </is>
      </c>
      <c r="C7043" s="3" t="inlineStr">
        <is>
          <t>TuckerRocky</t>
        </is>
      </c>
    </row>
    <row collapsed="false" customFormat="false" customHeight="false" hidden="false" ht="12.1" outlineLevel="0" r="7044">
      <c r="A7044" s="3" t="s">
        <f>=HYPERLINK("https://mp39851918.megaplan.ua/deals/129370/card/","22062")</f>
      </c>
      <c r="B7044" s="3" t="inlineStr">
        <is>
          <t>111-7466223-7656247</t>
        </is>
      </c>
      <c r="C7044" s="3" t="inlineStr">
        <is>
          <t>RockyMountain</t>
        </is>
      </c>
    </row>
    <row collapsed="false" customFormat="false" customHeight="false" hidden="false" ht="12.1" outlineLevel="0" r="7045">
      <c r="A7045" s="3" t="s">
        <f>=HYPERLINK("https://mp39851918.megaplan.ua/deals/129371/card/","22063")</f>
      </c>
      <c r="B7045" s="3" t="inlineStr">
        <is>
          <t>114-5374882-3470609</t>
        </is>
      </c>
      <c r="C7045" s="3" t="inlineStr">
        <is>
          <t>PartsUnlimited</t>
        </is>
      </c>
    </row>
    <row collapsed="false" customFormat="false" customHeight="false" hidden="false" ht="12.1" outlineLevel="0" r="7046">
      <c r="A7046" s="3" t="s">
        <f>=HYPERLINK("https://mp39851918.megaplan.ua/deals/129391/card/","22065")</f>
      </c>
      <c r="B7046" s="3" t="inlineStr">
        <is>
          <t>112-8462321-2998652</t>
        </is>
      </c>
      <c r="C7046" s="3" t="inlineStr">
        <is>
          <t>PartsUnlimited</t>
        </is>
      </c>
    </row>
    <row collapsed="false" customFormat="false" customHeight="false" hidden="false" ht="12.1" outlineLevel="0" r="7047">
      <c r="A7047" s="3" t="s">
        <f>=HYPERLINK("https://mp39851918.megaplan.ua/deals/129393/card/","22066")</f>
      </c>
      <c r="B7047" s="3" t="inlineStr">
        <is>
          <t>111-3460163-0585811</t>
        </is>
      </c>
      <c r="C7047" s="3" t="inlineStr">
        <is>
          <t>Autodist</t>
        </is>
      </c>
    </row>
    <row collapsed="false" customFormat="false" customHeight="false" hidden="false" ht="12.1" outlineLevel="0" r="7048">
      <c r="A7048" s="3" t="s">
        <f>=HYPERLINK("https://mp39851918.megaplan.ua/deals/129403/card/","22067")</f>
      </c>
      <c r="B7048" s="3" t="inlineStr">
        <is>
          <t>113-7242968-9513815</t>
        </is>
      </c>
      <c r="C7048" s="3" t="inlineStr">
        <is>
          <t>Autodist</t>
        </is>
      </c>
    </row>
    <row collapsed="false" customFormat="false" customHeight="false" hidden="false" ht="12.1" outlineLevel="0" r="7049">
      <c r="A7049" s="3" t="s">
        <f>=HYPERLINK("https://mp39851918.megaplan.ua/deals/129409/card/","22068")</f>
      </c>
      <c r="B7049" s="3" t="inlineStr">
        <is>
          <t>113-7998966-8441041</t>
        </is>
      </c>
      <c r="C7049" s="3" t="inlineStr">
        <is>
          <t>Autodist</t>
        </is>
      </c>
    </row>
    <row collapsed="false" customFormat="false" customHeight="false" hidden="false" ht="12.1" outlineLevel="0" r="7050">
      <c r="A7050" s="3" t="s">
        <f>=HYPERLINK("https://mp39851918.megaplan.ua/deals/129410/card/","22069")</f>
      </c>
      <c r="B7050" s="3" t="inlineStr">
        <is>
          <t>114-1262240-8585054</t>
        </is>
      </c>
      <c r="C7050" s="3" t="inlineStr">
        <is>
          <t>PartsUnlimited</t>
        </is>
      </c>
    </row>
    <row collapsed="false" customFormat="false" customHeight="false" hidden="false" ht="12.1" outlineLevel="0" r="7051">
      <c r="A7051" s="3" t="s">
        <f>=HYPERLINK("https://mp39851918.megaplan.ua/deals/129418/card/","22070")</f>
      </c>
      <c r="B7051" s="3" t="inlineStr">
        <is>
          <t>111-8770407-2615402</t>
        </is>
      </c>
      <c r="C7051" s="3" t="inlineStr">
        <is>
          <t>Autodist</t>
        </is>
      </c>
    </row>
    <row collapsed="false" customFormat="false" customHeight="false" hidden="false" ht="12.1" outlineLevel="0" r="7052">
      <c r="A7052" s="3" t="s">
        <f>=HYPERLINK("https://mp39851918.megaplan.ua/deals/129420/card/","22071")</f>
      </c>
      <c r="B7052" s="3" t="inlineStr">
        <is>
          <t>114-5095979-3693003</t>
        </is>
      </c>
      <c r="C7052" s="3" t="inlineStr">
        <is>
          <t>PartsUnlimited</t>
        </is>
      </c>
    </row>
    <row collapsed="false" customFormat="false" customHeight="false" hidden="false" ht="12.1" outlineLevel="0" r="7053">
      <c r="A7053" s="3" t="s">
        <f>=HYPERLINK("https://mp39851918.megaplan.ua/deals/129426/card/","22072")</f>
      </c>
      <c r="B7053" s="3" t="inlineStr">
        <is>
          <t>112-3266072-6715454</t>
        </is>
      </c>
      <c r="C7053" s="3" t="inlineStr">
        <is>
          <t>TuckerRocky</t>
        </is>
      </c>
    </row>
    <row collapsed="false" customFormat="false" customHeight="false" hidden="false" ht="12.1" outlineLevel="0" r="7054">
      <c r="A7054" s="3" t="s">
        <f>=HYPERLINK("https://mp39851918.megaplan.ua/deals/129427/card/","22073")</f>
      </c>
      <c r="B7054" s="3" t="inlineStr">
        <is>
          <t>112-8613431-5630635</t>
        </is>
      </c>
      <c r="C7054" s="3" t="inlineStr">
        <is>
          <t>Autodist</t>
        </is>
      </c>
    </row>
    <row collapsed="false" customFormat="false" customHeight="false" hidden="false" ht="12.1" outlineLevel="0" r="7055">
      <c r="A7055" s="3" t="s">
        <f>=HYPERLINK("https://mp39851918.megaplan.ua/deals/129461/card/","22075")</f>
      </c>
      <c r="B7055" s="3" t="inlineStr">
        <is>
          <t>112-9888889-5539434</t>
        </is>
      </c>
      <c r="C7055" s="3" t="inlineStr">
        <is>
          <t>Autodist</t>
        </is>
      </c>
    </row>
    <row collapsed="false" customFormat="false" customHeight="false" hidden="false" ht="12.1" outlineLevel="0" r="7056">
      <c r="A7056" s="3" t="s">
        <f>=HYPERLINK("https://mp39851918.megaplan.ua/deals/129465/card/","22076")</f>
      </c>
      <c r="B7056" s="3" t="inlineStr">
        <is>
          <t>112-1186451-2725846</t>
        </is>
      </c>
      <c r="C7056" s="3" t="inlineStr">
        <is>
          <t>Autodist</t>
        </is>
      </c>
    </row>
    <row collapsed="false" customFormat="false" customHeight="false" hidden="false" ht="12.1" outlineLevel="0" r="7057">
      <c r="A7057" s="3" t="s">
        <f>=HYPERLINK("https://mp39851918.megaplan.ua/deals/129479/card/","22078")</f>
      </c>
      <c r="B7057" s="3" t="inlineStr">
        <is>
          <t>112-0172296-0663460</t>
        </is>
      </c>
      <c r="C7057" s="3" t="inlineStr">
        <is>
          <t>RockyMountain</t>
        </is>
      </c>
    </row>
    <row collapsed="false" customFormat="false" customHeight="false" hidden="false" ht="12.1" outlineLevel="0" r="7058">
      <c r="A7058" s="3" t="s">
        <f>=HYPERLINK("https://mp39851918.megaplan.ua/deals/129482/card/","22080")</f>
      </c>
      <c r="B7058" s="3" t="inlineStr">
        <is>
          <t>114-5102629-5979423</t>
        </is>
      </c>
      <c r="C7058" s="3" t="inlineStr">
        <is>
          <t>PartsUnlimited</t>
        </is>
      </c>
    </row>
    <row collapsed="false" customFormat="false" customHeight="false" hidden="false" ht="12.1" outlineLevel="0" r="7059">
      <c r="A7059" s="3" t="s">
        <f>=HYPERLINK("https://mp39851918.megaplan.ua/deals/129484/card/","22081")</f>
      </c>
      <c r="B7059" s="3" t="inlineStr">
        <is>
          <t>114-6936075-0641037</t>
        </is>
      </c>
      <c r="C7059" s="3" t="inlineStr">
        <is>
          <t>RockyMountain</t>
        </is>
      </c>
    </row>
    <row collapsed="false" customFormat="false" customHeight="false" hidden="false" ht="12.1" outlineLevel="0" r="7060">
      <c r="A7060" s="3" t="s">
        <f>=HYPERLINK("https://mp39851918.megaplan.ua/deals/129485/card/","22082")</f>
      </c>
      <c r="B7060" s="3" t="inlineStr">
        <is>
          <t>114-4192450-5329850</t>
        </is>
      </c>
      <c r="C7060" s="3" t="inlineStr">
        <is>
          <t>Autodist</t>
        </is>
      </c>
    </row>
    <row collapsed="false" customFormat="false" customHeight="false" hidden="false" ht="12.1" outlineLevel="0" r="7061">
      <c r="A7061" s="3" t="s">
        <f>=HYPERLINK("https://mp39851918.megaplan.ua/deals/129489/card/","22083")</f>
      </c>
      <c r="B7061" s="3" t="inlineStr">
        <is>
          <t>113-9547675-8953818</t>
        </is>
      </c>
      <c r="C7061" s="3" t="inlineStr">
        <is>
          <t>Autodist</t>
        </is>
      </c>
    </row>
    <row collapsed="false" customFormat="false" customHeight="false" hidden="false" ht="12.1" outlineLevel="0" r="7062">
      <c r="A7062" s="3" t="s">
        <f>=HYPERLINK("https://mp39851918.megaplan.ua/deals/129491/card/","22085")</f>
      </c>
      <c r="B7062" s="3" t="inlineStr">
        <is>
          <t>112-0658593-7969010</t>
        </is>
      </c>
      <c r="C7062" s="3" t="inlineStr">
        <is>
          <t>Autodist</t>
        </is>
      </c>
    </row>
    <row collapsed="false" customFormat="false" customHeight="false" hidden="false" ht="12.1" outlineLevel="0" r="7063">
      <c r="A7063" s="3" t="s">
        <f>=HYPERLINK("https://mp39851918.megaplan.ua/deals/129507/card/","22087")</f>
      </c>
      <c r="B7063" s="3" t="inlineStr">
        <is>
          <t>114-0079034-8857074</t>
        </is>
      </c>
      <c r="C7063" s="3" t="inlineStr">
        <is>
          <t>Autodist</t>
        </is>
      </c>
    </row>
    <row collapsed="false" customFormat="false" customHeight="false" hidden="false" ht="12.1" outlineLevel="0" r="7064">
      <c r="A7064" s="3" t="s">
        <f>=HYPERLINK("https://mp39851918.megaplan.ua/deals/129516/card/","22090")</f>
      </c>
      <c r="B7064" s="3" t="inlineStr">
        <is>
          <t>112-2130167-9809012</t>
        </is>
      </c>
      <c r="C7064" s="3" t="inlineStr">
        <is>
          <t>PartsUnlimited</t>
        </is>
      </c>
    </row>
    <row collapsed="false" customFormat="false" customHeight="false" hidden="false" ht="12.1" outlineLevel="0" r="7065">
      <c r="A7065" s="3" t="s">
        <f>=HYPERLINK("https://mp39851918.megaplan.ua/deals/129517/card/","22091")</f>
      </c>
      <c r="B7065" s="3" t="inlineStr">
        <is>
          <t>111-6933770-2681863</t>
        </is>
      </c>
      <c r="C7065" s="3" t="inlineStr">
        <is>
          <t>PartsUnlimited</t>
        </is>
      </c>
    </row>
    <row collapsed="false" customFormat="false" customHeight="false" hidden="false" ht="12.1" outlineLevel="0" r="7066">
      <c r="A7066" s="3" t="s">
        <f>=HYPERLINK("https://mp39851918.megaplan.ua/deals/129521/card/","22092")</f>
      </c>
      <c r="B7066" s="3" t="inlineStr">
        <is>
          <t>112-8708162-4625021</t>
        </is>
      </c>
      <c r="C7066" s="3" t="inlineStr">
        <is>
          <t>TuckerRocky</t>
        </is>
      </c>
    </row>
    <row collapsed="false" customFormat="false" customHeight="false" hidden="false" ht="12.1" outlineLevel="0" r="7067">
      <c r="A7067" s="3" t="s">
        <f>=HYPERLINK("https://mp39851918.megaplan.ua/deals/129522/card/","22093")</f>
      </c>
      <c r="B7067" s="3" t="inlineStr">
        <is>
          <t>111-0075956-7009818</t>
        </is>
      </c>
      <c r="C7067" s="3" t="inlineStr">
        <is>
          <t>PartsUnlimited</t>
        </is>
      </c>
    </row>
    <row collapsed="false" customFormat="false" customHeight="false" hidden="false" ht="12.1" outlineLevel="0" r="7068">
      <c r="A7068" s="3" t="s">
        <f>=HYPERLINK("https://mp39851918.megaplan.ua/deals/129525/card/","22094")</f>
      </c>
      <c r="B7068" s="3" t="inlineStr">
        <is>
          <t>112-1047865-6577028</t>
        </is>
      </c>
      <c r="C7068" s="3" t="inlineStr">
        <is>
          <t>PartsUnlimited</t>
        </is>
      </c>
    </row>
    <row collapsed="false" customFormat="false" customHeight="false" hidden="false" ht="12.1" outlineLevel="0" r="7069">
      <c r="A7069" s="3" t="s">
        <f>=HYPERLINK("https://mp39851918.megaplan.ua/deals/129526/card/","22095")</f>
      </c>
      <c r="B7069" s="3" t="inlineStr">
        <is>
          <t>111-1050813-0754639</t>
        </is>
      </c>
      <c r="C7069" s="3" t="inlineStr">
        <is>
          <t>TuckerRocky</t>
        </is>
      </c>
    </row>
    <row collapsed="false" customFormat="false" customHeight="false" hidden="false" ht="12.1" outlineLevel="0" r="7070">
      <c r="A7070" s="3" t="s">
        <f>=HYPERLINK("https://mp39851918.megaplan.ua/deals/129527/card/","22096")</f>
      </c>
      <c r="B7070" s="3" t="inlineStr">
        <is>
          <t>112-9964745-8437049</t>
        </is>
      </c>
      <c r="C7070" s="3" t="inlineStr">
        <is>
          <t>Autodist</t>
        </is>
      </c>
    </row>
    <row collapsed="false" customFormat="false" customHeight="false" hidden="false" ht="12.1" outlineLevel="0" r="7071">
      <c r="A7071" s="3" t="s">
        <f>=HYPERLINK("https://mp39851918.megaplan.ua/deals/129529/card/","22097")</f>
      </c>
      <c r="B7071" s="3" t="inlineStr">
        <is>
          <t>113-3090079-7536200</t>
        </is>
      </c>
      <c r="C7071" s="3" t="inlineStr">
        <is>
          <t>PartsUnlimited</t>
        </is>
      </c>
    </row>
    <row collapsed="false" customFormat="false" customHeight="false" hidden="false" ht="12.1" outlineLevel="0" r="7072">
      <c r="A7072" s="3" t="s">
        <f>=HYPERLINK("https://mp39851918.megaplan.ua/deals/129544/card/","22098")</f>
      </c>
      <c r="B7072" s="3" t="inlineStr">
        <is>
          <t>114-5372121-4445022</t>
        </is>
      </c>
      <c r="C7072" s="3" t="inlineStr">
        <is>
          <t>PartsUnlimited</t>
        </is>
      </c>
    </row>
    <row collapsed="false" customFormat="false" customHeight="false" hidden="false" ht="12.1" outlineLevel="0" r="7073">
      <c r="A7073" s="3" t="s">
        <f>=HYPERLINK("https://mp39851918.megaplan.ua/deals/129545/card/","22099")</f>
      </c>
      <c r="B7073" s="3" t="inlineStr">
        <is>
          <t>113-7875940-9474623</t>
        </is>
      </c>
      <c r="C7073" s="3" t="inlineStr">
        <is>
          <t>TuckerRocky</t>
        </is>
      </c>
    </row>
    <row collapsed="false" customFormat="false" customHeight="false" hidden="false" ht="12.1" outlineLevel="0" r="7074">
      <c r="A7074" s="3" t="s">
        <f>=HYPERLINK("https://mp39851918.megaplan.ua/deals/129553/card/","22100")</f>
      </c>
      <c r="B7074" s="3" t="inlineStr">
        <is>
          <t>112-4146393-5422667</t>
        </is>
      </c>
      <c r="C7074" s="3" t="inlineStr">
        <is>
          <t>PartsUnlimited</t>
        </is>
      </c>
    </row>
    <row collapsed="false" customFormat="false" customHeight="false" hidden="false" ht="12.1" outlineLevel="0" r="7075">
      <c r="A7075" s="3" t="s">
        <f>=HYPERLINK("https://mp39851918.megaplan.ua/deals/129562/card/","22101")</f>
      </c>
      <c r="B7075" s="3" t="inlineStr">
        <is>
          <t>111-4535502-5959456</t>
        </is>
      </c>
      <c r="C7075" s="3" t="inlineStr">
        <is>
          <t>RockyMountain</t>
        </is>
      </c>
    </row>
    <row collapsed="false" customFormat="false" customHeight="false" hidden="false" ht="12.1" outlineLevel="0" r="7076">
      <c r="A7076" s="3" t="s">
        <f>=HYPERLINK("https://mp39851918.megaplan.ua/deals/129576/card/","22103")</f>
      </c>
      <c r="B7076" s="3" t="inlineStr">
        <is>
          <t>114-8937360-7339408</t>
        </is>
      </c>
      <c r="C7076" s="3" t="inlineStr">
        <is>
          <t>PartsUnlimited</t>
        </is>
      </c>
    </row>
    <row collapsed="false" customFormat="false" customHeight="false" hidden="false" ht="12.1" outlineLevel="0" r="7077">
      <c r="A7077" s="3" t="s">
        <f>=HYPERLINK("https://mp39851918.megaplan.ua/deals/129577/card/","22104")</f>
      </c>
      <c r="B7077" s="3" t="inlineStr">
        <is>
          <t>113-1761254-0513042</t>
        </is>
      </c>
      <c r="C7077" s="3" t="inlineStr">
        <is>
          <t>Autodist</t>
        </is>
      </c>
    </row>
    <row collapsed="false" customFormat="false" customHeight="false" hidden="false" ht="12.1" outlineLevel="0" r="7078">
      <c r="A7078" s="3" t="s">
        <f>=HYPERLINK("https://mp39851918.megaplan.ua/deals/129591/card/","22105")</f>
      </c>
      <c r="B7078" s="3" t="inlineStr">
        <is>
          <t>113-4252263-4771430</t>
        </is>
      </c>
      <c r="C7078" s="3" t="inlineStr">
        <is>
          <t>RockyMountain</t>
        </is>
      </c>
    </row>
    <row collapsed="false" customFormat="false" customHeight="false" hidden="false" ht="12.1" outlineLevel="0" r="7079">
      <c r="A7079" s="3" t="s">
        <f>=HYPERLINK("https://mp39851918.megaplan.ua/deals/129595/card/","22106")</f>
      </c>
      <c r="B7079" s="3" t="inlineStr">
        <is>
          <t>112-3278975-1181854</t>
        </is>
      </c>
      <c r="C7079" s="3" t="inlineStr">
        <is>
          <t>Autodist</t>
        </is>
      </c>
    </row>
    <row collapsed="false" customFormat="false" customHeight="false" hidden="false" ht="12.1" outlineLevel="0" r="7080">
      <c r="A7080" s="3" t="s">
        <f>=HYPERLINK("https://mp39851918.megaplan.ua/deals/129628/card/","22109")</f>
      </c>
      <c r="B7080" s="3" t="inlineStr">
        <is>
          <t>111-0462261-8009011</t>
        </is>
      </c>
      <c r="C7080" s="3" t="inlineStr">
        <is>
          <t>TuckerRocky</t>
        </is>
      </c>
    </row>
    <row collapsed="false" customFormat="false" customHeight="false" hidden="false" ht="12.1" outlineLevel="0" r="7081">
      <c r="A7081" s="3" t="s">
        <f>=HYPERLINK("https://mp39851918.megaplan.ua/deals/129629/card/","22110")</f>
      </c>
      <c r="B7081" s="3" t="inlineStr">
        <is>
          <t>111-9274976-4450636</t>
        </is>
      </c>
      <c r="C7081" s="3" t="inlineStr">
        <is>
          <t>Autodist</t>
        </is>
      </c>
    </row>
    <row collapsed="false" customFormat="false" customHeight="false" hidden="false" ht="12.1" outlineLevel="0" r="7082">
      <c r="A7082" s="3" t="s">
        <f>=HYPERLINK("https://mp39851918.megaplan.ua/deals/129631/card/","22111")</f>
      </c>
      <c r="B7082" s="3" t="inlineStr">
        <is>
          <t>111-1783215-5728201</t>
        </is>
      </c>
      <c r="C7082" s="3" t="inlineStr">
        <is>
          <t>Autodist</t>
        </is>
      </c>
    </row>
    <row collapsed="false" customFormat="false" customHeight="false" hidden="false" ht="12.1" outlineLevel="0" r="7083">
      <c r="A7083" s="3" t="s">
        <f>=HYPERLINK("https://mp39851918.megaplan.ua/deals/129637/card/","22112")</f>
      </c>
      <c r="B7083" s="3" t="inlineStr">
        <is>
          <t>111-4084657-9513022</t>
        </is>
      </c>
      <c r="C7083" s="3" t="inlineStr">
        <is>
          <t>RockyMountain</t>
        </is>
      </c>
    </row>
    <row collapsed="false" customFormat="false" customHeight="false" hidden="false" ht="12.1" outlineLevel="0" r="7084">
      <c r="A7084" s="3" t="s">
        <f>=HYPERLINK("https://mp39851918.megaplan.ua/deals/129639/card/","22113")</f>
      </c>
      <c r="B7084" s="3" t="inlineStr">
        <is>
          <t>111-2945680-6785822</t>
        </is>
      </c>
      <c r="C7084" s="3" t="inlineStr">
        <is>
          <t>Autodist</t>
        </is>
      </c>
    </row>
    <row collapsed="false" customFormat="false" customHeight="false" hidden="false" ht="12.1" outlineLevel="0" r="7085">
      <c r="A7085" s="3" t="s">
        <f>=HYPERLINK("https://mp39851918.megaplan.ua/deals/129647/card/","22114")</f>
      </c>
      <c r="B7085" s="3" t="inlineStr">
        <is>
          <t>113-9370840-8929841</t>
        </is>
      </c>
      <c r="C7085" s="3" t="inlineStr">
        <is>
          <t>Autodist</t>
        </is>
      </c>
    </row>
    <row collapsed="false" customFormat="false" customHeight="false" hidden="false" ht="12.1" outlineLevel="0" r="7086">
      <c r="A7086" s="3" t="s">
        <f>=HYPERLINK("https://mp39851918.megaplan.ua/deals/129654/card/","22116")</f>
      </c>
      <c r="B7086" s="3" t="inlineStr">
        <is>
          <t>113-8969465-2280247</t>
        </is>
      </c>
      <c r="C7086" s="3" t="inlineStr">
        <is>
          <t>RockyMountain</t>
        </is>
      </c>
    </row>
    <row collapsed="false" customFormat="false" customHeight="false" hidden="false" ht="12.1" outlineLevel="0" r="7087">
      <c r="A7087" s="3" t="s">
        <f>=HYPERLINK("https://mp39851918.megaplan.ua/deals/129657/card/","22117")</f>
      </c>
      <c r="B7087" s="3" t="inlineStr">
        <is>
          <t>112-4668862-8692208</t>
        </is>
      </c>
      <c r="C7087" s="3" t="inlineStr">
        <is>
          <t>PartsUnlimited</t>
        </is>
      </c>
    </row>
    <row collapsed="false" customFormat="false" customHeight="false" hidden="false" ht="12.1" outlineLevel="0" r="7088">
      <c r="A7088" s="3" t="s">
        <f>=HYPERLINK("https://mp39851918.megaplan.ua/deals/129669/card/","22119")</f>
      </c>
      <c r="B7088" s="3" t="inlineStr">
        <is>
          <t>113-6412378-2805039</t>
        </is>
      </c>
      <c r="C7088" s="3" t="inlineStr">
        <is>
          <t>PartsUnlimited</t>
        </is>
      </c>
    </row>
    <row collapsed="false" customFormat="false" customHeight="false" hidden="false" ht="12.1" outlineLevel="0" r="7089">
      <c r="A7089" s="3" t="s">
        <f>=HYPERLINK("https://mp39851918.megaplan.ua/deals/129670/card/","22120")</f>
      </c>
      <c r="B7089" s="3" t="inlineStr">
        <is>
          <t>113-7815706-0485055</t>
        </is>
      </c>
      <c r="C7089" s="3" t="inlineStr">
        <is>
          <t>RockyMountain</t>
        </is>
      </c>
    </row>
    <row collapsed="false" customFormat="false" customHeight="false" hidden="false" ht="12.1" outlineLevel="0" r="7090">
      <c r="A7090" s="3" t="s">
        <f>=HYPERLINK("https://mp39851918.megaplan.ua/deals/129682/card/","22125")</f>
      </c>
      <c r="B7090" s="3" t="inlineStr">
        <is>
          <t>112-9771472-9263465</t>
        </is>
      </c>
      <c r="C7090" s="3" t="inlineStr">
        <is>
          <t>PartsUnlimited</t>
        </is>
      </c>
    </row>
    <row collapsed="false" customFormat="false" customHeight="false" hidden="false" ht="12.1" outlineLevel="0" r="7091">
      <c r="A7091" s="3" t="s">
        <f>=HYPERLINK("https://mp39851918.megaplan.ua/deals/129684/card/","22126")</f>
      </c>
      <c r="B7091" s="3" t="inlineStr">
        <is>
          <t>111-1256511-1239455</t>
        </is>
      </c>
      <c r="C7091" s="3" t="inlineStr">
        <is>
          <t>Autodist</t>
        </is>
      </c>
    </row>
    <row collapsed="false" customFormat="false" customHeight="false" hidden="false" ht="12.1" outlineLevel="0" r="7092">
      <c r="A7092" s="3" t="s">
        <f>=HYPERLINK("https://mp39851918.megaplan.ua/deals/129689/card/","22127")</f>
      </c>
      <c r="B7092" s="3" t="inlineStr">
        <is>
          <t>111-1622145-5480201</t>
        </is>
      </c>
      <c r="C7092" s="3" t="inlineStr">
        <is>
          <t>PartsUnlimited</t>
        </is>
      </c>
    </row>
    <row collapsed="false" customFormat="false" customHeight="false" hidden="false" ht="12.1" outlineLevel="0" r="7093">
      <c r="A7093" s="3" t="s">
        <f>=HYPERLINK("https://mp39851918.megaplan.ua/deals/129690/card/","22128")</f>
      </c>
      <c r="B7093" s="3" t="inlineStr">
        <is>
          <t>114-9551705-0295434</t>
        </is>
      </c>
      <c r="C7093" s="3" t="inlineStr">
        <is>
          <t>PartsUnlimited</t>
        </is>
      </c>
    </row>
    <row collapsed="false" customFormat="false" customHeight="false" hidden="false" ht="12.1" outlineLevel="0" r="7094">
      <c r="A7094" s="3" t="s">
        <f>=HYPERLINK("https://mp39851918.megaplan.ua/deals/129700/card/","22129")</f>
      </c>
      <c r="B7094" s="3" t="inlineStr">
        <is>
          <t>114-8082465-9805829</t>
        </is>
      </c>
      <c r="C7094" s="3" t="inlineStr">
        <is>
          <t>PartsUnlimited</t>
        </is>
      </c>
    </row>
    <row collapsed="false" customFormat="false" customHeight="false" hidden="false" ht="12.1" outlineLevel="0" r="7095">
      <c r="A7095" s="3" t="s">
        <f>=HYPERLINK("https://mp39851918.megaplan.ua/deals/129707/card/","22130")</f>
      </c>
      <c r="B7095" s="3" t="inlineStr">
        <is>
          <t>112-0955713-2010614</t>
        </is>
      </c>
      <c r="C7095" s="3" t="inlineStr">
        <is>
          <t>Autodist</t>
        </is>
      </c>
    </row>
    <row collapsed="false" customFormat="false" customHeight="false" hidden="false" ht="12.1" outlineLevel="0" r="7096">
      <c r="A7096" s="3" t="s">
        <f>=HYPERLINK("https://mp39851918.megaplan.ua/deals/129714/card/","22131")</f>
      </c>
      <c r="B7096" s="3" t="inlineStr">
        <is>
          <t>114-8904144-5412220</t>
        </is>
      </c>
      <c r="C7096" s="3" t="inlineStr">
        <is>
          <t>Autodist</t>
        </is>
      </c>
    </row>
    <row collapsed="false" customFormat="false" customHeight="false" hidden="false" ht="12.1" outlineLevel="0" r="7097">
      <c r="A7097" s="3" t="s">
        <f>=HYPERLINK("https://mp39851918.megaplan.ua/deals/129718/card/","22132")</f>
      </c>
      <c r="B7097" s="3" t="inlineStr">
        <is>
          <t>112-3051166-7586611</t>
        </is>
      </c>
      <c r="C7097" s="3" t="inlineStr">
        <is>
          <t>PartsUnlimited</t>
        </is>
      </c>
    </row>
    <row collapsed="false" customFormat="false" customHeight="false" hidden="false" ht="12.1" outlineLevel="0" r="7098">
      <c r="A7098" s="3" t="s">
        <f>=HYPERLINK("https://mp39851918.megaplan.ua/deals/129721/card/","22133")</f>
      </c>
      <c r="B7098" s="3" t="inlineStr">
        <is>
          <t>113-6541684-3849056</t>
        </is>
      </c>
      <c r="C7098" s="3" t="inlineStr">
        <is>
          <t>PartsUnlimited</t>
        </is>
      </c>
    </row>
    <row collapsed="false" customFormat="false" customHeight="false" hidden="false" ht="12.1" outlineLevel="0" r="7099">
      <c r="A7099" s="3" t="s">
        <f>=HYPERLINK("https://mp39851918.megaplan.ua/deals/129723/card/","22134")</f>
      </c>
      <c r="B7099" s="3" t="inlineStr">
        <is>
          <t>114-6125750-2481821</t>
        </is>
      </c>
      <c r="C7099" s="3" t="inlineStr">
        <is>
          <t>TuckerRocky</t>
        </is>
      </c>
    </row>
    <row collapsed="false" customFormat="false" customHeight="false" hidden="false" ht="12.1" outlineLevel="0" r="7100">
      <c r="A7100" s="3" t="s">
        <f>=HYPERLINK("https://mp39851918.megaplan.ua/deals/129728/card/","22136")</f>
      </c>
      <c r="B7100" s="3" t="inlineStr">
        <is>
          <t>114-1287212-4161030</t>
        </is>
      </c>
      <c r="C7100" s="3" t="inlineStr">
        <is>
          <t>PartsUnlimited</t>
        </is>
      </c>
    </row>
    <row collapsed="false" customFormat="false" customHeight="false" hidden="false" ht="12.1" outlineLevel="0" r="7101">
      <c r="A7101" s="3" t="s">
        <f>=HYPERLINK("https://mp39851918.megaplan.ua/deals/129747/card/","22138")</f>
      </c>
      <c r="B7101" s="3" t="inlineStr">
        <is>
          <t>112-0285648-5385820</t>
        </is>
      </c>
      <c r="C7101" s="3" t="inlineStr">
        <is>
          <t>RockyMountain</t>
        </is>
      </c>
    </row>
    <row collapsed="false" customFormat="false" customHeight="false" hidden="false" ht="12.1" outlineLevel="0" r="7102">
      <c r="A7102" s="3" t="s">
        <f>=HYPERLINK("https://mp39851918.megaplan.ua/deals/129748/card/","22139")</f>
      </c>
      <c r="B7102" s="3" t="inlineStr">
        <is>
          <t>114-9111622-1778668</t>
        </is>
      </c>
      <c r="C7102" s="3" t="inlineStr">
        <is>
          <t>RockyMountain</t>
        </is>
      </c>
    </row>
    <row collapsed="false" customFormat="false" customHeight="false" hidden="false" ht="12.1" outlineLevel="0" r="7103">
      <c r="A7103" s="3" t="s">
        <f>=HYPERLINK("https://mp39851918.megaplan.ua/deals/129752/card/","22140")</f>
      </c>
      <c r="B7103" s="3" t="inlineStr">
        <is>
          <t>113-6283633-5814609</t>
        </is>
      </c>
      <c r="C7103" s="3" t="inlineStr">
        <is>
          <t>Autodist</t>
        </is>
      </c>
    </row>
    <row collapsed="false" customFormat="false" customHeight="false" hidden="false" ht="12.1" outlineLevel="0" r="7104">
      <c r="A7104" s="3" t="s">
        <f>=HYPERLINK("https://mp39851918.megaplan.ua/deals/129759/card/","22142")</f>
      </c>
      <c r="B7104" s="3" t="inlineStr">
        <is>
          <t>113-1841568-7243427</t>
        </is>
      </c>
      <c r="C7104" s="3" t="inlineStr">
        <is>
          <t>Autodist</t>
        </is>
      </c>
    </row>
    <row collapsed="false" customFormat="false" customHeight="false" hidden="false" ht="12.1" outlineLevel="0" r="7105">
      <c r="A7105" s="3" t="s">
        <f>=HYPERLINK("https://mp39851918.megaplan.ua/deals/129767/card/","22143")</f>
      </c>
      <c r="B7105" s="3" t="inlineStr">
        <is>
          <t>114-9946038-8673040</t>
        </is>
      </c>
      <c r="C7105" s="3" t="inlineStr">
        <is>
          <t>RockyMountain</t>
        </is>
      </c>
    </row>
    <row collapsed="false" customFormat="false" customHeight="false" hidden="false" ht="12.1" outlineLevel="0" r="7106">
      <c r="A7106" s="3" t="s">
        <f>=HYPERLINK("https://mp39851918.megaplan.ua/deals/129770/card/","22145")</f>
      </c>
      <c r="B7106" s="3" t="inlineStr">
        <is>
          <t>114-8336539-1263464</t>
        </is>
      </c>
      <c r="C7106" s="3" t="inlineStr">
        <is>
          <t>TuckerRocky</t>
        </is>
      </c>
    </row>
    <row collapsed="false" customFormat="false" customHeight="false" hidden="false" ht="12.1" outlineLevel="0" r="7107">
      <c r="A7107" s="3" t="s">
        <f>=HYPERLINK("https://mp39851918.megaplan.ua/deals/129773/card/","22146")</f>
      </c>
      <c r="B7107" s="3" t="inlineStr">
        <is>
          <t>111-9982118-1088266</t>
        </is>
      </c>
      <c r="C7107" s="3" t="inlineStr">
        <is>
          <t>PartsUnlimited</t>
        </is>
      </c>
    </row>
    <row collapsed="false" customFormat="false" customHeight="false" hidden="false" ht="12.1" outlineLevel="0" r="7108">
      <c r="A7108" s="3" t="s">
        <f>=HYPERLINK("https://mp39851918.megaplan.ua/deals/129779/card/","22147")</f>
      </c>
      <c r="B7108" s="3" t="inlineStr">
        <is>
          <t>112-3207731-5933863</t>
        </is>
      </c>
      <c r="C7108" s="3" t="inlineStr">
        <is>
          <t>RockyMountain</t>
        </is>
      </c>
    </row>
    <row collapsed="false" customFormat="false" customHeight="false" hidden="false" ht="12.1" outlineLevel="0" r="7109">
      <c r="A7109" s="3" t="s">
        <f>=HYPERLINK("https://mp39851918.megaplan.ua/deals/129813/card/","22149")</f>
      </c>
      <c r="B7109" s="3" t="inlineStr">
        <is>
          <t>111-2522622-8797055</t>
        </is>
      </c>
      <c r="C7109" s="3" t="inlineStr">
        <is>
          <t>TuckerRocky</t>
        </is>
      </c>
    </row>
    <row collapsed="false" customFormat="false" customHeight="false" hidden="false" ht="12.1" outlineLevel="0" r="7110">
      <c r="A7110" s="3" t="s">
        <f>=HYPERLINK("https://mp39851918.megaplan.ua/deals/129816/card/","22150")</f>
      </c>
      <c r="B7110" s="3" t="inlineStr">
        <is>
          <t>112-3628307-4110665</t>
        </is>
      </c>
      <c r="C7110" s="3" t="inlineStr">
        <is>
          <t>Autodist</t>
        </is>
      </c>
    </row>
    <row collapsed="false" customFormat="false" customHeight="false" hidden="false" ht="12.1" outlineLevel="0" r="7111">
      <c r="A7111" s="3" t="s">
        <f>=HYPERLINK("https://mp39851918.megaplan.ua/deals/129822/card/","22151")</f>
      </c>
      <c r="B7111" s="3" t="inlineStr">
        <is>
          <t>113-1990992-4500233</t>
        </is>
      </c>
      <c r="C7111" s="3" t="inlineStr">
        <is>
          <t>PartsUnlimited</t>
        </is>
      </c>
    </row>
    <row collapsed="false" customFormat="false" customHeight="false" hidden="false" ht="12.1" outlineLevel="0" r="7112">
      <c r="A7112" s="3" t="s">
        <f>=HYPERLINK("https://mp39851918.megaplan.ua/deals/129823/card/","22152")</f>
      </c>
      <c r="B7112" s="3" t="inlineStr">
        <is>
          <t>114-2235003-2540228</t>
        </is>
      </c>
      <c r="C7112" s="3" t="inlineStr">
        <is>
          <t>PartsUnlimited</t>
        </is>
      </c>
    </row>
    <row collapsed="false" customFormat="false" customHeight="false" hidden="false" ht="12.1" outlineLevel="0" r="7113">
      <c r="A7113" s="3" t="s">
        <f>=HYPERLINK("https://mp39851918.megaplan.ua/deals/129824/card/","22153")</f>
      </c>
      <c r="B7113" s="3" t="inlineStr">
        <is>
          <t>113-7983473-1079448</t>
        </is>
      </c>
      <c r="C7113" s="3" t="inlineStr">
        <is>
          <t>RockyMountain</t>
        </is>
      </c>
    </row>
    <row collapsed="false" customFormat="false" customHeight="false" hidden="false" ht="12.1" outlineLevel="0" r="7114">
      <c r="A7114" s="3" t="s">
        <f>=HYPERLINK("https://mp39851918.megaplan.ua/deals/129830/card/","22154")</f>
      </c>
      <c r="B7114" s="3" t="inlineStr">
        <is>
          <t>113-9913264-7259452</t>
        </is>
      </c>
      <c r="C7114" s="3" t="inlineStr">
        <is>
          <t>Autodist</t>
        </is>
      </c>
    </row>
    <row collapsed="false" customFormat="false" customHeight="false" hidden="false" ht="12.1" outlineLevel="0" r="7115">
      <c r="A7115" s="3" t="s">
        <f>=HYPERLINK("https://mp39851918.megaplan.ua/deals/129841/card/","22155")</f>
      </c>
      <c r="B7115" s="3" t="inlineStr">
        <is>
          <t>113-8494467-3531448</t>
        </is>
      </c>
      <c r="C7115" s="3" t="inlineStr">
        <is>
          <t>PartsUnlimited</t>
        </is>
      </c>
    </row>
    <row collapsed="false" customFormat="false" customHeight="false" hidden="false" ht="12.1" outlineLevel="0" r="7116">
      <c r="A7116" s="3" t="s">
        <f>=HYPERLINK("https://mp39851918.megaplan.ua/deals/129880/card/","22156")</f>
      </c>
      <c r="B7116" s="3" t="inlineStr">
        <is>
          <t>113-8236535-8874663</t>
        </is>
      </c>
      <c r="C7116" s="3" t="inlineStr">
        <is>
          <t>TuckerRocky</t>
        </is>
      </c>
    </row>
    <row collapsed="false" customFormat="false" customHeight="false" hidden="false" ht="12.1" outlineLevel="0" r="7117">
      <c r="A7117" s="3" t="s">
        <f>=HYPERLINK("https://mp39851918.megaplan.ua/deals/129886/card/","22157")</f>
      </c>
      <c r="B7117" s="3" t="inlineStr">
        <is>
          <t>113-8385964-1416252</t>
        </is>
      </c>
      <c r="C7117" s="3" t="inlineStr">
        <is>
          <t>PartsUnlimited</t>
        </is>
      </c>
    </row>
    <row collapsed="false" customFormat="false" customHeight="false" hidden="false" ht="12.1" outlineLevel="0" r="7118">
      <c r="A7118" s="3" t="s">
        <f>=HYPERLINK("https://mp39851918.megaplan.ua/deals/129887/card/","22158")</f>
      </c>
      <c r="B7118" s="3" t="inlineStr">
        <is>
          <t>113-9078912-2045017</t>
        </is>
      </c>
      <c r="C7118" s="3" t="inlineStr">
        <is>
          <t>PartsUnlimited</t>
        </is>
      </c>
    </row>
    <row collapsed="false" customFormat="false" customHeight="false" hidden="false" ht="12.1" outlineLevel="0" r="7119">
      <c r="A7119" s="3" t="s">
        <f>=HYPERLINK("https://mp39851918.megaplan.ua/deals/129914/card/","22159")</f>
      </c>
      <c r="B7119" s="3" t="inlineStr">
        <is>
          <t>114-1587509-5100251</t>
        </is>
      </c>
      <c r="C7119" s="3" t="inlineStr">
        <is>
          <t>RockyMountain</t>
        </is>
      </c>
    </row>
    <row collapsed="false" customFormat="false" customHeight="false" hidden="false" ht="12.1" outlineLevel="0" r="7120">
      <c r="A7120" s="3" t="s">
        <f>=HYPERLINK("https://mp39851918.megaplan.ua/deals/129915/card/","22160")</f>
      </c>
      <c r="B7120" s="3" t="inlineStr">
        <is>
          <t>111-4760272-4051464</t>
        </is>
      </c>
      <c r="C7120" s="3" t="inlineStr">
        <is>
          <t>Autodist</t>
        </is>
      </c>
    </row>
    <row collapsed="false" customFormat="false" customHeight="false" hidden="false" ht="12.1" outlineLevel="0" r="7121">
      <c r="A7121" s="3" t="s">
        <f>=HYPERLINK("https://mp39851918.megaplan.ua/deals/129933/card/","22162")</f>
      </c>
      <c r="B7121" s="3" t="inlineStr">
        <is>
          <t>113-5969192-4216214</t>
        </is>
      </c>
      <c r="C7121" s="3" t="inlineStr">
        <is>
          <t>RockyMountain</t>
        </is>
      </c>
    </row>
    <row collapsed="false" customFormat="false" customHeight="false" hidden="false" ht="12.1" outlineLevel="0" r="7122">
      <c r="A7122" s="3" t="s">
        <f>=HYPERLINK("https://mp39851918.megaplan.ua/deals/129945/card/","22164")</f>
      </c>
      <c r="B7122" s="3" t="inlineStr">
        <is>
          <t>114-9086563-4263412</t>
        </is>
      </c>
      <c r="C7122" s="3" t="inlineStr">
        <is>
          <t>PartsUnlimited</t>
        </is>
      </c>
    </row>
    <row collapsed="false" customFormat="false" customHeight="false" hidden="false" ht="12.1" outlineLevel="0" r="7123">
      <c r="A7123" s="3" t="s">
        <f>=HYPERLINK("https://mp39851918.megaplan.ua/deals/129946/card/","22165")</f>
      </c>
      <c r="B7123" s="3" t="inlineStr">
        <is>
          <t>111-0642470-2284201</t>
        </is>
      </c>
      <c r="C7123" s="3" t="inlineStr">
        <is>
          <t>TuckerRocky</t>
        </is>
      </c>
    </row>
    <row collapsed="false" customFormat="false" customHeight="false" hidden="false" ht="12.1" outlineLevel="0" r="7124">
      <c r="A7124" s="3" t="s">
        <f>=HYPERLINK("https://mp39851918.megaplan.ua/deals/129954/card/","22166")</f>
      </c>
      <c r="B7124" s="3" t="inlineStr">
        <is>
          <t>111-5443033-2137054</t>
        </is>
      </c>
      <c r="C7124" s="3" t="inlineStr">
        <is>
          <t>Autodist</t>
        </is>
      </c>
    </row>
    <row collapsed="false" customFormat="false" customHeight="false" hidden="false" ht="12.1" outlineLevel="0" r="7125">
      <c r="A7125" s="3" t="s">
        <f>=HYPERLINK("https://mp39851918.megaplan.ua/deals/129961/card/","22167")</f>
      </c>
      <c r="B7125" s="3" t="inlineStr">
        <is>
          <t>112-0529310-8571449</t>
        </is>
      </c>
      <c r="C7125" s="3" t="inlineStr">
        <is>
          <t>RockyMountain</t>
        </is>
      </c>
    </row>
    <row collapsed="false" customFormat="false" customHeight="false" hidden="false" ht="12.1" outlineLevel="0" r="7126">
      <c r="A7126" s="3" t="s">
        <f>=HYPERLINK("https://mp39851918.megaplan.ua/deals/129965/card/","22169")</f>
      </c>
      <c r="B7126" s="3" t="inlineStr">
        <is>
          <t>111-5298921-8033855</t>
        </is>
      </c>
      <c r="C7126" s="3" t="inlineStr">
        <is>
          <t>RockyMountain</t>
        </is>
      </c>
    </row>
    <row collapsed="false" customFormat="false" customHeight="false" hidden="false" ht="12.1" outlineLevel="0" r="7127">
      <c r="A7127" s="3" t="s">
        <f>=HYPERLINK("https://mp39851918.megaplan.ua/deals/129973/card/","22170")</f>
      </c>
      <c r="B7127" s="3" t="inlineStr">
        <is>
          <t>114-5098453-1385813</t>
        </is>
      </c>
      <c r="C7127" s="3" t="inlineStr">
        <is>
          <t>RockyMountain</t>
        </is>
      </c>
    </row>
    <row collapsed="false" customFormat="false" customHeight="false" hidden="false" ht="12.1" outlineLevel="0" r="7128">
      <c r="A7128" s="3" t="s">
        <f>=HYPERLINK("https://mp39851918.megaplan.ua/deals/129980/card/","22171")</f>
      </c>
      <c r="B7128" s="3" t="inlineStr">
        <is>
          <t>113-0154671-8280200</t>
        </is>
      </c>
      <c r="C7128" s="3" t="inlineStr">
        <is>
          <t>Autodist</t>
        </is>
      </c>
    </row>
    <row collapsed="false" customFormat="false" customHeight="false" hidden="false" ht="12.1" outlineLevel="0" r="7129">
      <c r="A7129" s="3" t="s">
        <f>=HYPERLINK("https://mp39851918.megaplan.ua/deals/129986/card/","22172")</f>
      </c>
      <c r="B7129" s="3" t="inlineStr">
        <is>
          <t>113-6749813-3049825</t>
        </is>
      </c>
      <c r="C7129" s="3" t="inlineStr">
        <is>
          <t>RockyMountain</t>
        </is>
      </c>
    </row>
    <row collapsed="false" customFormat="false" customHeight="false" hidden="false" ht="12.1" outlineLevel="0" r="7130">
      <c r="A7130" s="3" t="s">
        <f>=HYPERLINK("https://mp39851918.megaplan.ua/deals/129988/card/","22173")</f>
      </c>
      <c r="B7130" s="3" t="inlineStr">
        <is>
          <t>112-6416796-7582606</t>
        </is>
      </c>
      <c r="C7130" s="3" t="inlineStr">
        <is>
          <t>PartsUnlimited</t>
        </is>
      </c>
    </row>
    <row collapsed="false" customFormat="false" customHeight="false" hidden="false" ht="12.1" outlineLevel="0" r="7131">
      <c r="A7131" s="3" t="s">
        <f>=HYPERLINK("https://mp39851918.megaplan.ua/deals/129997/card/","22174")</f>
      </c>
      <c r="B7131" s="3" t="inlineStr">
        <is>
          <t>113-5935966-3652261</t>
        </is>
      </c>
      <c r="C7131" s="3" t="inlineStr">
        <is>
          <t>PartsUnlimited</t>
        </is>
      </c>
    </row>
    <row collapsed="false" customFormat="false" customHeight="false" hidden="false" ht="12.1" outlineLevel="0" r="7132">
      <c r="A7132" s="3" t="s">
        <f>=HYPERLINK("https://mp39851918.megaplan.ua/deals/129998/card/","22175")</f>
      </c>
      <c r="B7132" s="3" t="inlineStr">
        <is>
          <t>114-3973406-6701064</t>
        </is>
      </c>
      <c r="C7132" s="3" t="inlineStr">
        <is>
          <t>PartsUnlimited</t>
        </is>
      </c>
    </row>
    <row collapsed="false" customFormat="false" customHeight="false" hidden="false" ht="12.1" outlineLevel="0" r="7133">
      <c r="A7133" s="3" t="s">
        <f>=HYPERLINK("https://mp39851918.megaplan.ua/deals/130003/card/","22177")</f>
      </c>
      <c r="B7133" s="3" t="inlineStr">
        <is>
          <t>112-5411227-9578648</t>
        </is>
      </c>
      <c r="C7133" s="3" t="inlineStr">
        <is>
          <t>Autodist</t>
        </is>
      </c>
    </row>
    <row collapsed="false" customFormat="false" customHeight="false" hidden="false" ht="12.1" outlineLevel="0" r="7134">
      <c r="A7134" s="3" t="s">
        <f>=HYPERLINK("https://mp39851918.megaplan.ua/deals/130006/card/","22178")</f>
      </c>
      <c r="B7134" s="3" t="inlineStr">
        <is>
          <t>112-2736413-8301810</t>
        </is>
      </c>
      <c r="C7134" s="3" t="inlineStr">
        <is>
          <t>Autodist</t>
        </is>
      </c>
    </row>
    <row collapsed="false" customFormat="false" customHeight="false" hidden="false" ht="12.1" outlineLevel="0" r="7135">
      <c r="A7135" s="3" t="s">
        <f>=HYPERLINK("https://mp39851918.megaplan.ua/deals/130009/card/","22179")</f>
      </c>
      <c r="B7135" s="3" t="inlineStr">
        <is>
          <t>112-1784341-1547448</t>
        </is>
      </c>
      <c r="C7135" s="3" t="inlineStr">
        <is>
          <t>PartsUnlimited</t>
        </is>
      </c>
    </row>
    <row collapsed="false" customFormat="false" customHeight="false" hidden="false" ht="12.1" outlineLevel="0" r="7136">
      <c r="A7136" s="3" t="s">
        <f>=HYPERLINK("https://mp39851918.megaplan.ua/deals/130010/card/","22180")</f>
      </c>
      <c r="B7136" s="3" t="inlineStr">
        <is>
          <t>113-4956771-7931408</t>
        </is>
      </c>
      <c r="C7136" s="3" t="inlineStr">
        <is>
          <t>Autodist</t>
        </is>
      </c>
    </row>
    <row collapsed="false" customFormat="false" customHeight="false" hidden="false" ht="12.1" outlineLevel="0" r="7137">
      <c r="A7137" s="3" t="s">
        <f>=HYPERLINK("https://mp39851918.megaplan.ua/deals/130014/card/","22181")</f>
      </c>
      <c r="B7137" s="3" t="inlineStr">
        <is>
          <t>113-9939756-8741021</t>
        </is>
      </c>
      <c r="C7137" s="3" t="inlineStr">
        <is>
          <t>Autodist</t>
        </is>
      </c>
    </row>
    <row collapsed="false" customFormat="false" customHeight="false" hidden="false" ht="12.1" outlineLevel="0" r="7138">
      <c r="A7138" s="3" t="s">
        <f>=HYPERLINK("https://mp39851918.megaplan.ua/deals/130016/card/","22182")</f>
      </c>
      <c r="B7138" s="3" t="inlineStr">
        <is>
          <t>112-7946788-5559422</t>
        </is>
      </c>
      <c r="C7138" s="3" t="inlineStr">
        <is>
          <t>RockyMountain</t>
        </is>
      </c>
    </row>
    <row collapsed="false" customFormat="false" customHeight="false" hidden="false" ht="12.1" outlineLevel="0" r="7139">
      <c r="A7139" s="3" t="s">
        <f>=HYPERLINK("https://mp39851918.megaplan.ua/deals/130022/card/","22183")</f>
      </c>
      <c r="B7139" s="3" t="inlineStr">
        <is>
          <t>114-6121573-6672200</t>
        </is>
      </c>
      <c r="C7139" s="3" t="inlineStr">
        <is>
          <t>Autodist</t>
        </is>
      </c>
    </row>
    <row collapsed="false" customFormat="false" customHeight="false" hidden="false" ht="12.1" outlineLevel="0" r="7140">
      <c r="A7140" s="3" t="s">
        <f>=HYPERLINK("https://mp39851918.megaplan.ua/deals/130026/card/","22184")</f>
      </c>
      <c r="B7140" s="3" t="inlineStr">
        <is>
          <t>111-6795618-6346612</t>
        </is>
      </c>
      <c r="C7140" s="3" t="inlineStr">
        <is>
          <t>RockyMountain</t>
        </is>
      </c>
    </row>
    <row collapsed="false" customFormat="false" customHeight="false" hidden="false" ht="12.1" outlineLevel="0" r="7141">
      <c r="A7141" s="3" t="s">
        <f>=HYPERLINK("https://mp39851918.megaplan.ua/deals/130028/card/","22185")</f>
      </c>
      <c r="B7141" s="3" t="inlineStr">
        <is>
          <t>112-3141350-6142643</t>
        </is>
      </c>
      <c r="C7141" s="3" t="inlineStr">
        <is>
          <t>Autodist</t>
        </is>
      </c>
    </row>
    <row collapsed="false" customFormat="false" customHeight="false" hidden="false" ht="12.1" outlineLevel="0" r="7142">
      <c r="A7142" s="3" t="s">
        <f>=HYPERLINK("https://mp39851918.megaplan.ua/deals/130031/card/","22186")</f>
      </c>
      <c r="B7142" s="3" t="inlineStr">
        <is>
          <t>114-7146521-2341822</t>
        </is>
      </c>
      <c r="C7142" s="3" t="inlineStr">
        <is>
          <t>Autodist</t>
        </is>
      </c>
    </row>
    <row collapsed="false" customFormat="false" customHeight="false" hidden="false" ht="12.1" outlineLevel="0" r="7143">
      <c r="A7143" s="3" t="s">
        <f>=HYPERLINK("https://mp39851918.megaplan.ua/deals/130033/card/","22187")</f>
      </c>
      <c r="B7143" s="3" t="inlineStr">
        <is>
          <t>113-9810880-4685843</t>
        </is>
      </c>
      <c r="C7143" s="3" t="inlineStr">
        <is>
          <t>PartsUnlimited</t>
        </is>
      </c>
    </row>
    <row collapsed="false" customFormat="false" customHeight="false" hidden="false" ht="12.1" outlineLevel="0" r="7144">
      <c r="A7144" s="3" t="s">
        <f>=HYPERLINK("https://mp39851918.megaplan.ua/deals/130035/card/","22188")</f>
      </c>
      <c r="B7144" s="3" t="inlineStr">
        <is>
          <t>112-8546819-1433806</t>
        </is>
      </c>
      <c r="C7144" s="3" t="inlineStr">
        <is>
          <t>Autodist</t>
        </is>
      </c>
    </row>
    <row collapsed="false" customFormat="false" customHeight="false" hidden="false" ht="12.1" outlineLevel="0" r="7145">
      <c r="A7145" s="3" t="s">
        <f>=HYPERLINK("https://mp39851918.megaplan.ua/deals/130036/card/","22189")</f>
      </c>
      <c r="B7145" s="3" t="inlineStr">
        <is>
          <t>113-9259517-7526642</t>
        </is>
      </c>
      <c r="C7145" s="3" t="inlineStr">
        <is>
          <t>TuckerRocky</t>
        </is>
      </c>
    </row>
    <row collapsed="false" customFormat="false" customHeight="false" hidden="false" ht="12.1" outlineLevel="0" r="7146">
      <c r="A7146" s="3" t="s">
        <f>=HYPERLINK("https://mp39851918.megaplan.ua/deals/130044/card/","22190")</f>
      </c>
      <c r="B7146" s="3" t="inlineStr">
        <is>
          <t>112-9530729-0645865</t>
        </is>
      </c>
      <c r="C7146" s="3" t="inlineStr">
        <is>
          <t>RockyMountain</t>
        </is>
      </c>
    </row>
    <row collapsed="false" customFormat="false" customHeight="false" hidden="false" ht="12.1" outlineLevel="0" r="7147">
      <c r="A7147" s="3" t="s">
        <f>=HYPERLINK("https://mp39851918.megaplan.ua/deals/130045/card/","22191")</f>
      </c>
      <c r="B7147" s="3" t="inlineStr">
        <is>
          <t>113-0677835-1840253</t>
        </is>
      </c>
      <c r="C7147" s="3" t="inlineStr">
        <is>
          <t>PartsUnlimited</t>
        </is>
      </c>
    </row>
    <row collapsed="false" customFormat="false" customHeight="false" hidden="false" ht="12.1" outlineLevel="0" r="7148">
      <c r="A7148" s="3" t="s">
        <f>=HYPERLINK("https://mp39851918.megaplan.ua/deals/130050/card/","22192")</f>
      </c>
      <c r="B7148" s="3" t="inlineStr">
        <is>
          <t>113-4686674-6434605</t>
        </is>
      </c>
      <c r="C7148" s="3" t="inlineStr">
        <is>
          <t>Autodist</t>
        </is>
      </c>
    </row>
    <row collapsed="false" customFormat="false" customHeight="false" hidden="false" ht="12.1" outlineLevel="0" r="7149">
      <c r="A7149" s="3" t="s">
        <f>=HYPERLINK("https://mp39851918.megaplan.ua/deals/130052/card/","22193")</f>
      </c>
      <c r="B7149" s="3" t="inlineStr">
        <is>
          <t>114-1851054-1260256</t>
        </is>
      </c>
      <c r="C7149" s="3" t="inlineStr">
        <is>
          <t>RockyMountain</t>
        </is>
      </c>
    </row>
    <row collapsed="false" customFormat="false" customHeight="false" hidden="false" ht="12.1" outlineLevel="0" r="7150">
      <c r="A7150" s="3" t="s">
        <f>=HYPERLINK("https://mp39851918.megaplan.ua/deals/130057/card/","22194")</f>
      </c>
      <c r="B7150" s="3" t="inlineStr">
        <is>
          <t>114-1091194-2197007</t>
        </is>
      </c>
      <c r="C7150" s="3" t="inlineStr">
        <is>
          <t>PartsUnlimited</t>
        </is>
      </c>
    </row>
    <row collapsed="false" customFormat="false" customHeight="false" hidden="false" ht="12.1" outlineLevel="0" r="7151">
      <c r="A7151" s="3" t="s">
        <f>=HYPERLINK("https://mp39851918.megaplan.ua/deals/130074/card/","22196")</f>
      </c>
      <c r="B7151" s="3" t="inlineStr">
        <is>
          <t>111-1572147-4361020</t>
        </is>
      </c>
      <c r="C7151" s="3" t="inlineStr">
        <is>
          <t>RockyMountain</t>
        </is>
      </c>
    </row>
    <row collapsed="false" customFormat="false" customHeight="false" hidden="false" ht="12.1" outlineLevel="0" r="7152">
      <c r="A7152" s="3" t="s">
        <f>=HYPERLINK("https://mp39851918.megaplan.ua/deals/130078/card/","22197")</f>
      </c>
      <c r="B7152" s="3" t="inlineStr">
        <is>
          <t>111-0534756-2485851</t>
        </is>
      </c>
      <c r="C7152" s="3" t="inlineStr">
        <is>
          <t>RockyMountain</t>
        </is>
      </c>
    </row>
    <row collapsed="false" customFormat="false" customHeight="false" hidden="false" ht="12.1" outlineLevel="0" r="7153">
      <c r="A7153" s="3" t="s">
        <f>=HYPERLINK("https://mp39851918.megaplan.ua/deals/130091/card/","22199")</f>
      </c>
      <c r="B7153" s="3" t="inlineStr">
        <is>
          <t>111-9612890-2649813</t>
        </is>
      </c>
      <c r="C7153" s="3" t="inlineStr">
        <is>
          <t>RockyMountain</t>
        </is>
      </c>
    </row>
    <row collapsed="false" customFormat="false" customHeight="false" hidden="false" ht="12.1" outlineLevel="0" r="7154">
      <c r="A7154" s="3" t="s">
        <f>=HYPERLINK("https://mp39851918.megaplan.ua/deals/130103/card/","22200")</f>
      </c>
      <c r="B7154" s="3" t="inlineStr">
        <is>
          <t>111-0371938-5412264</t>
        </is>
      </c>
      <c r="C7154" s="3" t="inlineStr">
        <is>
          <t>TuckerRocky</t>
        </is>
      </c>
    </row>
    <row collapsed="false" customFormat="false" customHeight="false" hidden="false" ht="12.1" outlineLevel="0" r="7155">
      <c r="A7155" s="3" t="s">
        <f>=HYPERLINK("https://mp39851918.megaplan.ua/deals/130106/card/","22201")</f>
      </c>
      <c r="B7155" s="3" t="inlineStr">
        <is>
          <t>111-9382478-0218658</t>
        </is>
      </c>
      <c r="C7155" s="3" t="inlineStr">
        <is>
          <t>PartsUnlimited</t>
        </is>
      </c>
    </row>
    <row collapsed="false" customFormat="false" customHeight="false" hidden="false" ht="12.1" outlineLevel="0" r="7156">
      <c r="A7156" s="3" t="s">
        <f>=HYPERLINK("https://mp39851918.megaplan.ua/deals/130119/card/","22203")</f>
      </c>
      <c r="B7156" s="3" t="inlineStr">
        <is>
          <t>114-7156217-1476268</t>
        </is>
      </c>
      <c r="C7156" s="3" t="inlineStr">
        <is>
          <t>RockyMountain</t>
        </is>
      </c>
    </row>
    <row collapsed="false" customFormat="false" customHeight="false" hidden="false" ht="12.1" outlineLevel="0" r="7157">
      <c r="A7157" s="3" t="s">
        <f>=HYPERLINK("https://mp39851918.megaplan.ua/deals/130125/card/","22204")</f>
      </c>
      <c r="B7157" s="3" t="inlineStr">
        <is>
          <t>113-7053076-2121008</t>
        </is>
      </c>
      <c r="C7157" s="3" t="inlineStr">
        <is>
          <t>Autodist</t>
        </is>
      </c>
    </row>
    <row collapsed="false" customFormat="false" customHeight="false" hidden="false" ht="12.1" outlineLevel="0" r="7158">
      <c r="A7158" s="3" t="s">
        <f>=HYPERLINK("https://mp39851918.megaplan.ua/deals/130146/card/","22205")</f>
      </c>
      <c r="B7158" s="3" t="inlineStr">
        <is>
          <t>114-5805486-1025046</t>
        </is>
      </c>
      <c r="C7158" s="3" t="inlineStr">
        <is>
          <t>RockyMountain</t>
        </is>
      </c>
    </row>
    <row collapsed="false" customFormat="false" customHeight="false" hidden="false" ht="12.1" outlineLevel="0" r="7159">
      <c r="A7159" s="3" t="s">
        <f>=HYPERLINK("https://mp39851918.megaplan.ua/deals/130151/card/","22206")</f>
      </c>
      <c r="B7159" s="3" t="inlineStr">
        <is>
          <t>114-2959616-6857066</t>
        </is>
      </c>
      <c r="C7159" s="3" t="inlineStr">
        <is>
          <t>Autodist</t>
        </is>
      </c>
    </row>
    <row collapsed="false" customFormat="false" customHeight="false" hidden="false" ht="12.1" outlineLevel="0" r="7160">
      <c r="A7160" s="3" t="s">
        <f>=HYPERLINK("https://mp39851918.megaplan.ua/deals/130162/card/","22208")</f>
      </c>
      <c r="B7160" s="3" t="inlineStr">
        <is>
          <t>114-5786576-2643456</t>
        </is>
      </c>
      <c r="C7160" s="3" t="inlineStr">
        <is>
          <t>Autodist</t>
        </is>
      </c>
    </row>
    <row collapsed="false" customFormat="false" customHeight="false" hidden="false" ht="12.1" outlineLevel="0" r="7161">
      <c r="A7161" s="3" t="s">
        <f>=HYPERLINK("https://mp39851918.megaplan.ua/deals/130177/card/","22209")</f>
      </c>
      <c r="B7161" s="3" t="inlineStr">
        <is>
          <t>112-3693984-9526604</t>
        </is>
      </c>
      <c r="C7161" s="3" t="inlineStr">
        <is>
          <t>PartsUnlimited</t>
        </is>
      </c>
    </row>
    <row collapsed="false" customFormat="false" customHeight="false" hidden="false" ht="12.1" outlineLevel="0" r="7162">
      <c r="A7162" s="3" t="s">
        <f>=HYPERLINK("https://mp39851918.megaplan.ua/deals/130182/card/","22210")</f>
      </c>
      <c r="B7162" s="3" t="inlineStr">
        <is>
          <t>114-5762717-4681839</t>
        </is>
      </c>
      <c r="C7162" s="3" t="inlineStr">
        <is>
          <t>Autodist</t>
        </is>
      </c>
    </row>
    <row collapsed="false" customFormat="false" customHeight="false" hidden="false" ht="12.1" outlineLevel="0" r="7163">
      <c r="A7163" s="3" t="s">
        <f>=HYPERLINK("https://mp39851918.megaplan.ua/deals/130185/card/","22211")</f>
      </c>
      <c r="B7163" s="3" t="inlineStr">
        <is>
          <t>114-3534348-3947404</t>
        </is>
      </c>
      <c r="C7163" s="3" t="inlineStr">
        <is>
          <t>RockyMountain</t>
        </is>
      </c>
    </row>
    <row collapsed="false" customFormat="false" customHeight="false" hidden="false" ht="12.1" outlineLevel="0" r="7164">
      <c r="A7164" s="3" t="s">
        <f>=HYPERLINK("https://mp39851918.megaplan.ua/deals/130199/card/","22212")</f>
      </c>
      <c r="B7164" s="3" t="inlineStr">
        <is>
          <t>112-1477489-7809855</t>
        </is>
      </c>
      <c r="C7164" s="3" t="inlineStr">
        <is>
          <t>Autodist</t>
        </is>
      </c>
    </row>
    <row collapsed="false" customFormat="false" customHeight="false" hidden="false" ht="12.1" outlineLevel="0" r="7165">
      <c r="A7165" s="3" t="s">
        <f>=HYPERLINK("https://mp39851918.megaplan.ua/deals/130201/card/","22213")</f>
      </c>
      <c r="B7165" s="3" t="inlineStr">
        <is>
          <t>111-1807970-3263427</t>
        </is>
      </c>
      <c r="C7165" s="3" t="inlineStr">
        <is>
          <t>RockyMountain</t>
        </is>
      </c>
    </row>
    <row collapsed="false" customFormat="false" customHeight="false" hidden="false" ht="12.1" outlineLevel="0" r="7166">
      <c r="A7166" s="3" t="s">
        <f>=HYPERLINK("https://mp39851918.megaplan.ua/deals/130212/card/","22215")</f>
      </c>
      <c r="B7166" s="3" t="inlineStr">
        <is>
          <t>112-0136398-4403472</t>
        </is>
      </c>
      <c r="C7166" s="3" t="inlineStr">
        <is>
          <t>TuckerRocky</t>
        </is>
      </c>
    </row>
    <row collapsed="false" customFormat="false" customHeight="false" hidden="false" ht="12.1" outlineLevel="0" r="7167">
      <c r="A7167" s="3" t="s">
        <f>=HYPERLINK("https://mp39851918.megaplan.ua/deals/130224/card/","22217")</f>
      </c>
      <c r="B7167" s="3" t="inlineStr">
        <is>
          <t>112-2180761-6710629</t>
        </is>
      </c>
      <c r="C7167" s="3" t="inlineStr">
        <is>
          <t>RockyMountain</t>
        </is>
      </c>
    </row>
    <row collapsed="false" customFormat="false" customHeight="false" hidden="false" ht="12.1" outlineLevel="0" r="7168">
      <c r="A7168" s="3" t="s">
        <f>=HYPERLINK("https://mp39851918.megaplan.ua/deals/130225/card/","22218")</f>
      </c>
      <c r="B7168" s="3" t="inlineStr">
        <is>
          <t>113-1055077-9027429</t>
        </is>
      </c>
      <c r="C7168" s="3" t="inlineStr">
        <is>
          <t>RockyMountain</t>
        </is>
      </c>
    </row>
    <row collapsed="false" customFormat="false" customHeight="false" hidden="false" ht="12.1" outlineLevel="0" r="7169">
      <c r="A7169" s="3" t="s">
        <f>=HYPERLINK("https://mp39851918.megaplan.ua/deals/130226/card/","22219")</f>
      </c>
      <c r="B7169" s="3" t="inlineStr">
        <is>
          <t>111-3786478-6132249</t>
        </is>
      </c>
      <c r="C7169" s="3" t="inlineStr">
        <is>
          <t>Autodist</t>
        </is>
      </c>
    </row>
    <row collapsed="false" customFormat="false" customHeight="false" hidden="false" ht="12.1" outlineLevel="0" r="7170">
      <c r="A7170" s="3" t="s">
        <f>=HYPERLINK("https://mp39851918.megaplan.ua/deals/130240/card/","22221")</f>
      </c>
      <c r="B7170" s="3" t="inlineStr">
        <is>
          <t>113-4397266-4382627</t>
        </is>
      </c>
      <c r="C7170" s="3" t="inlineStr">
        <is>
          <t>PartsUnlimited</t>
        </is>
      </c>
    </row>
    <row collapsed="false" customFormat="false" customHeight="false" hidden="false" ht="12.1" outlineLevel="0" r="7171">
      <c r="A7171" s="3" t="s">
        <f>=HYPERLINK("https://mp39851918.megaplan.ua/deals/130251/card/","22222")</f>
      </c>
      <c r="B7171" s="3" t="inlineStr">
        <is>
          <t>112-4267969-0625821</t>
        </is>
      </c>
      <c r="C7171" s="3" t="inlineStr">
        <is>
          <t>Autodist</t>
        </is>
      </c>
    </row>
    <row collapsed="false" customFormat="false" customHeight="false" hidden="false" ht="12.1" outlineLevel="0" r="7172">
      <c r="A7172" s="3" t="s">
        <f>=HYPERLINK("https://mp39851918.megaplan.ua/deals/130252/card/","22223")</f>
      </c>
      <c r="B7172" s="3" t="inlineStr">
        <is>
          <t>112-7068745-0943462</t>
        </is>
      </c>
      <c r="C7172" s="3" t="inlineStr">
        <is>
          <t>Autodist</t>
        </is>
      </c>
    </row>
    <row collapsed="false" customFormat="false" customHeight="false" hidden="false" ht="12.1" outlineLevel="0" r="7173">
      <c r="A7173" s="3" t="s">
        <f>=HYPERLINK("https://mp39851918.megaplan.ua/deals/130283/card/","22224")</f>
      </c>
      <c r="B7173" s="3" t="inlineStr">
        <is>
          <t>114-2517079-6348202</t>
        </is>
      </c>
      <c r="C7173" s="3" t="inlineStr">
        <is>
          <t>RockyMountain</t>
        </is>
      </c>
    </row>
    <row collapsed="false" customFormat="false" customHeight="false" hidden="false" ht="12.1" outlineLevel="0" r="7174">
      <c r="A7174" s="3" t="s">
        <f>=HYPERLINK("https://mp39851918.megaplan.ua/deals/130285/card/","22225")</f>
      </c>
      <c r="B7174" s="3" t="inlineStr">
        <is>
          <t>111-4687535-6872213</t>
        </is>
      </c>
      <c r="C7174" s="3" t="inlineStr">
        <is>
          <t>PartsUnlimited</t>
        </is>
      </c>
    </row>
    <row collapsed="false" customFormat="false" customHeight="false" hidden="false" ht="12.1" outlineLevel="0" r="7175">
      <c r="A7175" s="3" t="s">
        <f>=HYPERLINK("https://mp39851918.megaplan.ua/deals/130288/card/","22226")</f>
      </c>
      <c r="B7175" s="3" t="inlineStr">
        <is>
          <t>113-9411286-1526653</t>
        </is>
      </c>
      <c r="C7175" s="3" t="inlineStr">
        <is>
          <t>TuckerRocky</t>
        </is>
      </c>
    </row>
    <row collapsed="false" customFormat="false" customHeight="false" hidden="false" ht="12.1" outlineLevel="0" r="7176">
      <c r="A7176" s="3" t="s">
        <f>=HYPERLINK("https://mp39851918.megaplan.ua/deals/130291/card/","22227")</f>
      </c>
      <c r="B7176" s="3" t="inlineStr">
        <is>
          <t>111-5919852-3217044</t>
        </is>
      </c>
      <c r="C7176" s="3" t="inlineStr">
        <is>
          <t>TuckerRocky</t>
        </is>
      </c>
    </row>
    <row collapsed="false" customFormat="false" customHeight="false" hidden="false" ht="12.1" outlineLevel="0" r="7177">
      <c r="A7177" s="3" t="s">
        <f>=HYPERLINK("https://mp39851918.megaplan.ua/deals/130293/card/","22228")</f>
      </c>
      <c r="B7177" s="3" t="inlineStr">
        <is>
          <t>113-7031557-8960251</t>
        </is>
      </c>
      <c r="C7177" s="3" t="inlineStr">
        <is>
          <t>PartsUnlimited</t>
        </is>
      </c>
    </row>
    <row collapsed="false" customFormat="false" customHeight="false" hidden="false" ht="12.1" outlineLevel="0" r="7178">
      <c r="A7178" s="3" t="s">
        <f>=HYPERLINK("https://mp39851918.megaplan.ua/deals/130299/card/","22229")</f>
      </c>
      <c r="B7178" s="3" t="inlineStr">
        <is>
          <t>114-6892636-4620220</t>
        </is>
      </c>
      <c r="C7178" s="3" t="inlineStr">
        <is>
          <t>Autodist</t>
        </is>
      </c>
    </row>
    <row collapsed="false" customFormat="false" customHeight="false" hidden="false" ht="12.1" outlineLevel="0" r="7179">
      <c r="A7179" s="3" t="s">
        <f>=HYPERLINK("https://mp39851918.megaplan.ua/deals/130306/card/","22230")</f>
      </c>
      <c r="B7179" s="3" t="inlineStr">
        <is>
          <t>112-3879305-8993831</t>
        </is>
      </c>
      <c r="C7179" s="3" t="inlineStr">
        <is>
          <t>PartsUnlimited</t>
        </is>
      </c>
    </row>
    <row collapsed="false" customFormat="false" customHeight="false" hidden="false" ht="12.1" outlineLevel="0" r="7180">
      <c r="A7180" s="3" t="s">
        <f>=HYPERLINK("https://mp39851918.megaplan.ua/deals/130313/card/","22232")</f>
      </c>
      <c r="B7180" s="3" t="inlineStr">
        <is>
          <t>111-1115407-7722657</t>
        </is>
      </c>
      <c r="C7180" s="3" t="inlineStr">
        <is>
          <t>RockyMountain</t>
        </is>
      </c>
    </row>
    <row collapsed="false" customFormat="false" customHeight="false" hidden="false" ht="12.1" outlineLevel="0" r="7181">
      <c r="A7181" s="3" t="s">
        <f>=HYPERLINK("https://mp39851918.megaplan.ua/deals/130314/card/","22233")</f>
      </c>
      <c r="B7181" s="3" t="inlineStr">
        <is>
          <t>111-7072357-0117840</t>
        </is>
      </c>
      <c r="C7181" s="3" t="inlineStr">
        <is>
          <t>PartsUnlimited</t>
        </is>
      </c>
    </row>
    <row collapsed="false" customFormat="false" customHeight="false" hidden="false" ht="12.1" outlineLevel="0" r="7182">
      <c r="A7182" s="3" t="s">
        <f>=HYPERLINK("https://mp39851918.megaplan.ua/deals/130316/card/","22234")</f>
      </c>
      <c r="B7182" s="3" t="inlineStr">
        <is>
          <t>113-9029670-4695411</t>
        </is>
      </c>
      <c r="C7182" s="3" t="inlineStr">
        <is>
          <t>RockyMountain</t>
        </is>
      </c>
    </row>
    <row collapsed="false" customFormat="false" customHeight="false" hidden="false" ht="12.1" outlineLevel="0" r="7183">
      <c r="A7183" s="3" t="s">
        <f>=HYPERLINK("https://mp39851918.megaplan.ua/deals/130326/card/","22235")</f>
      </c>
      <c r="B7183" s="3" t="inlineStr">
        <is>
          <t>113-8231137-2000225</t>
        </is>
      </c>
      <c r="C7183" s="3" t="inlineStr">
        <is>
          <t>Autodist</t>
        </is>
      </c>
    </row>
    <row collapsed="false" customFormat="false" customHeight="false" hidden="false" ht="12.1" outlineLevel="0" r="7184">
      <c r="A7184" s="3" t="s">
        <f>=HYPERLINK("https://mp39851918.megaplan.ua/deals/130330/card/","22237")</f>
      </c>
      <c r="B7184" s="3" t="inlineStr">
        <is>
          <t>112-7508354-9795423</t>
        </is>
      </c>
      <c r="C7184" s="3" t="inlineStr">
        <is>
          <t>TuckerRocky</t>
        </is>
      </c>
    </row>
    <row collapsed="false" customFormat="false" customHeight="false" hidden="false" ht="12.1" outlineLevel="0" r="7185">
      <c r="A7185" s="3" t="s">
        <f>=HYPERLINK("https://mp39851918.megaplan.ua/deals/130344/card/","22238")</f>
      </c>
      <c r="B7185" s="3" t="inlineStr">
        <is>
          <t>113-5121803-6910614</t>
        </is>
      </c>
      <c r="C7185" s="3" t="inlineStr">
        <is>
          <t>RockyMountain</t>
        </is>
      </c>
    </row>
    <row collapsed="false" customFormat="false" customHeight="false" hidden="false" ht="12.1" outlineLevel="0" r="7186">
      <c r="A7186" s="3" t="s">
        <f>=HYPERLINK("https://mp39851918.megaplan.ua/deals/130369/card/","22239")</f>
      </c>
      <c r="B7186" s="3" t="inlineStr">
        <is>
          <t>111-0385184-2365843</t>
        </is>
      </c>
      <c r="C7186" s="3" t="inlineStr">
        <is>
          <t>RockyMountain</t>
        </is>
      </c>
    </row>
    <row collapsed="false" customFormat="false" customHeight="false" hidden="false" ht="12.1" outlineLevel="0" r="7187">
      <c r="A7187" s="3" t="s">
        <f>=HYPERLINK("https://mp39851918.megaplan.ua/deals/130383/card/","22240")</f>
      </c>
      <c r="B7187" s="3" t="inlineStr">
        <is>
          <t>114-8179285-7245831</t>
        </is>
      </c>
      <c r="C7187" s="3" t="inlineStr">
        <is>
          <t>RockyMountain</t>
        </is>
      </c>
    </row>
    <row collapsed="false" customFormat="false" customHeight="false" hidden="false" ht="12.1" outlineLevel="0" r="7188">
      <c r="A7188" s="3" t="s">
        <f>=HYPERLINK("https://mp39851918.megaplan.ua/deals/130391/card/","22241")</f>
      </c>
      <c r="B7188" s="3" t="inlineStr">
        <is>
          <t>113-5623785-7028265</t>
        </is>
      </c>
      <c r="C7188" s="3" t="inlineStr">
        <is>
          <t>PartsUnlimited</t>
        </is>
      </c>
    </row>
    <row collapsed="false" customFormat="false" customHeight="false" hidden="false" ht="12.1" outlineLevel="0" r="7189">
      <c r="A7189" s="3" t="s">
        <f>=HYPERLINK("https://mp39851918.megaplan.ua/deals/130408/card/","22242")</f>
      </c>
      <c r="B7189" s="3" t="inlineStr">
        <is>
          <t>111-7936362-4855434</t>
        </is>
      </c>
      <c r="C7189" s="3" t="inlineStr">
        <is>
          <t>PartsUnlimited</t>
        </is>
      </c>
    </row>
    <row collapsed="false" customFormat="false" customHeight="false" hidden="false" ht="12.1" outlineLevel="0" r="7190">
      <c r="A7190" s="3" t="s">
        <f>=HYPERLINK("https://mp39851918.megaplan.ua/deals/130423/card/","22243")</f>
      </c>
      <c r="B7190" s="3" t="inlineStr">
        <is>
          <t>113-2264386-4233030</t>
        </is>
      </c>
      <c r="C7190" s="3" t="inlineStr">
        <is>
          <t>PartsUnlimited</t>
        </is>
      </c>
    </row>
    <row collapsed="false" customFormat="false" customHeight="false" hidden="false" ht="12.1" outlineLevel="0" r="7191">
      <c r="A7191" s="3" t="s">
        <f>=HYPERLINK("https://mp39851918.megaplan.ua/deals/130424/card/","22244")</f>
      </c>
      <c r="B7191" s="3" t="inlineStr">
        <is>
          <t>114-3269231-4536229</t>
        </is>
      </c>
      <c r="C7191" s="3" t="inlineStr">
        <is>
          <t>Autodist</t>
        </is>
      </c>
    </row>
    <row collapsed="false" customFormat="false" customHeight="false" hidden="false" ht="12.1" outlineLevel="0" r="7192">
      <c r="A7192" s="3" t="s">
        <f>=HYPERLINK("https://mp39851918.megaplan.ua/deals/130433/card/","22245")</f>
      </c>
      <c r="B7192" s="3" t="inlineStr">
        <is>
          <t>112-8451384-7954658</t>
        </is>
      </c>
      <c r="C7192" s="3" t="inlineStr">
        <is>
          <t>RockyMountain</t>
        </is>
      </c>
    </row>
    <row collapsed="false" customFormat="false" customHeight="false" hidden="false" ht="12.1" outlineLevel="0" r="7193">
      <c r="A7193" s="3" t="s">
        <f>=HYPERLINK("https://mp39851918.megaplan.ua/deals/130436/card/","22246")</f>
      </c>
      <c r="B7193" s="3" t="inlineStr">
        <is>
          <t>114-8194371-7800224</t>
        </is>
      </c>
      <c r="C7193" s="3" t="inlineStr">
        <is>
          <t>PartsUnlimited</t>
        </is>
      </c>
    </row>
    <row collapsed="false" customFormat="false" customHeight="false" hidden="false" ht="12.1" outlineLevel="0" r="7194">
      <c r="A7194" s="3" t="s">
        <f>=HYPERLINK("https://mp39851918.megaplan.ua/deals/130439/card/","22247")</f>
      </c>
      <c r="B7194" s="3" t="inlineStr">
        <is>
          <t>111-1732787-2405050</t>
        </is>
      </c>
      <c r="C7194" s="3" t="inlineStr">
        <is>
          <t>Autodist</t>
        </is>
      </c>
    </row>
    <row collapsed="false" customFormat="false" customHeight="false" hidden="false" ht="12.1" outlineLevel="0" r="7195">
      <c r="A7195" s="3" t="s">
        <f>=HYPERLINK("https://mp39851918.megaplan.ua/deals/130446/card/","22248")</f>
      </c>
      <c r="B7195" s="3" t="inlineStr">
        <is>
          <t>114-8053620-5597843</t>
        </is>
      </c>
      <c r="C7195" s="3" t="inlineStr">
        <is>
          <t>Autodist</t>
        </is>
      </c>
    </row>
    <row collapsed="false" customFormat="false" customHeight="false" hidden="false" ht="12.1" outlineLevel="0" r="7196">
      <c r="A7196" s="3" t="s">
        <f>=HYPERLINK("https://mp39851918.megaplan.ua/deals/130458/card/","22249")</f>
      </c>
      <c r="B7196" s="3" t="inlineStr">
        <is>
          <t>112-1977552-8099447</t>
        </is>
      </c>
      <c r="C7196" s="3" t="inlineStr">
        <is>
          <t>PartsUnlimited</t>
        </is>
      </c>
    </row>
    <row collapsed="false" customFormat="false" customHeight="false" hidden="false" ht="12.1" outlineLevel="0" r="7197">
      <c r="A7197" s="3" t="s">
        <f>=HYPERLINK("https://mp39851918.megaplan.ua/deals/130459/card/","22250")</f>
      </c>
      <c r="B7197" s="3" t="inlineStr">
        <is>
          <t>114-8319104-6943463</t>
        </is>
      </c>
      <c r="C7197" s="3" t="inlineStr">
        <is>
          <t>PartsUnlimited</t>
        </is>
      </c>
    </row>
    <row collapsed="false" customFormat="false" customHeight="false" hidden="false" ht="12.1" outlineLevel="0" r="7198">
      <c r="A7198" s="3" t="s">
        <f>=HYPERLINK("https://mp39851918.megaplan.ua/deals/130464/card/","22251")</f>
      </c>
      <c r="B7198" s="3" t="inlineStr">
        <is>
          <t>112-9051037-0328221</t>
        </is>
      </c>
      <c r="C7198" s="3" t="inlineStr">
        <is>
          <t>RockyMountain</t>
        </is>
      </c>
    </row>
    <row collapsed="false" customFormat="false" customHeight="false" hidden="false" ht="12.1" outlineLevel="0" r="7199">
      <c r="A7199" s="3" t="s">
        <f>=HYPERLINK("https://mp39851918.megaplan.ua/deals/130474/card/","22253")</f>
      </c>
      <c r="B7199" s="3" t="inlineStr">
        <is>
          <t>112-4877417-7513026</t>
        </is>
      </c>
      <c r="C7199" s="3" t="inlineStr">
        <is>
          <t>TuckerRocky</t>
        </is>
      </c>
    </row>
    <row collapsed="false" customFormat="false" customHeight="false" hidden="false" ht="12.1" outlineLevel="0" r="7200">
      <c r="A7200" s="3" t="s">
        <f>=HYPERLINK("https://mp39851918.megaplan.ua/deals/130475/card/","22254")</f>
      </c>
      <c r="B7200" s="3" t="inlineStr">
        <is>
          <t>112-1154365-5439465</t>
        </is>
      </c>
      <c r="C7200" s="3" t="inlineStr">
        <is>
          <t>Autodist</t>
        </is>
      </c>
    </row>
    <row collapsed="false" customFormat="false" customHeight="false" hidden="false" ht="12.1" outlineLevel="0" r="7201">
      <c r="A7201" s="3" t="s">
        <f>=HYPERLINK("https://mp39851918.megaplan.ua/deals/130480/card/","22255")</f>
      </c>
      <c r="B7201" s="3" t="inlineStr">
        <is>
          <t>111-6742640-5913017</t>
        </is>
      </c>
      <c r="C7201" s="3" t="inlineStr">
        <is>
          <t>PartsUnlimited</t>
        </is>
      </c>
    </row>
    <row collapsed="false" customFormat="false" customHeight="false" hidden="false" ht="12.1" outlineLevel="0" r="7202">
      <c r="A7202" s="3" t="s">
        <f>=HYPERLINK("https://mp39851918.megaplan.ua/deals/130481/card/","22256")</f>
      </c>
      <c r="B7202" s="3" t="inlineStr">
        <is>
          <t>111-2148317-0009803</t>
        </is>
      </c>
      <c r="C7202" s="3" t="inlineStr">
        <is>
          <t>Autodist</t>
        </is>
      </c>
    </row>
    <row collapsed="false" customFormat="false" customHeight="false" hidden="false" ht="12.1" outlineLevel="0" r="7203">
      <c r="A7203" s="3" t="s">
        <f>=HYPERLINK("https://mp39851918.megaplan.ua/deals/130489/card/","22257")</f>
      </c>
      <c r="B7203" s="3" t="inlineStr">
        <is>
          <t>111-3876893-8749032</t>
        </is>
      </c>
      <c r="C7203" s="3" t="inlineStr">
        <is>
          <t>RockyMountain</t>
        </is>
      </c>
    </row>
    <row collapsed="false" customFormat="false" customHeight="false" hidden="false" ht="12.1" outlineLevel="0" r="7204">
      <c r="A7204" s="3" t="s">
        <f>=HYPERLINK("https://mp39851918.megaplan.ua/deals/130491/card/","22258")</f>
      </c>
      <c r="B7204" s="3" t="inlineStr">
        <is>
          <t>111-0421920-7758626</t>
        </is>
      </c>
      <c r="C7204" s="3" t="inlineStr">
        <is>
          <t>PartsUnlimited</t>
        </is>
      </c>
    </row>
    <row collapsed="false" customFormat="false" customHeight="false" hidden="false" ht="12.1" outlineLevel="0" r="7205">
      <c r="A7205" s="3" t="s">
        <f>=HYPERLINK("https://mp39851918.megaplan.ua/deals/130492/card/","22259")</f>
      </c>
      <c r="B7205" s="3" t="inlineStr">
        <is>
          <t>111-1547995-1447411</t>
        </is>
      </c>
      <c r="C7205" s="3" t="inlineStr">
        <is>
          <t>PartsUnlimited</t>
        </is>
      </c>
    </row>
    <row collapsed="false" customFormat="false" customHeight="false" hidden="false" ht="12.1" outlineLevel="0" r="7206">
      <c r="A7206" s="3" t="s">
        <f>=HYPERLINK("https://mp39851918.megaplan.ua/deals/130500/card/","22261")</f>
      </c>
      <c r="B7206" s="3" t="inlineStr">
        <is>
          <t>113-1732416-9303401</t>
        </is>
      </c>
      <c r="C7206" s="3" t="inlineStr">
        <is>
          <t>Autodist</t>
        </is>
      </c>
    </row>
    <row collapsed="false" customFormat="false" customHeight="false" hidden="false" ht="12.1" outlineLevel="0" r="7207">
      <c r="A7207" s="3" t="s">
        <f>=HYPERLINK("https://mp39851918.megaplan.ua/deals/130502/card/","22262")</f>
      </c>
      <c r="B7207" s="3" t="inlineStr">
        <is>
          <t>111-1134084-4473822</t>
        </is>
      </c>
      <c r="C7207" s="3" t="inlineStr">
        <is>
          <t>Autodist</t>
        </is>
      </c>
    </row>
    <row collapsed="false" customFormat="false" customHeight="false" hidden="false" ht="12.1" outlineLevel="0" r="7208">
      <c r="A7208" s="3" t="s">
        <f>=HYPERLINK("https://mp39851918.megaplan.ua/deals/130515/card/","22263")</f>
      </c>
      <c r="B7208" s="3" t="inlineStr">
        <is>
          <t>114-9083584-1034652</t>
        </is>
      </c>
      <c r="C7208" s="3" t="inlineStr">
        <is>
          <t>Autodist</t>
        </is>
      </c>
    </row>
    <row collapsed="false" customFormat="false" customHeight="false" hidden="false" ht="12.1" outlineLevel="0" r="7209">
      <c r="A7209" s="3" t="s">
        <f>=HYPERLINK("https://mp39851918.megaplan.ua/deals/130520/card/","22264")</f>
      </c>
      <c r="B7209" s="3" t="inlineStr">
        <is>
          <t>111-1012280-7325854</t>
        </is>
      </c>
      <c r="C7209" s="3" t="inlineStr">
        <is>
          <t>PartsUnlimited</t>
        </is>
      </c>
    </row>
    <row collapsed="false" customFormat="false" customHeight="false" hidden="false" ht="12.1" outlineLevel="0" r="7210">
      <c r="A7210" s="3" t="s">
        <f>=HYPERLINK("https://mp39851918.megaplan.ua/deals/130521/card/","22265")</f>
      </c>
      <c r="B7210" s="3" t="inlineStr">
        <is>
          <t>112-1685730-8741849</t>
        </is>
      </c>
      <c r="C7210" s="3" t="inlineStr">
        <is>
          <t>PartsUnlimited</t>
        </is>
      </c>
    </row>
    <row collapsed="false" customFormat="false" customHeight="false" hidden="false" ht="12.1" outlineLevel="0" r="7211">
      <c r="A7211" s="3" t="s">
        <f>=HYPERLINK("https://mp39851918.megaplan.ua/deals/130529/card/","22266")</f>
      </c>
      <c r="B7211" s="3" t="inlineStr">
        <is>
          <t>111-0901224-3138622</t>
        </is>
      </c>
      <c r="C7211" s="3" t="inlineStr">
        <is>
          <t>TuckerRocky</t>
        </is>
      </c>
    </row>
    <row collapsed="false" customFormat="false" customHeight="false" hidden="false" ht="12.1" outlineLevel="0" r="7212">
      <c r="A7212" s="3" t="s">
        <f>=HYPERLINK("https://mp39851918.megaplan.ua/deals/130539/card/","22267")</f>
      </c>
      <c r="B7212" s="3" t="inlineStr">
        <is>
          <t>113-4954478-2249012</t>
        </is>
      </c>
      <c r="C7212" s="3" t="inlineStr">
        <is>
          <t>Autodist</t>
        </is>
      </c>
    </row>
    <row collapsed="false" customFormat="false" customHeight="false" hidden="false" ht="12.1" outlineLevel="0" r="7213">
      <c r="A7213" s="3" t="s">
        <f>=HYPERLINK("https://mp39851918.megaplan.ua/deals/130545/card/","22268")</f>
      </c>
      <c r="B7213" s="3" t="inlineStr">
        <is>
          <t>113-9984807-5570654</t>
        </is>
      </c>
      <c r="C7213" s="3" t="inlineStr">
        <is>
          <t>RockyMountain</t>
        </is>
      </c>
    </row>
    <row collapsed="false" customFormat="false" customHeight="false" hidden="false" ht="12.1" outlineLevel="0" r="7214">
      <c r="A7214" s="3" t="s">
        <f>=HYPERLINK("https://mp39851918.megaplan.ua/deals/130550/card/","22270")</f>
      </c>
      <c r="B7214" s="3" t="inlineStr">
        <is>
          <t>113-3051598-8117029</t>
        </is>
      </c>
      <c r="C7214" s="3" t="inlineStr">
        <is>
          <t>RockyMountain</t>
        </is>
      </c>
    </row>
    <row collapsed="false" customFormat="false" customHeight="false" hidden="false" ht="12.1" outlineLevel="0" r="7215">
      <c r="A7215" s="3" t="s">
        <f>=HYPERLINK("https://mp39851918.megaplan.ua/deals/130560/card/","22272")</f>
      </c>
      <c r="B7215" s="3" t="inlineStr">
        <is>
          <t>113-3502719-2126627</t>
        </is>
      </c>
      <c r="C7215" s="3" t="inlineStr">
        <is>
          <t>TuckerRocky</t>
        </is>
      </c>
    </row>
    <row collapsed="false" customFormat="false" customHeight="false" hidden="false" ht="12.1" outlineLevel="0" r="7216">
      <c r="A7216" s="3" t="s">
        <f>=HYPERLINK("https://mp39851918.megaplan.ua/deals/130563/card/","22273")</f>
      </c>
      <c r="B7216" s="3" t="inlineStr">
        <is>
          <t>113-7260518-6966667</t>
        </is>
      </c>
      <c r="C7216" s="3" t="inlineStr">
        <is>
          <t>TuckerRocky</t>
        </is>
      </c>
    </row>
    <row collapsed="false" customFormat="false" customHeight="false" hidden="false" ht="12.1" outlineLevel="0" r="7217">
      <c r="A7217" s="3" t="s">
        <f>=HYPERLINK("https://mp39851918.megaplan.ua/deals/130575/card/","22275")</f>
      </c>
      <c r="B7217" s="3" t="inlineStr">
        <is>
          <t>111-5394685-1328231</t>
        </is>
      </c>
      <c r="C7217" s="3" t="inlineStr">
        <is>
          <t>TuckerRocky</t>
        </is>
      </c>
    </row>
    <row collapsed="false" customFormat="false" customHeight="false" hidden="false" ht="12.1" outlineLevel="0" r="7218">
      <c r="A7218" s="3" t="s">
        <f>=HYPERLINK("https://mp39851918.megaplan.ua/deals/130576/card/","22276")</f>
      </c>
      <c r="B7218" s="3" t="inlineStr">
        <is>
          <t>114-2625704-9116265</t>
        </is>
      </c>
      <c r="C7218" s="3" t="inlineStr">
        <is>
          <t>PartsUnlimited</t>
        </is>
      </c>
    </row>
    <row collapsed="false" customFormat="false" customHeight="false" hidden="false" ht="12.1" outlineLevel="0" r="7219">
      <c r="A7219" s="3" t="s">
        <f>=HYPERLINK("https://mp39851918.megaplan.ua/deals/130578/card/","22277")</f>
      </c>
      <c r="B7219" s="3" t="inlineStr">
        <is>
          <t>114-2299406-0969868</t>
        </is>
      </c>
      <c r="C7219" s="3" t="inlineStr">
        <is>
          <t>PartsUnlimited</t>
        </is>
      </c>
    </row>
    <row collapsed="false" customFormat="false" customHeight="false" hidden="false" ht="12.1" outlineLevel="0" r="7220">
      <c r="A7220" s="3" t="s">
        <f>=HYPERLINK("https://mp39851918.megaplan.ua/deals/130583/card/","22278")</f>
      </c>
      <c r="B7220" s="3" t="inlineStr">
        <is>
          <t>111-1191819-0008259</t>
        </is>
      </c>
      <c r="C7220" s="3" t="inlineStr">
        <is>
          <t>Autodist</t>
        </is>
      </c>
    </row>
    <row collapsed="false" customFormat="false" customHeight="false" hidden="false" ht="12.1" outlineLevel="0" r="7221">
      <c r="A7221" s="3" t="s">
        <f>=HYPERLINK("https://mp39851918.megaplan.ua/deals/130584/card/","22279")</f>
      </c>
      <c r="B7221" s="3" t="inlineStr">
        <is>
          <t>114-7696142-5101056</t>
        </is>
      </c>
      <c r="C7221" s="3" t="inlineStr">
        <is>
          <t>Autodist</t>
        </is>
      </c>
    </row>
    <row collapsed="false" customFormat="false" customHeight="false" hidden="false" ht="12.1" outlineLevel="0" r="7222">
      <c r="A7222" s="3" t="s">
        <f>=HYPERLINK("https://mp39851918.megaplan.ua/deals/130589/card/","22280")</f>
      </c>
      <c r="B7222" s="3" t="inlineStr">
        <is>
          <t>113-2706343-5023449</t>
        </is>
      </c>
      <c r="C7222" s="3" t="inlineStr">
        <is>
          <t>RockyMountain</t>
        </is>
      </c>
    </row>
    <row collapsed="false" customFormat="false" customHeight="false" hidden="false" ht="12.1" outlineLevel="0" r="7223">
      <c r="A7223" s="3" t="s">
        <f>=HYPERLINK("https://mp39851918.megaplan.ua/deals/130592/card/","22282")</f>
      </c>
      <c r="B7223" s="3" t="inlineStr">
        <is>
          <t>113-8883693-9922607</t>
        </is>
      </c>
      <c r="C7223" s="3" t="inlineStr">
        <is>
          <t>PartsUnlimited</t>
        </is>
      </c>
    </row>
    <row collapsed="false" customFormat="false" customHeight="false" hidden="false" ht="12.1" outlineLevel="0" r="7224">
      <c r="A7224" s="3" t="s">
        <f>=HYPERLINK("https://mp39851918.megaplan.ua/deals/130593/card/","22283")</f>
      </c>
      <c r="B7224" s="3" t="inlineStr">
        <is>
          <t>114-6424465-7530647</t>
        </is>
      </c>
      <c r="C7224" s="3" t="inlineStr">
        <is>
          <t>Autodist</t>
        </is>
      </c>
    </row>
    <row collapsed="false" customFormat="false" customHeight="false" hidden="false" ht="12.1" outlineLevel="0" r="7225">
      <c r="A7225" s="3" t="s">
        <f>=HYPERLINK("https://mp39851918.megaplan.ua/deals/130605/card/","22285")</f>
      </c>
      <c r="B7225" s="3" t="inlineStr">
        <is>
          <t>111-6587138-0925859</t>
        </is>
      </c>
      <c r="C7225" s="3" t="inlineStr">
        <is>
          <t>RockyMountain</t>
        </is>
      </c>
    </row>
    <row collapsed="false" customFormat="false" customHeight="false" hidden="false" ht="12.1" outlineLevel="0" r="7226">
      <c r="A7226" s="3" t="s">
        <f>=HYPERLINK("https://mp39851918.megaplan.ua/deals/130608/card/","22286")</f>
      </c>
      <c r="B7226" s="3" t="inlineStr">
        <is>
          <t>114-3229961-1178603</t>
        </is>
      </c>
      <c r="C7226" s="3" t="inlineStr">
        <is>
          <t>RockyMountain</t>
        </is>
      </c>
    </row>
    <row collapsed="false" customFormat="false" customHeight="false" hidden="false" ht="12.1" outlineLevel="0" r="7227">
      <c r="A7227" s="3" t="s">
        <f>=HYPERLINK("https://mp39851918.megaplan.ua/deals/130613/card/","22287")</f>
      </c>
      <c r="B7227" s="3" t="inlineStr">
        <is>
          <t>112-6099176-3569038</t>
        </is>
      </c>
      <c r="C7227" s="3" t="inlineStr">
        <is>
          <t>PartsUnlimited</t>
        </is>
      </c>
    </row>
    <row collapsed="false" customFormat="false" customHeight="false" hidden="false" ht="12.1" outlineLevel="0" r="7228">
      <c r="A7228" s="3" t="s">
        <f>=HYPERLINK("https://mp39851918.megaplan.ua/deals/130614/card/","22288")</f>
      </c>
      <c r="B7228" s="3" t="inlineStr">
        <is>
          <t>114-2158224-1800211</t>
        </is>
      </c>
      <c r="C7228" s="3" t="inlineStr">
        <is>
          <t>RockyMountain</t>
        </is>
      </c>
    </row>
    <row collapsed="false" customFormat="false" customHeight="false" hidden="false" ht="12.1" outlineLevel="0" r="7229">
      <c r="A7229" s="3" t="s">
        <f>=HYPERLINK("https://mp39851918.megaplan.ua/deals/130622/card/","22289")</f>
      </c>
      <c r="B7229" s="3" t="inlineStr">
        <is>
          <t>112-9794737-6541062</t>
        </is>
      </c>
      <c r="C7229" s="3" t="inlineStr">
        <is>
          <t>RockyMountain</t>
        </is>
      </c>
    </row>
    <row collapsed="false" customFormat="false" customHeight="false" hidden="false" ht="12.1" outlineLevel="0" r="7230">
      <c r="A7230" s="3" t="s">
        <f>=HYPERLINK("https://mp39851918.megaplan.ua/deals/130623/card/","22290")</f>
      </c>
      <c r="B7230" s="3" t="inlineStr">
        <is>
          <t>113-4052799-0445029</t>
        </is>
      </c>
      <c r="C7230" s="3" t="inlineStr">
        <is>
          <t>PartsUnlimited</t>
        </is>
      </c>
    </row>
    <row collapsed="false" customFormat="false" customHeight="false" hidden="false" ht="12.1" outlineLevel="0" r="7231">
      <c r="A7231" s="3" t="s">
        <f>=HYPERLINK("https://mp39851918.megaplan.ua/deals/130627/card/","22291")</f>
      </c>
      <c r="B7231" s="3" t="inlineStr">
        <is>
          <t>114-9938598-5224201</t>
        </is>
      </c>
      <c r="C7231" s="3" t="inlineStr">
        <is>
          <t>Autodist</t>
        </is>
      </c>
    </row>
    <row collapsed="false" customFormat="false" customHeight="false" hidden="false" ht="12.1" outlineLevel="0" r="7232">
      <c r="A7232" s="3" t="s">
        <f>=HYPERLINK("https://mp39851918.megaplan.ua/deals/130631/card/","22292")</f>
      </c>
      <c r="B7232" s="3" t="inlineStr">
        <is>
          <t>114-6357792-9733804</t>
        </is>
      </c>
      <c r="C7232" s="3" t="inlineStr">
        <is>
          <t>RockyMountain</t>
        </is>
      </c>
    </row>
    <row collapsed="false" customFormat="false" customHeight="false" hidden="false" ht="12.1" outlineLevel="0" r="7233">
      <c r="A7233" s="3" t="s">
        <f>=HYPERLINK("https://mp39851918.megaplan.ua/deals/130635/card/","22294")</f>
      </c>
      <c r="B7233" s="3" t="inlineStr">
        <is>
          <t>112-5689613-2193865</t>
        </is>
      </c>
      <c r="C7233" s="3" t="inlineStr">
        <is>
          <t>RockyMountain</t>
        </is>
      </c>
    </row>
    <row collapsed="false" customFormat="false" customHeight="false" hidden="false" ht="12.1" outlineLevel="0" r="7234">
      <c r="A7234" s="3" t="s">
        <f>=HYPERLINK("https://mp39851918.megaplan.ua/deals/130642/card/","22295")</f>
      </c>
      <c r="B7234" s="3" t="inlineStr">
        <is>
          <t>114-4058405-9932249</t>
        </is>
      </c>
      <c r="C7234" s="3" t="inlineStr">
        <is>
          <t>RockyMountain</t>
        </is>
      </c>
    </row>
    <row collapsed="false" customFormat="false" customHeight="false" hidden="false" ht="12.1" outlineLevel="0" r="7235">
      <c r="A7235" s="3" t="s">
        <f>=HYPERLINK("https://mp39851918.megaplan.ua/deals/130643/card/","22296")</f>
      </c>
      <c r="B7235" s="3" t="inlineStr">
        <is>
          <t>114-1671455-6195460</t>
        </is>
      </c>
      <c r="C7235" s="3" t="inlineStr">
        <is>
          <t>PartsUnlimited</t>
        </is>
      </c>
    </row>
    <row collapsed="false" customFormat="false" customHeight="false" hidden="false" ht="12.1" outlineLevel="0" r="7236">
      <c r="A7236" s="3" t="s">
        <f>=HYPERLINK("https://mp39851918.megaplan.ua/deals/130644/card/","22297")</f>
      </c>
      <c r="B7236" s="3" t="inlineStr">
        <is>
          <t>113-3440187-1297003</t>
        </is>
      </c>
      <c r="C7236" s="3" t="inlineStr">
        <is>
          <t>RockyMountain</t>
        </is>
      </c>
    </row>
    <row collapsed="false" customFormat="false" customHeight="false" hidden="false" ht="12.1" outlineLevel="0" r="7237">
      <c r="A7237" s="3" t="s">
        <f>=HYPERLINK("https://mp39851918.megaplan.ua/deals/130645/card/","22298")</f>
      </c>
      <c r="B7237" s="3" t="inlineStr">
        <is>
          <t>114-0007729-3714679</t>
        </is>
      </c>
      <c r="C7237" s="3" t="inlineStr">
        <is>
          <t>Autodist</t>
        </is>
      </c>
    </row>
    <row collapsed="false" customFormat="false" customHeight="false" hidden="false" ht="12.1" outlineLevel="0" r="7238">
      <c r="A7238" s="3" t="s">
        <f>=HYPERLINK("https://mp39851918.megaplan.ua/deals/130652/card/","22300")</f>
      </c>
      <c r="B7238" s="3" t="inlineStr">
        <is>
          <t>112-2716475-2874629</t>
        </is>
      </c>
      <c r="C7238" s="3" t="inlineStr">
        <is>
          <t>TuckerRocky</t>
        </is>
      </c>
    </row>
    <row collapsed="false" customFormat="false" customHeight="false" hidden="false" ht="12.1" outlineLevel="0" r="7239">
      <c r="A7239" s="3" t="s">
        <f>=HYPERLINK("https://mp39851918.megaplan.ua/deals/130653/card/","22301")</f>
      </c>
      <c r="B7239" s="3" t="inlineStr">
        <is>
          <t>113-6017380-3485817</t>
        </is>
      </c>
      <c r="C7239" s="3" t="inlineStr">
        <is>
          <t>Autodist</t>
        </is>
      </c>
    </row>
    <row collapsed="false" customFormat="false" customHeight="false" hidden="false" ht="12.1" outlineLevel="0" r="7240">
      <c r="A7240" s="3" t="s">
        <f>=HYPERLINK("https://mp39851918.megaplan.ua/deals/130668/card/","22303")</f>
      </c>
      <c r="B7240" s="3" t="inlineStr">
        <is>
          <t>111-5103946-8325828</t>
        </is>
      </c>
      <c r="C7240" s="3" t="inlineStr">
        <is>
          <t>RockyMountain</t>
        </is>
      </c>
    </row>
    <row collapsed="false" customFormat="false" customHeight="false" hidden="false" ht="12.1" outlineLevel="0" r="7241">
      <c r="A7241" s="3" t="s">
        <f>=HYPERLINK("https://mp39851918.megaplan.ua/deals/130671/card/","22304")</f>
      </c>
      <c r="B7241" s="3" t="inlineStr">
        <is>
          <t>112-0422978-1589812</t>
        </is>
      </c>
      <c r="C7241" s="3" t="inlineStr">
        <is>
          <t>TuckerRocky</t>
        </is>
      </c>
    </row>
    <row collapsed="false" customFormat="false" customHeight="false" hidden="false" ht="12.1" outlineLevel="0" r="7242">
      <c r="A7242" s="3" t="s">
        <f>=HYPERLINK("https://mp39851918.megaplan.ua/deals/130672/card/","22305")</f>
      </c>
      <c r="B7242" s="3" t="inlineStr">
        <is>
          <t>114-0410309-7119425</t>
        </is>
      </c>
      <c r="C7242" s="3" t="inlineStr">
        <is>
          <t>Autodist</t>
        </is>
      </c>
    </row>
    <row collapsed="false" customFormat="false" customHeight="false" hidden="false" ht="12.1" outlineLevel="0" r="7243">
      <c r="A7243" s="3" t="s">
        <f>=HYPERLINK("https://mp39851918.megaplan.ua/deals/130675/card/","22306")</f>
      </c>
      <c r="B7243" s="3" t="inlineStr">
        <is>
          <t>111-0196266-3062661</t>
        </is>
      </c>
      <c r="C7243" s="3" t="inlineStr">
        <is>
          <t>PartsUnlimited</t>
        </is>
      </c>
    </row>
    <row collapsed="false" customFormat="false" customHeight="false" hidden="false" ht="12.1" outlineLevel="0" r="7244">
      <c r="A7244" s="3" t="s">
        <f>=HYPERLINK("https://mp39851918.megaplan.ua/deals/130680/card/","22307")</f>
      </c>
      <c r="B7244" s="3" t="inlineStr">
        <is>
          <t>113-5004613-6601867</t>
        </is>
      </c>
      <c r="C7244" s="3" t="inlineStr">
        <is>
          <t>TuckerRocky</t>
        </is>
      </c>
    </row>
    <row collapsed="false" customFormat="false" customHeight="false" hidden="false" ht="12.1" outlineLevel="0" r="7245">
      <c r="A7245" s="3" t="s">
        <f>=HYPERLINK("https://mp39851918.megaplan.ua/deals/130681/card/","22308")</f>
      </c>
      <c r="B7245" s="3" t="inlineStr">
        <is>
          <t>112-6297997-9352216</t>
        </is>
      </c>
      <c r="C7245" s="3" t="inlineStr">
        <is>
          <t>Autodist</t>
        </is>
      </c>
    </row>
    <row collapsed="false" customFormat="false" customHeight="false" hidden="false" ht="12.1" outlineLevel="0" r="7246">
      <c r="A7246" s="3" t="s">
        <f>=HYPERLINK("https://mp39851918.megaplan.ua/deals/130682/card/","22309")</f>
      </c>
      <c r="B7246" s="3" t="inlineStr">
        <is>
          <t>114-3575327-7745812</t>
        </is>
      </c>
      <c r="C7246" s="3" t="inlineStr">
        <is>
          <t>TuckerRocky</t>
        </is>
      </c>
    </row>
    <row collapsed="false" customFormat="false" customHeight="false" hidden="false" ht="12.1" outlineLevel="0" r="7247">
      <c r="A7247" s="3" t="s">
        <f>=HYPERLINK("https://mp39851918.megaplan.ua/deals/130684/card/","22310")</f>
      </c>
      <c r="B7247" s="3" t="inlineStr">
        <is>
          <t>114-5658001-4958606</t>
        </is>
      </c>
      <c r="C7247" s="3" t="inlineStr">
        <is>
          <t>PartsUnlimited</t>
        </is>
      </c>
    </row>
    <row collapsed="false" customFormat="false" customHeight="false" hidden="false" ht="12.1" outlineLevel="0" r="7248">
      <c r="A7248" s="3" t="s">
        <f>=HYPERLINK("https://mp39851918.megaplan.ua/deals/130685/card/","22311")</f>
      </c>
      <c r="B7248" s="3" t="inlineStr">
        <is>
          <t>113-2953307-8327453</t>
        </is>
      </c>
      <c r="C7248" s="3" t="inlineStr">
        <is>
          <t>RockyMountain</t>
        </is>
      </c>
    </row>
    <row collapsed="false" customFormat="false" customHeight="false" hidden="false" ht="12.1" outlineLevel="0" r="7249">
      <c r="A7249" s="3" t="s">
        <f>=HYPERLINK("https://mp39851918.megaplan.ua/deals/130687/card/","22312")</f>
      </c>
      <c r="B7249" s="3" t="inlineStr">
        <is>
          <t>111-8590500-7447402</t>
        </is>
      </c>
      <c r="C7249" s="3" t="inlineStr">
        <is>
          <t>Autodist</t>
        </is>
      </c>
    </row>
    <row collapsed="false" customFormat="false" customHeight="false" hidden="false" ht="12.1" outlineLevel="0" r="7250">
      <c r="A7250" s="3" t="s">
        <f>=HYPERLINK("https://mp39851918.megaplan.ua/deals/130688/card/","22313")</f>
      </c>
      <c r="B7250" s="3" t="inlineStr">
        <is>
          <t>112-4349346-1142631</t>
        </is>
      </c>
      <c r="C7250" s="3" t="inlineStr">
        <is>
          <t>RockyMountain</t>
        </is>
      </c>
    </row>
    <row collapsed="false" customFormat="false" customHeight="false" hidden="false" ht="12.1" outlineLevel="0" r="7251">
      <c r="A7251" s="3" t="s">
        <f>=HYPERLINK("https://mp39851918.megaplan.ua/deals/130691/card/","22314")</f>
      </c>
      <c r="B7251" s="3" t="inlineStr">
        <is>
          <t>112-0395528-9388238</t>
        </is>
      </c>
      <c r="C7251" s="3" t="inlineStr">
        <is>
          <t>TuckerRocky</t>
        </is>
      </c>
    </row>
    <row collapsed="false" customFormat="false" customHeight="false" hidden="false" ht="12.1" outlineLevel="0" r="7252">
      <c r="A7252" s="3" t="s">
        <f>=HYPERLINK("https://mp39851918.megaplan.ua/deals/130692/card/","22315")</f>
      </c>
      <c r="B7252" s="3" t="inlineStr">
        <is>
          <t>111-0421205-6344245</t>
        </is>
      </c>
      <c r="C7252" s="3" t="inlineStr">
        <is>
          <t>TuckerRocky</t>
        </is>
      </c>
    </row>
    <row collapsed="false" customFormat="false" customHeight="false" hidden="false" ht="12.1" outlineLevel="0" r="7253">
      <c r="A7253" s="3" t="s">
        <f>=HYPERLINK("https://mp39851918.megaplan.ua/deals/130696/card/","22316")</f>
      </c>
      <c r="B7253" s="3" t="inlineStr">
        <is>
          <t>114-5062100-0112212</t>
        </is>
      </c>
      <c r="C7253" s="3" t="inlineStr">
        <is>
          <t>PartsUnlimited</t>
        </is>
      </c>
    </row>
    <row collapsed="false" customFormat="false" customHeight="false" hidden="false" ht="12.1" outlineLevel="0" r="7254">
      <c r="A7254" s="3" t="s">
        <f>=HYPERLINK("https://mp39851918.megaplan.ua/deals/130697/card/","22317")</f>
      </c>
      <c r="B7254" s="3" t="inlineStr">
        <is>
          <t>114-5310630-5320218</t>
        </is>
      </c>
      <c r="C7254" s="3" t="inlineStr">
        <is>
          <t>Autodist</t>
        </is>
      </c>
    </row>
    <row collapsed="false" customFormat="false" customHeight="false" hidden="false" ht="12.1" outlineLevel="0" r="7255">
      <c r="A7255" s="3" t="s">
        <f>=HYPERLINK("https://mp39851918.megaplan.ua/deals/130700/card/","22318")</f>
      </c>
      <c r="B7255" s="3" t="inlineStr">
        <is>
          <t>111-0632347-0508251</t>
        </is>
      </c>
      <c r="C7255" s="3" t="inlineStr">
        <is>
          <t>PartsUnlimited</t>
        </is>
      </c>
    </row>
    <row collapsed="false" customFormat="false" customHeight="false" hidden="false" ht="12.1" outlineLevel="0" r="7256">
      <c r="A7256" s="3" t="s">
        <f>=HYPERLINK("https://mp39851918.megaplan.ua/deals/130701/card/","22319")</f>
      </c>
      <c r="B7256" s="3" t="inlineStr">
        <is>
          <t>111-2665132-8266616</t>
        </is>
      </c>
      <c r="C7256" s="3" t="inlineStr">
        <is>
          <t>PartsUnlimited</t>
        </is>
      </c>
    </row>
    <row collapsed="false" customFormat="false" customHeight="false" hidden="false" ht="12.1" outlineLevel="0" r="7257">
      <c r="A7257" s="3" t="s">
        <f>=HYPERLINK("https://mp39851918.megaplan.ua/deals/130702/card/","22320")</f>
      </c>
      <c r="B7257" s="3" t="inlineStr">
        <is>
          <t>114-3342362-7085863</t>
        </is>
      </c>
      <c r="C7257" s="3" t="inlineStr">
        <is>
          <t>PartsUnlimited</t>
        </is>
      </c>
    </row>
    <row collapsed="false" customFormat="false" customHeight="false" hidden="false" ht="12.1" outlineLevel="0" r="7258">
      <c r="A7258" s="3" t="s">
        <f>=HYPERLINK("https://mp39851918.megaplan.ua/deals/130703/card/","22321")</f>
      </c>
      <c r="B7258" s="3" t="inlineStr">
        <is>
          <t>113-3912737-1427442</t>
        </is>
      </c>
      <c r="C7258" s="3" t="inlineStr">
        <is>
          <t>RockyMountain</t>
        </is>
      </c>
    </row>
    <row collapsed="false" customFormat="false" customHeight="false" hidden="false" ht="12.1" outlineLevel="0" r="7259">
      <c r="A7259" s="3" t="s">
        <f>=HYPERLINK("https://mp39851918.megaplan.ua/deals/130708/card/","22322")</f>
      </c>
      <c r="B7259" s="3" t="inlineStr">
        <is>
          <t>111-7208594-3256208</t>
        </is>
      </c>
      <c r="C7259" s="3" t="inlineStr">
        <is>
          <t>Autodist</t>
        </is>
      </c>
    </row>
    <row collapsed="false" customFormat="false" customHeight="false" hidden="false" ht="12.1" outlineLevel="0" r="7260">
      <c r="A7260" s="3" t="s">
        <f>=HYPERLINK("https://mp39851918.megaplan.ua/deals/130734/card/","22324")</f>
      </c>
      <c r="B7260" s="3" t="inlineStr">
        <is>
          <t>112-9540933-0393029</t>
        </is>
      </c>
      <c r="C7260" s="3" t="inlineStr">
        <is>
          <t>RockyMountain</t>
        </is>
      </c>
    </row>
    <row collapsed="false" customFormat="false" customHeight="false" hidden="false" ht="12.1" outlineLevel="0" r="7261">
      <c r="A7261" s="3" t="s">
        <f>=HYPERLINK("https://mp39851918.megaplan.ua/deals/130739/card/","22325")</f>
      </c>
      <c r="B7261" s="3" t="inlineStr">
        <is>
          <t>111-1879881-5809839</t>
        </is>
      </c>
      <c r="C7261" s="3" t="inlineStr">
        <is>
          <t>RockyMountain</t>
        </is>
      </c>
    </row>
    <row collapsed="false" customFormat="false" customHeight="false" hidden="false" ht="12.1" outlineLevel="0" r="7262">
      <c r="A7262" s="3" t="s">
        <f>=HYPERLINK("https://mp39851918.megaplan.ua/deals/130744/card/","22326")</f>
      </c>
      <c r="B7262" s="3" t="inlineStr">
        <is>
          <t>114-2418616-5653020</t>
        </is>
      </c>
      <c r="C7262" s="3" t="inlineStr">
        <is>
          <t>TuckerRocky</t>
        </is>
      </c>
    </row>
    <row collapsed="false" customFormat="false" customHeight="false" hidden="false" ht="12.1" outlineLevel="0" r="7263">
      <c r="A7263" s="3" t="s">
        <f>=HYPERLINK("https://mp39851918.megaplan.ua/deals/130745/card/","22327")</f>
      </c>
      <c r="B7263" s="3" t="inlineStr">
        <is>
          <t>114-2809139-8863449</t>
        </is>
      </c>
      <c r="C7263" s="3" t="inlineStr">
        <is>
          <t>Autodist</t>
        </is>
      </c>
    </row>
    <row collapsed="false" customFormat="false" customHeight="false" hidden="false" ht="12.1" outlineLevel="0" r="7264">
      <c r="A7264" s="3" t="s">
        <f>=HYPERLINK("https://mp39851918.megaplan.ua/deals/130750/card/","22328")</f>
      </c>
      <c r="B7264" s="3" t="inlineStr">
        <is>
          <t>113-1672965-9929804</t>
        </is>
      </c>
      <c r="C7264" s="3" t="inlineStr">
        <is>
          <t>RockyMountain</t>
        </is>
      </c>
    </row>
    <row collapsed="false" customFormat="false" customHeight="false" hidden="false" ht="12.1" outlineLevel="0" r="7265">
      <c r="A7265" s="3" t="s">
        <f>=HYPERLINK("https://mp39851918.megaplan.ua/deals/130755/card/","22329")</f>
      </c>
      <c r="B7265" s="3" t="inlineStr">
        <is>
          <t>114-6853636-5816245</t>
        </is>
      </c>
      <c r="C7265" s="3" t="inlineStr">
        <is>
          <t>TuckerRocky</t>
        </is>
      </c>
    </row>
    <row collapsed="false" customFormat="false" customHeight="false" hidden="false" ht="12.1" outlineLevel="0" r="7266">
      <c r="A7266" s="3" t="s">
        <f>=HYPERLINK("https://mp39851918.megaplan.ua/deals/130768/card/","22330")</f>
      </c>
      <c r="B7266" s="3" t="inlineStr">
        <is>
          <t>114-0248761-3408208</t>
        </is>
      </c>
      <c r="C7266" s="3" t="inlineStr">
        <is>
          <t>PartsUnlimited</t>
        </is>
      </c>
    </row>
    <row collapsed="false" customFormat="false" customHeight="false" hidden="false" ht="12.1" outlineLevel="0" r="7267">
      <c r="A7267" s="3" t="s">
        <f>=HYPERLINK("https://mp39851918.megaplan.ua/deals/130773/card/","22331")</f>
      </c>
      <c r="B7267" s="3" t="inlineStr">
        <is>
          <t>111-5103946-8325828</t>
        </is>
      </c>
      <c r="C7267" s="3" t="inlineStr">
        <is>
          <t>other</t>
        </is>
      </c>
    </row>
    <row collapsed="false" customFormat="false" customHeight="false" hidden="false" ht="12.1" outlineLevel="0" r="7268">
      <c r="A7268" s="3" t="s">
        <f>=HYPERLINK("https://mp39851918.megaplan.ua/deals/130774/card/","22332")</f>
      </c>
      <c r="B7268" s="3" t="inlineStr">
        <is>
          <t>113-3791805-1424241</t>
        </is>
      </c>
      <c r="C7268" s="3" t="inlineStr">
        <is>
          <t>other</t>
        </is>
      </c>
    </row>
    <row collapsed="false" customFormat="false" customHeight="false" hidden="false" ht="12.1" outlineLevel="0" r="7269">
      <c r="A7269" s="3" t="s">
        <f>=HYPERLINK("https://mp39851918.megaplan.ua/deals/130775/card/","22333")</f>
      </c>
      <c r="B7269" s="3" t="inlineStr">
        <is>
          <t>111-4226075-4781012</t>
        </is>
      </c>
      <c r="C7269" s="3" t="inlineStr">
        <is>
          <t>other</t>
        </is>
      </c>
    </row>
    <row collapsed="false" customFormat="false" customHeight="false" hidden="false" ht="12.1" outlineLevel="0" r="7270">
      <c r="A7270" s="3" t="s">
        <f>=HYPERLINK("https://mp39851918.megaplan.ua/deals/130776/card/","22334")</f>
      </c>
      <c r="B7270" s="3" t="inlineStr">
        <is>
          <t>111-6662470-9621033</t>
        </is>
      </c>
      <c r="C7270" s="3" t="inlineStr">
        <is>
          <t>PartsUnlimited</t>
        </is>
      </c>
    </row>
    <row collapsed="false" customFormat="false" customHeight="false" hidden="false" ht="12.1" outlineLevel="0" r="7271">
      <c r="A7271" s="3" t="s">
        <f>=HYPERLINK("https://mp39851918.megaplan.ua/deals/130799/card/","22335")</f>
      </c>
      <c r="B7271" s="3" t="inlineStr">
        <is>
          <t>114-1184404-7530613</t>
        </is>
      </c>
      <c r="C7271" s="3" t="inlineStr">
        <is>
          <t>PartsUnlimited</t>
        </is>
      </c>
    </row>
    <row collapsed="false" customFormat="false" customHeight="false" hidden="false" ht="12.1" outlineLevel="0" r="7272">
      <c r="A7272" s="3" t="s">
        <f>=HYPERLINK("https://mp39851918.megaplan.ua/deals/130801/card/","22336")</f>
      </c>
      <c r="B7272" s="3" t="inlineStr">
        <is>
          <t>113-9533713-8717869</t>
        </is>
      </c>
      <c r="C7272" s="3" t="inlineStr">
        <is>
          <t>PartsUnlimited</t>
        </is>
      </c>
    </row>
    <row collapsed="false" customFormat="false" customHeight="false" hidden="false" ht="12.1" outlineLevel="0" r="7273">
      <c r="A7273" s="3" t="s">
        <f>=HYPERLINK("https://mp39851918.megaplan.ua/deals/130818/card/","22337")</f>
      </c>
      <c r="B7273" s="3" t="inlineStr">
        <is>
          <t>114-2445268-2802631</t>
        </is>
      </c>
      <c r="C7273" s="3" t="inlineStr">
        <is>
          <t>PartsUnlimited</t>
        </is>
      </c>
    </row>
    <row collapsed="false" customFormat="false" customHeight="false" hidden="false" ht="12.1" outlineLevel="0" r="7274">
      <c r="A7274" s="3" t="s">
        <f>=HYPERLINK("https://mp39851918.megaplan.ua/deals/130819/card/","22338")</f>
      </c>
      <c r="B7274" s="3" t="inlineStr">
        <is>
          <t>111-7137307-9253834</t>
        </is>
      </c>
      <c r="C7274" s="3" t="inlineStr">
        <is>
          <t>Autodist</t>
        </is>
      </c>
    </row>
    <row collapsed="false" customFormat="false" customHeight="false" hidden="false" ht="12.1" outlineLevel="0" r="7275">
      <c r="A7275" s="3" t="s">
        <f>=HYPERLINK("https://mp39851918.megaplan.ua/deals/130825/card/","22339")</f>
      </c>
      <c r="B7275" s="3" t="inlineStr">
        <is>
          <t>111-7174343-1240218</t>
        </is>
      </c>
      <c r="C7275" s="3" t="inlineStr">
        <is>
          <t>PartsUnlimited</t>
        </is>
      </c>
    </row>
    <row collapsed="false" customFormat="false" customHeight="false" hidden="false" ht="12.1" outlineLevel="0" r="7276">
      <c r="A7276" s="3" t="s">
        <f>=HYPERLINK("https://mp39851918.megaplan.ua/deals/130826/card/","22340")</f>
      </c>
      <c r="B7276" s="3" t="inlineStr">
        <is>
          <t>114-6137724-9548237</t>
        </is>
      </c>
      <c r="C7276" s="3" t="inlineStr">
        <is>
          <t>Autodist</t>
        </is>
      </c>
    </row>
    <row collapsed="false" customFormat="false" customHeight="false" hidden="false" ht="12.1" outlineLevel="0" r="7277">
      <c r="A7277" s="3" t="s">
        <f>=HYPERLINK("https://mp39851918.megaplan.ua/deals/130833/card/","22341")</f>
      </c>
      <c r="B7277" s="3" t="inlineStr">
        <is>
          <t>111-2302926-1899466</t>
        </is>
      </c>
      <c r="C7277" s="3" t="inlineStr">
        <is>
          <t>TuckerRocky</t>
        </is>
      </c>
    </row>
    <row collapsed="false" customFormat="false" customHeight="false" hidden="false" ht="12.1" outlineLevel="0" r="7278">
      <c r="A7278" s="3" t="s">
        <f>=HYPERLINK("https://mp39851918.megaplan.ua/deals/130835/card/","22342")</f>
      </c>
      <c r="B7278" s="3" t="inlineStr">
        <is>
          <t>111-8105022-4336204</t>
        </is>
      </c>
      <c r="C7278" s="3" t="inlineStr">
        <is>
          <t>PartsUnlimited</t>
        </is>
      </c>
    </row>
    <row collapsed="false" customFormat="false" customHeight="false" hidden="false" ht="12.1" outlineLevel="0" r="7279">
      <c r="A7279" s="3" t="s">
        <f>=HYPERLINK("https://mp39851918.megaplan.ua/deals/130844/card/","22343")</f>
      </c>
      <c r="B7279" s="3" t="inlineStr">
        <is>
          <t>112-0973201-5725863</t>
        </is>
      </c>
      <c r="C7279" s="3" t="inlineStr">
        <is>
          <t>PartsUnlimited</t>
        </is>
      </c>
    </row>
    <row collapsed="false" customFormat="false" customHeight="false" hidden="false" ht="12.1" outlineLevel="0" r="7280">
      <c r="A7280" s="3" t="s">
        <f>=HYPERLINK("https://mp39851918.megaplan.ua/deals/130845/card/","22344")</f>
      </c>
      <c r="B7280" s="3" t="inlineStr">
        <is>
          <t>111-4198973-4263461</t>
        </is>
      </c>
      <c r="C7280" s="3" t="inlineStr">
        <is>
          <t>Autodist</t>
        </is>
      </c>
    </row>
    <row collapsed="false" customFormat="false" customHeight="false" hidden="false" ht="12.1" outlineLevel="0" r="7281">
      <c r="A7281" s="3" t="s">
        <f>=HYPERLINK("https://mp39851918.megaplan.ua/deals/130846/card/","22345")</f>
      </c>
      <c r="B7281" s="3" t="inlineStr">
        <is>
          <t>113-4285970-2529825</t>
        </is>
      </c>
      <c r="C7281" s="3" t="inlineStr">
        <is>
          <t>PartsUnlimited</t>
        </is>
      </c>
    </row>
    <row collapsed="false" customFormat="false" customHeight="false" hidden="false" ht="12.1" outlineLevel="0" r="7282">
      <c r="A7282" s="3" t="s">
        <f>=HYPERLINK("https://mp39851918.megaplan.ua/deals/130847/card/","22346")</f>
      </c>
      <c r="B7282" s="3" t="inlineStr">
        <is>
          <t>114-7364413-6345847</t>
        </is>
      </c>
      <c r="C7282" s="3" t="inlineStr">
        <is>
          <t>PartsUnlimited</t>
        </is>
      </c>
    </row>
    <row collapsed="false" customFormat="false" customHeight="false" hidden="false" ht="12.1" outlineLevel="0" r="7283">
      <c r="A7283" s="3" t="s">
        <f>=HYPERLINK("https://mp39851918.megaplan.ua/deals/130848/card/","22347")</f>
      </c>
      <c r="B7283" s="3" t="inlineStr">
        <is>
          <t>113-8658863-9352231</t>
        </is>
      </c>
      <c r="C7283" s="3" t="inlineStr">
        <is>
          <t>Autodist</t>
        </is>
      </c>
    </row>
    <row collapsed="false" customFormat="false" customHeight="false" hidden="false" ht="12.1" outlineLevel="0" r="7284">
      <c r="A7284" s="3" t="s">
        <f>=HYPERLINK("https://mp39851918.megaplan.ua/deals/130859/card/","22348")</f>
      </c>
      <c r="B7284" s="3" t="inlineStr">
        <is>
          <t>114-6641033-4289037</t>
        </is>
      </c>
      <c r="C7284" s="3" t="inlineStr">
        <is>
          <t>RockyMountain</t>
        </is>
      </c>
    </row>
    <row collapsed="false" customFormat="false" customHeight="false" hidden="false" ht="12.1" outlineLevel="0" r="7285">
      <c r="A7285" s="3" t="s">
        <f>=HYPERLINK("https://mp39851918.megaplan.ua/deals/130865/card/","22349")</f>
      </c>
      <c r="B7285" s="3" t="inlineStr">
        <is>
          <t>114-4642212-8847426</t>
        </is>
      </c>
      <c r="C7285" s="3" t="inlineStr">
        <is>
          <t>TuckerRocky</t>
        </is>
      </c>
    </row>
    <row collapsed="false" customFormat="false" customHeight="false" hidden="false" ht="12.1" outlineLevel="0" r="7286">
      <c r="A7286" s="3" t="s">
        <f>=HYPERLINK("https://mp39851918.megaplan.ua/deals/130866/card/","22350")</f>
      </c>
      <c r="B7286" s="3" t="inlineStr">
        <is>
          <t>113-6707153-1265040</t>
        </is>
      </c>
      <c r="C7286" s="3" t="inlineStr">
        <is>
          <t>RockyMountain</t>
        </is>
      </c>
    </row>
    <row collapsed="false" customFormat="false" customHeight="false" hidden="false" ht="12.1" outlineLevel="0" r="7287">
      <c r="A7287" s="3" t="s">
        <f>=HYPERLINK("https://mp39851918.megaplan.ua/deals/130867/card/","22351")</f>
      </c>
      <c r="B7287" s="3" t="inlineStr">
        <is>
          <t>114-1628062-3173822</t>
        </is>
      </c>
      <c r="C7287" s="3" t="inlineStr">
        <is>
          <t>RockyMountain</t>
        </is>
      </c>
    </row>
    <row collapsed="false" customFormat="false" customHeight="false" hidden="false" ht="12.1" outlineLevel="0" r="7288">
      <c r="A7288" s="3" t="s">
        <f>=HYPERLINK("https://mp39851918.megaplan.ua/deals/130868/card/","22352")</f>
      </c>
      <c r="B7288" s="3" t="inlineStr">
        <is>
          <t>113-3760115-8154647</t>
        </is>
      </c>
      <c r="C7288" s="3" t="inlineStr">
        <is>
          <t>Autodist</t>
        </is>
      </c>
    </row>
    <row collapsed="false" customFormat="false" customHeight="false" hidden="false" ht="12.1" outlineLevel="0" r="7289">
      <c r="A7289" s="3" t="s">
        <f>=HYPERLINK("https://mp39851918.megaplan.ua/deals/130873/card/","22353")</f>
      </c>
      <c r="B7289" s="3" t="inlineStr">
        <is>
          <t>113-3438816-7172221</t>
        </is>
      </c>
      <c r="C7289" s="3" t="inlineStr">
        <is>
          <t>TuckerRocky</t>
        </is>
      </c>
    </row>
    <row collapsed="false" customFormat="false" customHeight="false" hidden="false" ht="12.1" outlineLevel="0" r="7290">
      <c r="A7290" s="3" t="s">
        <f>=HYPERLINK("https://mp39851918.megaplan.ua/deals/130877/card/","22354")</f>
      </c>
      <c r="B7290" s="3" t="inlineStr">
        <is>
          <t>111-9132336-3965051</t>
        </is>
      </c>
      <c r="C7290" s="3" t="inlineStr">
        <is>
          <t>RockyMountain</t>
        </is>
      </c>
    </row>
    <row collapsed="false" customFormat="false" customHeight="false" hidden="false" ht="12.1" outlineLevel="0" r="7291">
      <c r="A7291" s="3" t="s">
        <f>=HYPERLINK("https://mp39851918.megaplan.ua/deals/130897/card/","22355")</f>
      </c>
      <c r="B7291" s="3" t="inlineStr">
        <is>
          <t>113-5792983-8678625</t>
        </is>
      </c>
      <c r="C7291" s="3" t="inlineStr">
        <is>
          <t>TuckerRocky</t>
        </is>
      </c>
    </row>
    <row collapsed="false" customFormat="false" customHeight="false" hidden="false" ht="12.1" outlineLevel="0" r="7292">
      <c r="A7292" s="3" t="s">
        <f>=HYPERLINK("https://mp39851918.megaplan.ua/deals/130898/card/","22356")</f>
      </c>
      <c r="B7292" s="3" t="inlineStr">
        <is>
          <t>113-2481732-5095436</t>
        </is>
      </c>
      <c r="C7292" s="3" t="inlineStr">
        <is>
          <t>RockyMountain</t>
        </is>
      </c>
    </row>
    <row collapsed="false" customFormat="false" customHeight="false" hidden="false" ht="12.1" outlineLevel="0" r="7293">
      <c r="A7293" s="3" t="s">
        <f>=HYPERLINK("https://mp39851918.megaplan.ua/deals/130903/card/","22357")</f>
      </c>
      <c r="B7293" s="3" t="inlineStr">
        <is>
          <t>114-0771195-6507460</t>
        </is>
      </c>
      <c r="C7293" s="3" t="inlineStr">
        <is>
          <t>Autodist</t>
        </is>
      </c>
    </row>
    <row collapsed="false" customFormat="false" customHeight="false" hidden="false" ht="12.1" outlineLevel="0" r="7294">
      <c r="A7294" s="3" t="s">
        <f>=HYPERLINK("https://mp39851918.megaplan.ua/deals/130904/card/","22358")</f>
      </c>
      <c r="B7294" s="3" t="inlineStr">
        <is>
          <t>112-3184384-4481804</t>
        </is>
      </c>
      <c r="C7294" s="3" t="inlineStr">
        <is>
          <t>TuckerRocky</t>
        </is>
      </c>
    </row>
    <row collapsed="false" customFormat="false" customHeight="false" hidden="false" ht="12.1" outlineLevel="0" r="7295">
      <c r="A7295" s="3" t="s">
        <f>=HYPERLINK("https://mp39851918.megaplan.ua/deals/130910/card/","22360")</f>
      </c>
      <c r="B7295" s="3" t="inlineStr">
        <is>
          <t>113-9771643-7851451</t>
        </is>
      </c>
      <c r="C7295" s="3" t="inlineStr">
        <is>
          <t>RockyMountain</t>
        </is>
      </c>
    </row>
    <row collapsed="false" customFormat="false" customHeight="false" hidden="false" ht="12.1" outlineLevel="0" r="7296">
      <c r="A7296" s="3" t="s">
        <f>=HYPERLINK("https://mp39851918.megaplan.ua/deals/130921/card/","22361")</f>
      </c>
      <c r="B7296" s="3" t="inlineStr">
        <is>
          <t>111-8350785-2729000</t>
        </is>
      </c>
      <c r="C7296" s="3" t="inlineStr">
        <is>
          <t>TuckerRocky</t>
        </is>
      </c>
    </row>
    <row collapsed="false" customFormat="false" customHeight="false" hidden="false" ht="12.1" outlineLevel="0" r="7297">
      <c r="A7297" s="3" t="s">
        <f>=HYPERLINK("https://mp39851918.megaplan.ua/deals/130922/card/","22362")</f>
      </c>
      <c r="B7297" s="3" t="inlineStr">
        <is>
          <t>114-6835153-6965027</t>
        </is>
      </c>
      <c r="C7297" s="3" t="inlineStr">
        <is>
          <t>Autodist</t>
        </is>
      </c>
    </row>
    <row collapsed="false" customFormat="false" customHeight="false" hidden="false" ht="12.1" outlineLevel="0" r="7298">
      <c r="A7298" s="3" t="s">
        <f>=HYPERLINK("https://mp39851918.megaplan.ua/deals/130924/card/","22363")</f>
      </c>
      <c r="B7298" s="3" t="inlineStr">
        <is>
          <t>111-1893029-1885808</t>
        </is>
      </c>
      <c r="C7298" s="3" t="inlineStr">
        <is>
          <t>Autodist</t>
        </is>
      </c>
    </row>
    <row collapsed="false" customFormat="false" customHeight="false" hidden="false" ht="12.1" outlineLevel="0" r="7299">
      <c r="A7299" s="3" t="s">
        <f>=HYPERLINK("https://mp39851918.megaplan.ua/deals/130926/card/","22364")</f>
      </c>
      <c r="B7299" s="3" t="inlineStr">
        <is>
          <t>112-8062782-0120246</t>
        </is>
      </c>
      <c r="C7299" s="3" t="inlineStr">
        <is>
          <t>PartsUnlimited</t>
        </is>
      </c>
    </row>
    <row collapsed="false" customFormat="false" customHeight="false" hidden="false" ht="12.1" outlineLevel="0" r="7300">
      <c r="A7300" s="3" t="s">
        <f>=HYPERLINK("https://mp39851918.megaplan.ua/deals/130933/card/","22365")</f>
      </c>
      <c r="B7300" s="3" t="inlineStr">
        <is>
          <t>114-6408161-6051407</t>
        </is>
      </c>
      <c r="C7300" s="3" t="inlineStr">
        <is>
          <t>PartsUnlimited</t>
        </is>
      </c>
    </row>
    <row collapsed="false" customFormat="false" customHeight="false" hidden="false" ht="12.1" outlineLevel="0" r="7301">
      <c r="A7301" s="3" t="s">
        <f>=HYPERLINK("https://mp39851918.megaplan.ua/deals/130935/card/","22366")</f>
      </c>
      <c r="B7301" s="3" t="inlineStr">
        <is>
          <t>113-6016935-7201034</t>
        </is>
      </c>
      <c r="C7301" s="3" t="inlineStr">
        <is>
          <t>Autodist</t>
        </is>
      </c>
    </row>
    <row collapsed="false" customFormat="false" customHeight="false" hidden="false" ht="12.1" outlineLevel="0" r="7302">
      <c r="A7302" s="3" t="s">
        <f>=HYPERLINK("https://mp39851918.megaplan.ua/deals/130943/card/","22367")</f>
      </c>
      <c r="B7302" s="3" t="inlineStr">
        <is>
          <t>113-2853073-4490628</t>
        </is>
      </c>
      <c r="C7302" s="3" t="inlineStr">
        <is>
          <t>Autodist</t>
        </is>
      </c>
    </row>
    <row collapsed="false" customFormat="false" customHeight="false" hidden="false" ht="12.1" outlineLevel="0" r="7303">
      <c r="A7303" s="3" t="s">
        <f>=HYPERLINK("https://mp39851918.megaplan.ua/deals/130945/card/","22368")</f>
      </c>
      <c r="B7303" s="3" t="inlineStr">
        <is>
          <t>113-9671695-4628260</t>
        </is>
      </c>
      <c r="C7303" s="3" t="inlineStr">
        <is>
          <t>Autodist</t>
        </is>
      </c>
    </row>
    <row collapsed="false" customFormat="false" customHeight="false" hidden="false" ht="12.1" outlineLevel="0" r="7304">
      <c r="A7304" s="3" t="s">
        <f>=HYPERLINK("https://mp39851918.megaplan.ua/deals/130960/card/","22369")</f>
      </c>
      <c r="B7304" s="3" t="inlineStr">
        <is>
          <t>111-0830351-2891428</t>
        </is>
      </c>
      <c r="C7304" s="3" t="inlineStr">
        <is>
          <t>RockyMountain</t>
        </is>
      </c>
    </row>
    <row collapsed="false" customFormat="false" customHeight="false" hidden="false" ht="12.1" outlineLevel="0" r="7305">
      <c r="A7305" s="3" t="s">
        <f>=HYPERLINK("https://mp39851918.megaplan.ua/deals/130967/card/","22370")</f>
      </c>
      <c r="B7305" s="3" t="inlineStr">
        <is>
          <t>111-8171068-9592249</t>
        </is>
      </c>
      <c r="C7305" s="3" t="inlineStr">
        <is>
          <t>PartsUnlimited</t>
        </is>
      </c>
    </row>
    <row collapsed="false" customFormat="false" customHeight="false" hidden="false" ht="12.1" outlineLevel="0" r="7306">
      <c r="A7306" s="3" t="s">
        <f>=HYPERLINK("https://mp39851918.megaplan.ua/deals/130968/card/","22371")</f>
      </c>
      <c r="B7306" s="3" t="inlineStr">
        <is>
          <t>112-3189820-9712211</t>
        </is>
      </c>
      <c r="C7306" s="3" t="inlineStr">
        <is>
          <t>TuckerRocky</t>
        </is>
      </c>
    </row>
    <row collapsed="false" customFormat="false" customHeight="false" hidden="false" ht="12.1" outlineLevel="0" r="7307">
      <c r="A7307" s="3" t="s">
        <f>=HYPERLINK("https://mp39851918.megaplan.ua/deals/130973/card/","22372")</f>
      </c>
      <c r="B7307" s="3" t="inlineStr">
        <is>
          <t>111-0192697-8940230</t>
        </is>
      </c>
      <c r="C7307" s="3" t="inlineStr">
        <is>
          <t>PartsUnlimited</t>
        </is>
      </c>
    </row>
    <row collapsed="false" customFormat="false" customHeight="false" hidden="false" ht="12.1" outlineLevel="0" r="7308">
      <c r="A7308" s="3" t="s">
        <f>=HYPERLINK("https://mp39851918.megaplan.ua/deals/130975/card/","22373")</f>
      </c>
      <c r="B7308" s="3" t="inlineStr">
        <is>
          <t>112-0519100-0222643</t>
        </is>
      </c>
      <c r="C7308" s="3" t="inlineStr">
        <is>
          <t>RockyMountain</t>
        </is>
      </c>
    </row>
    <row collapsed="false" customFormat="false" customHeight="false" hidden="false" ht="12.1" outlineLevel="0" r="7309">
      <c r="A7309" s="3" t="s">
        <f>=HYPERLINK("https://mp39851918.megaplan.ua/deals/130982/card/","22374")</f>
      </c>
      <c r="B7309" s="3" t="inlineStr">
        <is>
          <t>113-1769400-5552243</t>
        </is>
      </c>
      <c r="C7309" s="3" t="inlineStr">
        <is>
          <t>Autodist</t>
        </is>
      </c>
    </row>
    <row collapsed="false" customFormat="false" customHeight="false" hidden="false" ht="12.1" outlineLevel="0" r="7310">
      <c r="A7310" s="3" t="s">
        <f>=HYPERLINK("https://mp39851918.megaplan.ua/deals/131002/card/","22376")</f>
      </c>
      <c r="B7310" s="3" t="inlineStr">
        <is>
          <t>114-4679640-2509035</t>
        </is>
      </c>
      <c r="C7310" s="3" t="inlineStr">
        <is>
          <t>RockyMountain</t>
        </is>
      </c>
    </row>
    <row collapsed="false" customFormat="false" customHeight="false" hidden="false" ht="12.1" outlineLevel="0" r="7311">
      <c r="A7311" s="3" t="s">
        <f>=HYPERLINK("https://mp39851918.megaplan.ua/deals/131003/card/","22377")</f>
      </c>
      <c r="B7311" s="3" t="inlineStr">
        <is>
          <t>114-3683330-9957831</t>
        </is>
      </c>
      <c r="C7311" s="3" t="inlineStr">
        <is>
          <t>Autodist</t>
        </is>
      </c>
    </row>
    <row collapsed="false" customFormat="false" customHeight="false" hidden="false" ht="12.1" outlineLevel="0" r="7312">
      <c r="A7312" s="3" t="s">
        <f>=HYPERLINK("https://mp39851918.megaplan.ua/deals/131005/card/","22378")</f>
      </c>
      <c r="B7312" s="3" t="inlineStr">
        <is>
          <t>111-5128961-5991447</t>
        </is>
      </c>
      <c r="C7312" s="3" t="inlineStr">
        <is>
          <t>Autodist</t>
        </is>
      </c>
    </row>
    <row collapsed="false" customFormat="false" customHeight="false" hidden="false" ht="12.1" outlineLevel="0" r="7313">
      <c r="A7313" s="3" t="s">
        <f>=HYPERLINK("https://mp39851918.megaplan.ua/deals/131016/card/","22379")</f>
      </c>
      <c r="B7313" s="3" t="inlineStr">
        <is>
          <t>112-0385699-2257815</t>
        </is>
      </c>
      <c r="C7313" s="3" t="inlineStr">
        <is>
          <t>TuckerRocky</t>
        </is>
      </c>
    </row>
    <row collapsed="false" customFormat="false" customHeight="false" hidden="false" ht="12.1" outlineLevel="0" r="7314">
      <c r="A7314" s="3" t="s">
        <f>=HYPERLINK("https://mp39851918.megaplan.ua/deals/131029/card/","22380")</f>
      </c>
      <c r="B7314" s="3" t="inlineStr">
        <is>
          <t>111-4194816-9976223</t>
        </is>
      </c>
      <c r="C7314" s="3" t="inlineStr">
        <is>
          <t>PartsUnlimited</t>
        </is>
      </c>
    </row>
    <row collapsed="false" customFormat="false" customHeight="false" hidden="false" ht="12.1" outlineLevel="0" r="7315">
      <c r="A7315" s="3" t="s">
        <f>=HYPERLINK("https://mp39851918.megaplan.ua/deals/131033/card/","22381")</f>
      </c>
      <c r="B7315" s="3" t="inlineStr">
        <is>
          <t>111-4331834-0452265</t>
        </is>
      </c>
      <c r="C7315" s="3" t="inlineStr">
        <is>
          <t>RockyMountain</t>
        </is>
      </c>
    </row>
    <row collapsed="false" customFormat="false" customHeight="false" hidden="false" ht="12.1" outlineLevel="0" r="7316">
      <c r="A7316" s="3" t="s">
        <f>=HYPERLINK("https://mp39851918.megaplan.ua/deals/131038/card/","22382")</f>
      </c>
      <c r="B7316" s="3" t="inlineStr">
        <is>
          <t>112-7590711-9181805</t>
        </is>
      </c>
      <c r="C7316" s="3" t="inlineStr">
        <is>
          <t>Autodist</t>
        </is>
      </c>
    </row>
    <row collapsed="false" customFormat="false" customHeight="false" hidden="false" ht="12.1" outlineLevel="0" r="7317">
      <c r="A7317" s="3" t="s">
        <f>=HYPERLINK("https://mp39851918.megaplan.ua/deals/131041/card/","22383")</f>
      </c>
      <c r="B7317" s="3" t="inlineStr">
        <is>
          <t>114-1097502-1890644</t>
        </is>
      </c>
      <c r="C7317" s="3" t="inlineStr">
        <is>
          <t>RockyMountain</t>
        </is>
      </c>
    </row>
    <row collapsed="false" customFormat="false" customHeight="false" hidden="false" ht="12.1" outlineLevel="0" r="7318">
      <c r="A7318" s="3" t="s">
        <f>=HYPERLINK("https://mp39851918.megaplan.ua/deals/131045/card/","22384")</f>
      </c>
      <c r="B7318" s="3" t="inlineStr">
        <is>
          <t>112-8456058-8240234</t>
        </is>
      </c>
      <c r="C7318" s="3" t="inlineStr">
        <is>
          <t>TuckerRocky</t>
        </is>
      </c>
    </row>
    <row collapsed="false" customFormat="false" customHeight="false" hidden="false" ht="12.1" outlineLevel="0" r="7319">
      <c r="A7319" s="3" t="s">
        <f>=HYPERLINK("https://mp39851918.megaplan.ua/deals/131047/card/","22385")</f>
      </c>
      <c r="B7319" s="3" t="inlineStr">
        <is>
          <t>113-5902891-4830610</t>
        </is>
      </c>
      <c r="C7319" s="3" t="inlineStr">
        <is>
          <t>RockyMountain</t>
        </is>
      </c>
    </row>
    <row collapsed="false" customFormat="false" customHeight="false" hidden="false" ht="12.1" outlineLevel="0" r="7320">
      <c r="A7320" s="3" t="s">
        <f>=HYPERLINK("https://mp39851918.megaplan.ua/deals/131059/card/","22386")</f>
      </c>
      <c r="B7320" s="3" t="inlineStr">
        <is>
          <t>112-2451150-6530663</t>
        </is>
      </c>
      <c r="C7320" s="3" t="inlineStr">
        <is>
          <t>PartsUnlimited</t>
        </is>
      </c>
    </row>
    <row collapsed="false" customFormat="false" customHeight="false" hidden="false" ht="12.1" outlineLevel="0" r="7321">
      <c r="A7321" s="3" t="s">
        <f>=HYPERLINK("https://mp39851918.megaplan.ua/deals/131065/card/","22387")</f>
      </c>
      <c r="B7321" s="3" t="inlineStr">
        <is>
          <t>111-1388779-4927424</t>
        </is>
      </c>
      <c r="C7321" s="3" t="inlineStr">
        <is>
          <t>Autodist</t>
        </is>
      </c>
    </row>
    <row collapsed="false" customFormat="false" customHeight="false" hidden="false" ht="12.1" outlineLevel="0" r="7322">
      <c r="A7322" s="3" t="s">
        <f>=HYPERLINK("https://mp39851918.megaplan.ua/deals/131069/card/","22388")</f>
      </c>
      <c r="B7322" s="3" t="inlineStr">
        <is>
          <t>112-1593528-0054609</t>
        </is>
      </c>
      <c r="C7322" s="3" t="inlineStr">
        <is>
          <t>Autodist</t>
        </is>
      </c>
    </row>
    <row collapsed="false" customFormat="false" customHeight="false" hidden="false" ht="12.1" outlineLevel="0" r="7323">
      <c r="A7323" s="3" t="s">
        <f>=HYPERLINK("https://mp39851918.megaplan.ua/deals/131073/card/","22389")</f>
      </c>
      <c r="B7323" s="3" t="inlineStr">
        <is>
          <t>112-7703664-9103425</t>
        </is>
      </c>
      <c r="C7323" s="3" t="inlineStr">
        <is>
          <t>PartsUnlimited</t>
        </is>
      </c>
    </row>
    <row collapsed="false" customFormat="false" customHeight="false" hidden="false" ht="12.1" outlineLevel="0" r="7324">
      <c r="A7324" s="3" t="s">
        <f>=HYPERLINK("https://mp39851918.megaplan.ua/deals/131075/card/","22390")</f>
      </c>
      <c r="B7324" s="3" t="inlineStr">
        <is>
          <t>111-4787806-8382650</t>
        </is>
      </c>
      <c r="C7324" s="3" t="inlineStr">
        <is>
          <t>RockyMountain</t>
        </is>
      </c>
    </row>
    <row collapsed="false" customFormat="false" customHeight="false" hidden="false" ht="12.1" outlineLevel="0" r="7325">
      <c r="A7325" s="3" t="s">
        <f>=HYPERLINK("https://mp39851918.megaplan.ua/deals/131080/card/","22391")</f>
      </c>
      <c r="B7325" s="3" t="inlineStr">
        <is>
          <t>114-9671708-5861007</t>
        </is>
      </c>
      <c r="C7325" s="3" t="inlineStr">
        <is>
          <t>TuckerRocky</t>
        </is>
      </c>
    </row>
    <row collapsed="false" customFormat="false" customHeight="false" hidden="false" ht="12.1" outlineLevel="0" r="7326">
      <c r="A7326" s="3" t="s">
        <f>=HYPERLINK("https://mp39851918.megaplan.ua/deals/131081/card/","22392")</f>
      </c>
      <c r="B7326" s="3" t="inlineStr">
        <is>
          <t>114-8765842-4937030</t>
        </is>
      </c>
      <c r="C7326" s="3" t="inlineStr">
        <is>
          <t>PartsUnlimited</t>
        </is>
      </c>
    </row>
    <row collapsed="false" customFormat="false" customHeight="false" hidden="false" ht="12.1" outlineLevel="0" r="7327">
      <c r="A7327" s="3" t="s">
        <f>=HYPERLINK("https://mp39851918.megaplan.ua/deals/131083/card/","22393")</f>
      </c>
      <c r="B7327" s="3" t="inlineStr">
        <is>
          <t>114-5607416-4896201</t>
        </is>
      </c>
      <c r="C7327" s="3" t="inlineStr">
        <is>
          <t>RockyMountain</t>
        </is>
      </c>
    </row>
    <row collapsed="false" customFormat="false" customHeight="false" hidden="false" ht="12.1" outlineLevel="0" r="7328">
      <c r="A7328" s="3" t="s">
        <f>=HYPERLINK("https://mp39851918.megaplan.ua/deals/131089/card/","22394")</f>
      </c>
      <c r="B7328" s="3" t="inlineStr">
        <is>
          <t>111-2723813-4235437</t>
        </is>
      </c>
      <c r="C7328" s="3" t="inlineStr">
        <is>
          <t>PartsUnlimited</t>
        </is>
      </c>
    </row>
    <row collapsed="false" customFormat="false" customHeight="false" hidden="false" ht="12.1" outlineLevel="0" r="7329">
      <c r="A7329" s="3" t="s">
        <f>=HYPERLINK("https://mp39851918.megaplan.ua/deals/131090/card/","22395")</f>
      </c>
      <c r="B7329" s="3" t="inlineStr">
        <is>
          <t>114-4068737-5296223</t>
        </is>
      </c>
      <c r="C7329" s="3" t="inlineStr">
        <is>
          <t>Autodist</t>
        </is>
      </c>
    </row>
    <row collapsed="false" customFormat="false" customHeight="false" hidden="false" ht="12.1" outlineLevel="0" r="7330">
      <c r="A7330" s="3" t="s">
        <f>=HYPERLINK("https://mp39851918.megaplan.ua/deals/131102/card/","22396")</f>
      </c>
      <c r="B7330" s="3" t="inlineStr">
        <is>
          <t>113-3804696-5520238</t>
        </is>
      </c>
      <c r="C7330" s="3" t="inlineStr">
        <is>
          <t>Autodist</t>
        </is>
      </c>
    </row>
    <row collapsed="false" customFormat="false" customHeight="false" hidden="false" ht="12.1" outlineLevel="0" r="7331">
      <c r="A7331" s="3" t="s">
        <f>=HYPERLINK("https://mp39851918.megaplan.ua/deals/131125/card/","22400")</f>
      </c>
      <c r="B7331" s="3" t="inlineStr">
        <is>
          <t>111-5915917-8458658</t>
        </is>
      </c>
      <c r="C7331" s="3" t="inlineStr">
        <is>
          <t>TuckerRocky</t>
        </is>
      </c>
    </row>
    <row collapsed="false" customFormat="false" customHeight="false" hidden="false" ht="12.1" outlineLevel="0" r="7332">
      <c r="A7332" s="3" t="s">
        <f>=HYPERLINK("https://mp39851918.megaplan.ua/deals/131142/card/","22401")</f>
      </c>
      <c r="B7332" s="3" t="inlineStr">
        <is>
          <t>112-7437392-8794603</t>
        </is>
      </c>
      <c r="C7332" s="3" t="inlineStr">
        <is>
          <t>PartsUnlimited</t>
        </is>
      </c>
    </row>
    <row collapsed="false" customFormat="false" customHeight="false" hidden="false" ht="12.1" outlineLevel="0" r="7333">
      <c r="A7333" s="3" t="s">
        <f>=HYPERLINK("https://mp39851918.megaplan.ua/deals/131154/card/","22402")</f>
      </c>
      <c r="B7333" s="3" t="inlineStr">
        <is>
          <t>112-4898032-0101004</t>
        </is>
      </c>
      <c r="C7333" s="3" t="inlineStr">
        <is>
          <t>PartsUnlimited</t>
        </is>
      </c>
    </row>
    <row collapsed="false" customFormat="false" customHeight="false" hidden="false" ht="12.1" outlineLevel="0" r="7334">
      <c r="A7334" s="3" t="s">
        <f>=HYPERLINK("https://mp39851918.megaplan.ua/deals/131155/card/","22403")</f>
      </c>
      <c r="B7334" s="3" t="inlineStr">
        <is>
          <t>113-4474862-8634659</t>
        </is>
      </c>
      <c r="C7334" s="3" t="inlineStr">
        <is>
          <t>RockyMountain</t>
        </is>
      </c>
    </row>
    <row collapsed="false" customFormat="false" customHeight="false" hidden="false" ht="12.1" outlineLevel="0" r="7335">
      <c r="A7335" s="3" t="s">
        <f>=HYPERLINK("https://mp39851918.megaplan.ua/deals/131161/card/","22404")</f>
      </c>
      <c r="B7335" s="3" t="inlineStr">
        <is>
          <t>113-6583786-0453022</t>
        </is>
      </c>
      <c r="C7335" s="3" t="inlineStr">
        <is>
          <t>Autodist</t>
        </is>
      </c>
    </row>
    <row collapsed="false" customFormat="false" customHeight="false" hidden="false" ht="12.1" outlineLevel="0" r="7336">
      <c r="A7336" s="3" t="s">
        <f>=HYPERLINK("https://mp39851918.megaplan.ua/deals/131168/card/","22406")</f>
      </c>
      <c r="B7336" s="3" t="inlineStr">
        <is>
          <t>112-5825771-3846668</t>
        </is>
      </c>
      <c r="C7336" s="3" t="inlineStr">
        <is>
          <t>TuckerRocky</t>
        </is>
      </c>
    </row>
    <row collapsed="false" customFormat="false" customHeight="false" hidden="false" ht="12.1" outlineLevel="0" r="7337">
      <c r="A7337" s="3" t="s">
        <f>=HYPERLINK("https://mp39851918.megaplan.ua/deals/131176/card/","22407")</f>
      </c>
      <c r="B7337" s="3" t="inlineStr">
        <is>
          <t>113-3298755-9234629</t>
        </is>
      </c>
      <c r="C7337" s="3" t="inlineStr">
        <is>
          <t>PartsUnlimited</t>
        </is>
      </c>
    </row>
    <row collapsed="false" customFormat="false" customHeight="false" hidden="false" ht="12.1" outlineLevel="0" r="7338">
      <c r="A7338" s="3" t="s">
        <f>=HYPERLINK("https://mp39851918.megaplan.ua/deals/131186/card/","22408")</f>
      </c>
      <c r="B7338" s="3" t="inlineStr">
        <is>
          <t>114-3037287-0589034</t>
        </is>
      </c>
      <c r="C7338" s="3" t="inlineStr">
        <is>
          <t>PartsUnlimited</t>
        </is>
      </c>
    </row>
    <row collapsed="false" customFormat="false" customHeight="false" hidden="false" ht="12.1" outlineLevel="0" r="7339">
      <c r="A7339" s="3" t="s">
        <f>=HYPERLINK("https://mp39851918.megaplan.ua/deals/131194/card/","22409")</f>
      </c>
      <c r="B7339" s="3" t="inlineStr">
        <is>
          <t>112-4722869-9557804</t>
        </is>
      </c>
      <c r="C7339" s="3" t="inlineStr">
        <is>
          <t>PartsUnlimited</t>
        </is>
      </c>
    </row>
    <row collapsed="false" customFormat="false" customHeight="false" hidden="false" ht="12.1" outlineLevel="0" r="7340">
      <c r="A7340" s="3" t="s">
        <f>=HYPERLINK("https://mp39851918.megaplan.ua/deals/131204/card/","22410")</f>
      </c>
      <c r="B7340" s="3" t="inlineStr">
        <is>
          <t>114-5910590-8266620</t>
        </is>
      </c>
      <c r="C7340" s="3" t="inlineStr">
        <is>
          <t>RockyMountain</t>
        </is>
      </c>
    </row>
    <row collapsed="false" customFormat="false" customHeight="false" hidden="false" ht="12.1" outlineLevel="0" r="7341">
      <c r="A7341" s="3" t="s">
        <f>=HYPERLINK("https://mp39851918.megaplan.ua/deals/131209/card/","22411")</f>
      </c>
      <c r="B7341" s="3" t="inlineStr">
        <is>
          <t>111-6933604-0607407</t>
        </is>
      </c>
      <c r="C7341" s="3" t="inlineStr">
        <is>
          <t>RockyMountain</t>
        </is>
      </c>
    </row>
    <row collapsed="false" customFormat="false" customHeight="false" hidden="false" ht="12.1" outlineLevel="0" r="7342">
      <c r="A7342" s="3" t="s">
        <f>=HYPERLINK("https://mp39851918.megaplan.ua/deals/131210/card/","22412")</f>
      </c>
      <c r="B7342" s="3" t="inlineStr">
        <is>
          <t>112-2033532-8426609</t>
        </is>
      </c>
      <c r="C7342" s="3" t="inlineStr">
        <is>
          <t>TuckerRocky</t>
        </is>
      </c>
    </row>
    <row collapsed="false" customFormat="false" customHeight="false" hidden="false" ht="12.1" outlineLevel="0" r="7343">
      <c r="A7343" s="3" t="s">
        <f>=HYPERLINK("https://mp39851918.megaplan.ua/deals/131211/card/","22413")</f>
      </c>
      <c r="B7343" s="3" t="inlineStr">
        <is>
          <t>113-5098794-3873004</t>
        </is>
      </c>
      <c r="C7343" s="3" t="inlineStr">
        <is>
          <t>PartsUnlimited</t>
        </is>
      </c>
    </row>
    <row collapsed="false" customFormat="false" customHeight="false" hidden="false" ht="12.1" outlineLevel="0" r="7344">
      <c r="A7344" s="3" t="s">
        <f>=HYPERLINK("https://mp39851918.megaplan.ua/deals/131212/card/","22414")</f>
      </c>
      <c r="B7344" s="3" t="inlineStr">
        <is>
          <t>113-9670468-4152255</t>
        </is>
      </c>
      <c r="C7344" s="3" t="inlineStr">
        <is>
          <t>Autodist</t>
        </is>
      </c>
    </row>
    <row collapsed="false" customFormat="false" customHeight="false" hidden="false" ht="12.1" outlineLevel="0" r="7345">
      <c r="A7345" s="3" t="s">
        <f>=HYPERLINK("https://mp39851918.megaplan.ua/deals/131216/card/","22415")</f>
      </c>
      <c r="B7345" s="3" t="inlineStr">
        <is>
          <t>113-3297271-4493008</t>
        </is>
      </c>
      <c r="C7345" s="3" t="inlineStr">
        <is>
          <t>PartsUnlimited</t>
        </is>
      </c>
    </row>
    <row collapsed="false" customFormat="false" customHeight="false" hidden="false" ht="12.1" outlineLevel="0" r="7346">
      <c r="A7346" s="3" t="s">
        <f>=HYPERLINK("https://mp39851918.megaplan.ua/deals/131222/card/","22416")</f>
      </c>
      <c r="B7346" s="3" t="inlineStr">
        <is>
          <t>113-0558068-1987453</t>
        </is>
      </c>
      <c r="C7346" s="3" t="inlineStr">
        <is>
          <t>RockyMountain</t>
        </is>
      </c>
    </row>
    <row collapsed="false" customFormat="false" customHeight="false" hidden="false" ht="12.1" outlineLevel="0" r="7347">
      <c r="A7347" s="3" t="s">
        <f>=HYPERLINK("https://mp39851918.megaplan.ua/deals/131224/card/","22417")</f>
      </c>
      <c r="B7347" s="3" t="inlineStr">
        <is>
          <t>113-2504857-4553825</t>
        </is>
      </c>
      <c r="C7347" s="3" t="inlineStr">
        <is>
          <t>RockyMountain</t>
        </is>
      </c>
    </row>
    <row collapsed="false" customFormat="false" customHeight="false" hidden="false" ht="12.1" outlineLevel="0" r="7348">
      <c r="A7348" s="3" t="s">
        <f>=HYPERLINK("https://mp39851918.megaplan.ua/deals/131231/card/","22418")</f>
      </c>
      <c r="B7348" s="3" t="inlineStr">
        <is>
          <t>112-8420364-1997015</t>
        </is>
      </c>
      <c r="C7348" s="3" t="inlineStr">
        <is>
          <t>RockyMountain</t>
        </is>
      </c>
    </row>
    <row collapsed="false" customFormat="false" customHeight="false" hidden="false" ht="12.1" outlineLevel="0" r="7349">
      <c r="A7349" s="3" t="s">
        <f>=HYPERLINK("https://mp39851918.megaplan.ua/deals/131234/card/","22419")</f>
      </c>
      <c r="B7349" s="3" t="inlineStr">
        <is>
          <t>114-2131188-6692257</t>
        </is>
      </c>
      <c r="C7349" s="3" t="inlineStr">
        <is>
          <t>Autodist</t>
        </is>
      </c>
    </row>
    <row collapsed="false" customFormat="false" customHeight="false" hidden="false" ht="12.1" outlineLevel="0" r="7350">
      <c r="A7350" s="3" t="s">
        <f>=HYPERLINK("https://mp39851918.megaplan.ua/deals/131236/card/","22420")</f>
      </c>
      <c r="B7350" s="3" t="inlineStr">
        <is>
          <t>111-4230697-1938650</t>
        </is>
      </c>
      <c r="C7350" s="3" t="inlineStr">
        <is>
          <t>Autodist</t>
        </is>
      </c>
    </row>
    <row collapsed="false" customFormat="false" customHeight="false" hidden="false" ht="12.1" outlineLevel="0" r="7351">
      <c r="A7351" s="3" t="s">
        <f>=HYPERLINK("https://mp39851918.megaplan.ua/deals/131249/card/","22421")</f>
      </c>
      <c r="B7351" s="3" t="inlineStr">
        <is>
          <t>111-8368517-1165854</t>
        </is>
      </c>
      <c r="C7351" s="3" t="inlineStr">
        <is>
          <t>TuckerRocky</t>
        </is>
      </c>
    </row>
    <row collapsed="false" customFormat="false" customHeight="false" hidden="false" ht="12.1" outlineLevel="0" r="7352">
      <c r="A7352" s="3" t="s">
        <f>=HYPERLINK("https://mp39851918.megaplan.ua/deals/131254/card/","22422")</f>
      </c>
      <c r="B7352" s="3" t="inlineStr">
        <is>
          <t>113-7037473-6353860</t>
        </is>
      </c>
      <c r="C7352" s="3" t="inlineStr">
        <is>
          <t>PartsUnlimited</t>
        </is>
      </c>
    </row>
    <row collapsed="false" customFormat="false" customHeight="false" hidden="false" ht="12.1" outlineLevel="0" r="7353">
      <c r="A7353" s="3" t="s">
        <f>=HYPERLINK("https://mp39851918.megaplan.ua/deals/131268/card/","22423")</f>
      </c>
      <c r="B7353" s="3" t="inlineStr">
        <is>
          <t>114-4694612-5137855</t>
        </is>
      </c>
      <c r="C7353" s="3" t="inlineStr">
        <is>
          <t>RockyMountain</t>
        </is>
      </c>
    </row>
    <row collapsed="false" customFormat="false" customHeight="false" hidden="false" ht="12.1" outlineLevel="0" r="7354">
      <c r="A7354" s="3" t="s">
        <f>=HYPERLINK("https://mp39851918.megaplan.ua/deals/131273/card/","22424")</f>
      </c>
      <c r="B7354" s="3" t="inlineStr">
        <is>
          <t>112-2425415-6714629</t>
        </is>
      </c>
      <c r="C7354" s="3" t="inlineStr">
        <is>
          <t>PartsUnlimited</t>
        </is>
      </c>
    </row>
    <row collapsed="false" customFormat="false" customHeight="false" hidden="false" ht="12.1" outlineLevel="0" r="7355">
      <c r="A7355" s="3" t="s">
        <f>=HYPERLINK("https://mp39851918.megaplan.ua/deals/131276/card/","22426")</f>
      </c>
      <c r="B7355" s="3" t="inlineStr">
        <is>
          <t>112-1661229-4829856</t>
        </is>
      </c>
      <c r="C7355" s="3" t="inlineStr">
        <is>
          <t>Autodist</t>
        </is>
      </c>
    </row>
    <row collapsed="false" customFormat="false" customHeight="false" hidden="false" ht="12.1" outlineLevel="0" r="7356">
      <c r="A7356" s="3" t="s">
        <f>=HYPERLINK("https://mp39851918.megaplan.ua/deals/131280/card/","22427")</f>
      </c>
      <c r="B7356" s="3" t="inlineStr">
        <is>
          <t>114-2300352-9442639</t>
        </is>
      </c>
      <c r="C7356" s="3" t="inlineStr">
        <is>
          <t>PartsUnlimited</t>
        </is>
      </c>
    </row>
    <row collapsed="false" customFormat="false" customHeight="false" hidden="false" ht="12.1" outlineLevel="0" r="7357">
      <c r="A7357" s="3" t="s">
        <f>=HYPERLINK("https://mp39851918.megaplan.ua/deals/131281/card/","22428")</f>
      </c>
      <c r="B7357" s="3" t="inlineStr">
        <is>
          <t>114-2710226-3453830</t>
        </is>
      </c>
      <c r="C7357" s="3" t="inlineStr">
        <is>
          <t>RockyMountain</t>
        </is>
      </c>
    </row>
    <row collapsed="false" customFormat="false" customHeight="false" hidden="false" ht="12.1" outlineLevel="0" r="7358">
      <c r="A7358" s="3" t="s">
        <f>=HYPERLINK("https://mp39851918.megaplan.ua/deals/131290/card/","22429")</f>
      </c>
      <c r="B7358" s="3" t="inlineStr">
        <is>
          <t>111-3414815-7607419</t>
        </is>
      </c>
      <c r="C7358" s="3" t="inlineStr">
        <is>
          <t>PartsUnlimited</t>
        </is>
      </c>
    </row>
    <row collapsed="false" customFormat="false" customHeight="false" hidden="false" ht="12.1" outlineLevel="0" r="7359">
      <c r="A7359" s="3" t="s">
        <f>=HYPERLINK("https://mp39851918.megaplan.ua/deals/131295/card/","22430")</f>
      </c>
      <c r="B7359" s="3" t="inlineStr">
        <is>
          <t>111-9267465-3235421</t>
        </is>
      </c>
      <c r="C7359" s="3" t="inlineStr">
        <is>
          <t>PartsUnlimited</t>
        </is>
      </c>
    </row>
    <row collapsed="false" customFormat="false" customHeight="false" hidden="false" ht="12.1" outlineLevel="0" r="7360">
      <c r="A7360" s="3" t="s">
        <f>=HYPERLINK("https://mp39851918.megaplan.ua/deals/131302/card/","22431")</f>
      </c>
      <c r="B7360" s="3" t="inlineStr">
        <is>
          <t>112-3387255-1552265</t>
        </is>
      </c>
      <c r="C7360" s="3" t="inlineStr">
        <is>
          <t>TuckerRocky</t>
        </is>
      </c>
    </row>
    <row collapsed="false" customFormat="false" customHeight="false" hidden="false" ht="12.1" outlineLevel="0" r="7361">
      <c r="A7361" s="3" t="s">
        <f>=HYPERLINK("https://mp39851918.megaplan.ua/deals/131303/card/","22432")</f>
      </c>
      <c r="B7361" s="3" t="inlineStr">
        <is>
          <t>114-1352210-6353849</t>
        </is>
      </c>
      <c r="C7361" s="3" t="inlineStr">
        <is>
          <t>TuckerRocky</t>
        </is>
      </c>
    </row>
    <row collapsed="false" customFormat="false" customHeight="false" hidden="false" ht="12.1" outlineLevel="0" r="7362">
      <c r="A7362" s="3" t="s">
        <f>=HYPERLINK("https://mp39851918.megaplan.ua/deals/131319/card/","22433")</f>
      </c>
      <c r="B7362" s="3" t="inlineStr">
        <is>
          <t>112-3818741-2019468</t>
        </is>
      </c>
      <c r="C7362" s="3" t="inlineStr">
        <is>
          <t>PartsUnlimited</t>
        </is>
      </c>
    </row>
    <row collapsed="false" customFormat="false" customHeight="false" hidden="false" ht="12.1" outlineLevel="0" r="7363">
      <c r="A7363" s="3" t="s">
        <f>=HYPERLINK("https://mp39851918.megaplan.ua/deals/131320/card/","22434")</f>
      </c>
      <c r="B7363" s="3" t="inlineStr">
        <is>
          <t>113-9856339-3625825</t>
        </is>
      </c>
      <c r="C7363" s="3" t="inlineStr">
        <is>
          <t>Autodist</t>
        </is>
      </c>
    </row>
    <row collapsed="false" customFormat="false" customHeight="false" hidden="false" ht="12.1" outlineLevel="0" r="7364">
      <c r="A7364" s="3" t="s">
        <f>=HYPERLINK("https://mp39851918.megaplan.ua/deals/131330/card/","22435")</f>
      </c>
      <c r="B7364" s="3" t="inlineStr">
        <is>
          <t>112-9663335-2683427</t>
        </is>
      </c>
      <c r="C7364" s="3" t="inlineStr">
        <is>
          <t>PartsUnlimited</t>
        </is>
      </c>
    </row>
    <row collapsed="false" customFormat="false" customHeight="false" hidden="false" ht="12.1" outlineLevel="0" r="7365">
      <c r="A7365" s="3" t="s">
        <f>=HYPERLINK("https://mp39851918.megaplan.ua/deals/131341/card/","22437")</f>
      </c>
      <c r="B7365" s="3" t="inlineStr">
        <is>
          <t>112-6764787-2305834</t>
        </is>
      </c>
      <c r="C7365" s="3" t="inlineStr">
        <is>
          <t>PartsUnlimited</t>
        </is>
      </c>
    </row>
    <row collapsed="false" customFormat="false" customHeight="false" hidden="false" ht="12.1" outlineLevel="0" r="7366">
      <c r="A7366" s="3" t="s">
        <f>=HYPERLINK("https://mp39851918.megaplan.ua/deals/131345/card/","22438")</f>
      </c>
      <c r="B7366" s="3" t="inlineStr">
        <is>
          <t>113-8384912-7660241</t>
        </is>
      </c>
      <c r="C7366" s="3" t="inlineStr">
        <is>
          <t>Autodist</t>
        </is>
      </c>
    </row>
    <row collapsed="false" customFormat="false" customHeight="false" hidden="false" ht="12.1" outlineLevel="0" r="7367">
      <c r="A7367" s="3" t="s">
        <f>=HYPERLINK("https://mp39851918.megaplan.ua/deals/131348/card/","22439")</f>
      </c>
      <c r="B7367" s="3" t="inlineStr">
        <is>
          <t>111-3428542-3418668</t>
        </is>
      </c>
      <c r="C7367" s="3" t="inlineStr">
        <is>
          <t>TuckerRocky</t>
        </is>
      </c>
    </row>
    <row collapsed="false" customFormat="false" customHeight="false" hidden="false" ht="12.1" outlineLevel="0" r="7368">
      <c r="A7368" s="3" t="s">
        <f>=HYPERLINK("https://mp39851918.megaplan.ua/deals/131357/card/","22440")</f>
      </c>
      <c r="B7368" s="3" t="inlineStr">
        <is>
          <t>111-4093778-2716231</t>
        </is>
      </c>
      <c r="C7368" s="3" t="inlineStr">
        <is>
          <t>RockyMountain</t>
        </is>
      </c>
    </row>
    <row collapsed="false" customFormat="false" customHeight="false" hidden="false" ht="12.1" outlineLevel="0" r="7369">
      <c r="A7369" s="3" t="s">
        <f>=HYPERLINK("https://mp39851918.megaplan.ua/deals/131368/card/","22442")</f>
      </c>
      <c r="B7369" s="3" t="inlineStr">
        <is>
          <t>113-8461793-9202657</t>
        </is>
      </c>
      <c r="C7369" s="3" t="inlineStr">
        <is>
          <t>PartsUnlimited</t>
        </is>
      </c>
    </row>
    <row collapsed="false" customFormat="false" customHeight="false" hidden="false" ht="12.1" outlineLevel="0" r="7370">
      <c r="A7370" s="3" t="s">
        <f>=HYPERLINK("https://mp39851918.megaplan.ua/deals/131369/card/","22443")</f>
      </c>
      <c r="B7370" s="3" t="inlineStr">
        <is>
          <t>114-0987726-3066618</t>
        </is>
      </c>
      <c r="C7370" s="3" t="inlineStr">
        <is>
          <t>Autodist</t>
        </is>
      </c>
    </row>
    <row collapsed="false" customFormat="false" customHeight="false" hidden="false" ht="12.1" outlineLevel="0" r="7371">
      <c r="A7371" s="3" t="s">
        <f>=HYPERLINK("https://mp39851918.megaplan.ua/deals/131379/card/","22446")</f>
      </c>
      <c r="B7371" s="3" t="inlineStr">
        <is>
          <t>111-6917504-7081009</t>
        </is>
      </c>
      <c r="C7371" s="3" t="inlineStr">
        <is>
          <t>PartsUnlimited</t>
        </is>
      </c>
    </row>
    <row collapsed="false" customFormat="false" customHeight="false" hidden="false" ht="12.1" outlineLevel="0" r="7372">
      <c r="A7372" s="3" t="s">
        <f>=HYPERLINK("https://mp39851918.megaplan.ua/deals/131381/card/","22447")</f>
      </c>
      <c r="B7372" s="3" t="inlineStr">
        <is>
          <t>111-7198706-7277044</t>
        </is>
      </c>
      <c r="C7372" s="3" t="inlineStr">
        <is>
          <t>RockyMountain</t>
        </is>
      </c>
    </row>
    <row collapsed="false" customFormat="false" customHeight="false" hidden="false" ht="12.1" outlineLevel="0" r="7373">
      <c r="A7373" s="3" t="s">
        <f>=HYPERLINK("https://mp39851918.megaplan.ua/deals/131399/card/","22450")</f>
      </c>
      <c r="B7373" s="3" t="inlineStr">
        <is>
          <t>114-6355320-5195438</t>
        </is>
      </c>
      <c r="C7373" s="3" t="inlineStr">
        <is>
          <t>TuckerRocky</t>
        </is>
      </c>
    </row>
    <row collapsed="false" customFormat="false" customHeight="false" hidden="false" ht="12.1" outlineLevel="0" r="7374">
      <c r="A7374" s="3" t="s">
        <f>=HYPERLINK("https://mp39851918.megaplan.ua/deals/131401/card/","22451")</f>
      </c>
      <c r="B7374" s="3" t="inlineStr">
        <is>
          <t>114-6500978-0152251</t>
        </is>
      </c>
      <c r="C7374" s="3" t="inlineStr">
        <is>
          <t>RockyMountain</t>
        </is>
      </c>
    </row>
    <row collapsed="false" customFormat="false" customHeight="false" hidden="false" ht="12.1" outlineLevel="0" r="7375">
      <c r="A7375" s="3" t="s">
        <f>=HYPERLINK("https://mp39851918.megaplan.ua/deals/131402/card/","22452")</f>
      </c>
      <c r="B7375" s="3" t="inlineStr">
        <is>
          <t>113-6126996-1470664</t>
        </is>
      </c>
      <c r="C7375" s="3" t="inlineStr">
        <is>
          <t>TuckerRocky</t>
        </is>
      </c>
    </row>
    <row collapsed="false" customFormat="false" customHeight="false" hidden="false" ht="12.1" outlineLevel="0" r="7376">
      <c r="A7376" s="3" t="s">
        <f>=HYPERLINK("https://mp39851918.megaplan.ua/deals/131404/card/","22453")</f>
      </c>
      <c r="B7376" s="3" t="inlineStr">
        <is>
          <t>113-5179565-1073005</t>
        </is>
      </c>
      <c r="C7376" s="3" t="inlineStr">
        <is>
          <t>PartsUnlimited</t>
        </is>
      </c>
    </row>
    <row collapsed="false" customFormat="false" customHeight="false" hidden="false" ht="12.1" outlineLevel="0" r="7377">
      <c r="A7377" s="3" t="s">
        <f>=HYPERLINK("https://mp39851918.megaplan.ua/deals/131406/card/","22454")</f>
      </c>
      <c r="B7377" s="3" t="inlineStr">
        <is>
          <t>113-2016004-3996224</t>
        </is>
      </c>
      <c r="C7377" s="3" t="inlineStr">
        <is>
          <t>TuckerRocky</t>
        </is>
      </c>
    </row>
    <row collapsed="false" customFormat="false" customHeight="false" hidden="false" ht="12.1" outlineLevel="0" r="7378">
      <c r="A7378" s="3" t="s">
        <f>=HYPERLINK("https://mp39851918.megaplan.ua/deals/131409/card/","22455")</f>
      </c>
      <c r="B7378" s="3" t="inlineStr">
        <is>
          <t>113-2142241-9565851</t>
        </is>
      </c>
      <c r="C7378" s="3" t="inlineStr">
        <is>
          <t>PartsUnlimited</t>
        </is>
      </c>
    </row>
    <row collapsed="false" customFormat="false" customHeight="false" hidden="false" ht="12.1" outlineLevel="0" r="7379">
      <c r="A7379" s="3" t="s">
        <f>=HYPERLINK("https://mp39851918.megaplan.ua/deals/131410/card/","22456")</f>
      </c>
      <c r="B7379" s="3" t="inlineStr">
        <is>
          <t>112-3855729-5705020</t>
        </is>
      </c>
      <c r="C7379" s="3" t="inlineStr">
        <is>
          <t>PartsUnlimited</t>
        </is>
      </c>
    </row>
    <row collapsed="false" customFormat="false" customHeight="false" hidden="false" ht="12.1" outlineLevel="0" r="7380">
      <c r="A7380" s="3" t="s">
        <f>=HYPERLINK("https://mp39851918.megaplan.ua/deals/131413/card/","22457")</f>
      </c>
      <c r="B7380" s="3" t="inlineStr">
        <is>
          <t>112-2396436-9581803</t>
        </is>
      </c>
      <c r="C7380" s="3" t="inlineStr">
        <is>
          <t>PartsUnlimited</t>
        </is>
      </c>
    </row>
    <row collapsed="false" customFormat="false" customHeight="false" hidden="false" ht="12.1" outlineLevel="0" r="7381">
      <c r="A7381" s="3" t="s">
        <f>=HYPERLINK("https://mp39851918.megaplan.ua/deals/131421/card/","22458")</f>
      </c>
      <c r="B7381" s="3" t="inlineStr">
        <is>
          <t>112-9180815-6875464</t>
        </is>
      </c>
      <c r="C7381" s="3" t="inlineStr">
        <is>
          <t>PartsUnlimited</t>
        </is>
      </c>
    </row>
    <row collapsed="false" customFormat="false" customHeight="false" hidden="false" ht="12.1" outlineLevel="0" r="7382">
      <c r="A7382" s="3" t="s">
        <f>=HYPERLINK("https://mp39851918.megaplan.ua/deals/131428/card/","22459")</f>
      </c>
      <c r="B7382" s="3" t="inlineStr">
        <is>
          <t>112-9249094-1972242</t>
        </is>
      </c>
      <c r="C7382" s="3" t="inlineStr">
        <is>
          <t>PartsUnlimited</t>
        </is>
      </c>
    </row>
    <row collapsed="false" customFormat="false" customHeight="false" hidden="false" ht="12.1" outlineLevel="0" r="7383">
      <c r="A7383" s="3" t="s">
        <f>=HYPERLINK("https://mp39851918.megaplan.ua/deals/131455/card/","22460")</f>
      </c>
      <c r="B7383" s="3" t="inlineStr">
        <is>
          <t>114-7134825-1529026</t>
        </is>
      </c>
      <c r="C7383" s="3" t="inlineStr">
        <is>
          <t>Autodist</t>
        </is>
      </c>
    </row>
    <row collapsed="false" customFormat="false" customHeight="false" hidden="false" ht="12.1" outlineLevel="0" r="7384">
      <c r="A7384" s="3" t="s">
        <f>=HYPERLINK("https://mp39851918.megaplan.ua/deals/131474/card/","22462")</f>
      </c>
      <c r="B7384" s="3" t="inlineStr">
        <is>
          <t>113-5433769-7943419</t>
        </is>
      </c>
      <c r="C7384" s="3" t="inlineStr">
        <is>
          <t>RockyMountain</t>
        </is>
      </c>
    </row>
    <row collapsed="false" customFormat="false" customHeight="false" hidden="false" ht="12.1" outlineLevel="0" r="7385">
      <c r="A7385" s="3" t="s">
        <f>=HYPERLINK("https://mp39851918.megaplan.ua/deals/131477/card/","22463")</f>
      </c>
      <c r="B7385" s="3" t="inlineStr">
        <is>
          <t>114-6202974-2469831</t>
        </is>
      </c>
      <c r="C7385" s="3" t="inlineStr">
        <is>
          <t>RockyMountain</t>
        </is>
      </c>
    </row>
    <row collapsed="false" customFormat="false" customHeight="false" hidden="false" ht="12.1" outlineLevel="0" r="7386">
      <c r="A7386" s="3" t="s">
        <f>=HYPERLINK("https://mp39851918.megaplan.ua/deals/131478/card/","22464")</f>
      </c>
      <c r="B7386" s="3" t="inlineStr">
        <is>
          <t>112-2067573-8340200</t>
        </is>
      </c>
      <c r="C7386" s="3" t="inlineStr">
        <is>
          <t>TuckerRocky</t>
        </is>
      </c>
    </row>
    <row collapsed="false" customFormat="false" customHeight="false" hidden="false" ht="12.1" outlineLevel="0" r="7387">
      <c r="A7387" s="3" t="s">
        <f>=HYPERLINK("https://mp39851918.megaplan.ua/deals/131490/card/","22465")</f>
      </c>
      <c r="B7387" s="3" t="inlineStr">
        <is>
          <t>114-0869384-8489021</t>
        </is>
      </c>
      <c r="C7387" s="3" t="inlineStr">
        <is>
          <t>RockyMountain</t>
        </is>
      </c>
    </row>
    <row collapsed="false" customFormat="false" customHeight="false" hidden="false" ht="12.1" outlineLevel="0" r="7388">
      <c r="A7388" s="3" t="s">
        <f>=HYPERLINK("https://mp39851918.megaplan.ua/deals/131500/card/","22467")</f>
      </c>
      <c r="B7388" s="3" t="inlineStr">
        <is>
          <t>111-7933571-8612240</t>
        </is>
      </c>
      <c r="C7388" s="3" t="inlineStr">
        <is>
          <t>RockyMountain</t>
        </is>
      </c>
    </row>
    <row collapsed="false" customFormat="false" customHeight="false" hidden="false" ht="12.1" outlineLevel="0" r="7389">
      <c r="A7389" s="3" t="s">
        <f>=HYPERLINK("https://mp39851918.megaplan.ua/deals/131505/card/","22468")</f>
      </c>
      <c r="B7389" s="3" t="inlineStr">
        <is>
          <t>114-0646497-9124259</t>
        </is>
      </c>
      <c r="C7389" s="3" t="inlineStr">
        <is>
          <t>RockyMountain</t>
        </is>
      </c>
    </row>
    <row collapsed="false" customFormat="false" customHeight="false" hidden="false" ht="12.1" outlineLevel="0" r="7390">
      <c r="A7390" s="3" t="s">
        <f>=HYPERLINK("https://mp39851918.megaplan.ua/deals/131523/card/","22470")</f>
      </c>
      <c r="B7390" s="3" t="inlineStr">
        <is>
          <t>111-0736376-7333034</t>
        </is>
      </c>
      <c r="C7390" s="3" t="inlineStr">
        <is>
          <t>RockyMountain</t>
        </is>
      </c>
    </row>
    <row collapsed="false" customFormat="false" customHeight="false" hidden="false" ht="12.1" outlineLevel="0" r="7391">
      <c r="A7391" s="3" t="s">
        <f>=HYPERLINK("https://mp39851918.megaplan.ua/deals/131541/card/","22471")</f>
      </c>
      <c r="B7391" s="3" t="inlineStr">
        <is>
          <t>113-2885396-7745803</t>
        </is>
      </c>
      <c r="C7391" s="3" t="inlineStr">
        <is>
          <t>Autodist</t>
        </is>
      </c>
    </row>
    <row collapsed="false" customFormat="false" customHeight="false" hidden="false" ht="12.1" outlineLevel="0" r="7392">
      <c r="A7392" s="3" t="s">
        <f>=HYPERLINK("https://mp39851918.megaplan.ua/deals/131545/card/","22472")</f>
      </c>
      <c r="B7392" s="3" t="inlineStr">
        <is>
          <t>113-8760646-5664222</t>
        </is>
      </c>
      <c r="C7392" s="3" t="inlineStr">
        <is>
          <t>RockyMountain</t>
        </is>
      </c>
    </row>
    <row collapsed="false" customFormat="false" customHeight="false" hidden="false" ht="12.1" outlineLevel="0" r="7393">
      <c r="A7393" s="3" t="s">
        <f>=HYPERLINK("https://mp39851918.megaplan.ua/deals/131548/card/","22473")</f>
      </c>
      <c r="B7393" s="3" t="inlineStr">
        <is>
          <t>114-8647496-6320237</t>
        </is>
      </c>
      <c r="C7393" s="3" t="inlineStr">
        <is>
          <t>Autodist</t>
        </is>
      </c>
    </row>
    <row collapsed="false" customFormat="false" customHeight="false" hidden="false" ht="12.1" outlineLevel="0" r="7394">
      <c r="A7394" s="3" t="s">
        <f>=HYPERLINK("https://mp39851918.megaplan.ua/deals/131549/card/","22474")</f>
      </c>
      <c r="B7394" s="3" t="inlineStr">
        <is>
          <t>113-4865480-5149840</t>
        </is>
      </c>
      <c r="C7394" s="3" t="inlineStr">
        <is>
          <t>RockyMountain</t>
        </is>
      </c>
    </row>
    <row collapsed="false" customFormat="false" customHeight="false" hidden="false" ht="12.1" outlineLevel="0" r="7395">
      <c r="A7395" s="3" t="s">
        <f>=HYPERLINK("https://mp39851918.megaplan.ua/deals/131557/card/","22475")</f>
      </c>
      <c r="B7395" s="3" t="inlineStr">
        <is>
          <t>111-9089375-3992235</t>
        </is>
      </c>
      <c r="C7395" s="3" t="inlineStr">
        <is>
          <t>Autodist</t>
        </is>
      </c>
    </row>
    <row collapsed="false" customFormat="false" customHeight="false" hidden="false" ht="12.1" outlineLevel="0" r="7396">
      <c r="A7396" s="3" t="s">
        <f>=HYPERLINK("https://mp39851918.megaplan.ua/deals/131560/card/","22476")</f>
      </c>
      <c r="B7396" s="3" t="inlineStr">
        <is>
          <t>113-3344580-5386636</t>
        </is>
      </c>
      <c r="C7396" s="3" t="inlineStr">
        <is>
          <t>RockyMountain</t>
        </is>
      </c>
    </row>
    <row collapsed="false" customFormat="false" customHeight="false" hidden="false" ht="12.1" outlineLevel="0" r="7397">
      <c r="A7397" s="3" t="s">
        <f>=HYPERLINK("https://mp39851918.megaplan.ua/deals/131563/card/","22477")</f>
      </c>
      <c r="B7397" s="3" t="inlineStr">
        <is>
          <t>114-5242656-5113015</t>
        </is>
      </c>
      <c r="C7397" s="3" t="inlineStr">
        <is>
          <t>Autodist</t>
        </is>
      </c>
    </row>
    <row collapsed="false" customFormat="false" customHeight="false" hidden="false" ht="12.1" outlineLevel="0" r="7398">
      <c r="A7398" s="3" t="s">
        <f>=HYPERLINK("https://mp39851918.megaplan.ua/deals/131567/card/","22478")</f>
      </c>
      <c r="B7398" s="3" t="inlineStr">
        <is>
          <t>111-0877945-5649017</t>
        </is>
      </c>
      <c r="C7398" s="3" t="inlineStr">
        <is>
          <t>Autodist</t>
        </is>
      </c>
    </row>
    <row collapsed="false" customFormat="false" customHeight="false" hidden="false" ht="12.1" outlineLevel="0" r="7399">
      <c r="A7399" s="3" t="s">
        <f>=HYPERLINK("https://mp39851918.megaplan.ua/deals/131570/card/","22479")</f>
      </c>
      <c r="B7399" s="3" t="inlineStr">
        <is>
          <t>113-4248714-0760257</t>
        </is>
      </c>
      <c r="C7399" s="3" t="inlineStr">
        <is>
          <t>RockyMountain</t>
        </is>
      </c>
    </row>
    <row collapsed="false" customFormat="false" customHeight="false" hidden="false" ht="12.1" outlineLevel="0" r="7400">
      <c r="A7400" s="3" t="s">
        <f>=HYPERLINK("https://mp39851918.megaplan.ua/deals/131574/card/","22480")</f>
      </c>
      <c r="B7400" s="3" t="inlineStr">
        <is>
          <t>114-3637924-8193835</t>
        </is>
      </c>
      <c r="C7400" s="3" t="inlineStr">
        <is>
          <t>Autodist</t>
        </is>
      </c>
    </row>
    <row collapsed="false" customFormat="false" customHeight="false" hidden="false" ht="12.1" outlineLevel="0" r="7401">
      <c r="A7401" s="3" t="s">
        <f>=HYPERLINK("https://mp39851918.megaplan.ua/deals/131575/card/","22481")</f>
      </c>
      <c r="B7401" s="3" t="inlineStr">
        <is>
          <t>112-8632541-7818618</t>
        </is>
      </c>
      <c r="C7401" s="3" t="inlineStr">
        <is>
          <t>RockyMountain</t>
        </is>
      </c>
    </row>
    <row collapsed="false" customFormat="false" customHeight="false" hidden="false" ht="12.1" outlineLevel="0" r="7402">
      <c r="A7402" s="3" t="s">
        <f>=HYPERLINK("https://mp39851918.megaplan.ua/deals/131579/card/","22482")</f>
      </c>
      <c r="B7402" s="3" t="inlineStr">
        <is>
          <t>114-8431291-1130613</t>
        </is>
      </c>
      <c r="C7402" s="3" t="inlineStr">
        <is>
          <t>Autodist</t>
        </is>
      </c>
    </row>
    <row collapsed="false" customFormat="false" customHeight="false" hidden="false" ht="12.1" outlineLevel="0" r="7403">
      <c r="A7403" s="3" t="s">
        <f>=HYPERLINK("https://mp39851918.megaplan.ua/deals/131585/card/","22483")</f>
      </c>
      <c r="B7403" s="3" t="inlineStr">
        <is>
          <t>114-4142733-4873023</t>
        </is>
      </c>
      <c r="C7403" s="3" t="inlineStr">
        <is>
          <t>Autodist</t>
        </is>
      </c>
    </row>
    <row collapsed="false" customFormat="false" customHeight="false" hidden="false" ht="12.1" outlineLevel="0" r="7404">
      <c r="A7404" s="3" t="s">
        <f>=HYPERLINK("https://mp39851918.megaplan.ua/deals/131598/card/","22484")</f>
      </c>
      <c r="B7404" s="3" t="inlineStr">
        <is>
          <t>114-5922433-8528259</t>
        </is>
      </c>
      <c r="C7404" s="3" t="inlineStr">
        <is>
          <t>PartsUnlimited</t>
        </is>
      </c>
    </row>
    <row collapsed="false" customFormat="false" customHeight="false" hidden="false" ht="12.1" outlineLevel="0" r="7405">
      <c r="A7405" s="3" t="s">
        <f>=HYPERLINK("https://mp39851918.megaplan.ua/deals/131604/card/","22485")</f>
      </c>
      <c r="B7405" s="3" t="inlineStr">
        <is>
          <t>111-3847681-7028236</t>
        </is>
      </c>
      <c r="C7405" s="3" t="inlineStr">
        <is>
          <t>TuckerRocky</t>
        </is>
      </c>
    </row>
    <row collapsed="false" customFormat="false" customHeight="false" hidden="false" ht="12.1" outlineLevel="0" r="7406">
      <c r="A7406" s="3" t="s">
        <f>=HYPERLINK("https://mp39851918.megaplan.ua/deals/131605/card/","22486")</f>
      </c>
      <c r="B7406" s="3" t="inlineStr">
        <is>
          <t>113-4226420-9973038</t>
        </is>
      </c>
      <c r="C7406" s="3" t="inlineStr">
        <is>
          <t>TuckerRocky</t>
        </is>
      </c>
    </row>
    <row collapsed="false" customFormat="false" customHeight="false" hidden="false" ht="12.1" outlineLevel="0" r="7407">
      <c r="A7407" s="3" t="s">
        <f>=HYPERLINK("https://mp39851918.megaplan.ua/deals/131610/card/","22487")</f>
      </c>
      <c r="B7407" s="3" t="inlineStr">
        <is>
          <t>111-5819151-7033822</t>
        </is>
      </c>
      <c r="C7407" s="3" t="inlineStr">
        <is>
          <t>Autodist</t>
        </is>
      </c>
    </row>
    <row collapsed="false" customFormat="false" customHeight="false" hidden="false" ht="12.1" outlineLevel="0" r="7408">
      <c r="A7408" s="3" t="s">
        <f>=HYPERLINK("https://mp39851918.megaplan.ua/deals/131619/card/","22488")</f>
      </c>
      <c r="B7408" s="3" t="inlineStr">
        <is>
          <t>113-0833799-6929065</t>
        </is>
      </c>
      <c r="C7408" s="3" t="inlineStr">
        <is>
          <t>Autodist</t>
        </is>
      </c>
    </row>
    <row collapsed="false" customFormat="false" customHeight="false" hidden="false" ht="12.1" outlineLevel="0" r="7409">
      <c r="A7409" s="3" t="s">
        <f>=HYPERLINK("https://mp39851918.megaplan.ua/deals/131620/card/","22489")</f>
      </c>
      <c r="B7409" s="3" t="inlineStr">
        <is>
          <t>112-8064955-3817064</t>
        </is>
      </c>
      <c r="C7409" s="3" t="inlineStr">
        <is>
          <t>RockyMountain</t>
        </is>
      </c>
    </row>
    <row collapsed="false" customFormat="false" customHeight="false" hidden="false" ht="12.1" outlineLevel="0" r="7410">
      <c r="A7410" s="3" t="s">
        <f>=HYPERLINK("https://mp39851918.megaplan.ua/deals/131630/card/","22490")</f>
      </c>
      <c r="B7410" s="3" t="inlineStr">
        <is>
          <t>111-3135061-6678649</t>
        </is>
      </c>
      <c r="C7410" s="3" t="inlineStr">
        <is>
          <t>PartsUnlimited</t>
        </is>
      </c>
    </row>
    <row collapsed="false" customFormat="false" customHeight="false" hidden="false" ht="12.1" outlineLevel="0" r="7411">
      <c r="A7411" s="3" t="s">
        <f>=HYPERLINK("https://mp39851918.megaplan.ua/deals/131650/card/","22491")</f>
      </c>
      <c r="B7411" s="3" t="inlineStr">
        <is>
          <t>111-3686441-2417849</t>
        </is>
      </c>
      <c r="C7411" s="3" t="inlineStr">
        <is>
          <t>RockyMountain</t>
        </is>
      </c>
    </row>
    <row collapsed="false" customFormat="false" customHeight="false" hidden="false" ht="12.1" outlineLevel="0" r="7412">
      <c r="A7412" s="3" t="s">
        <f>=HYPERLINK("https://mp39851918.megaplan.ua/deals/131651/card/","22492")</f>
      </c>
      <c r="B7412" s="3" t="inlineStr">
        <is>
          <t>111-0069522-1138628</t>
        </is>
      </c>
      <c r="C7412" s="3" t="inlineStr">
        <is>
          <t>TuckerRocky</t>
        </is>
      </c>
    </row>
    <row collapsed="false" customFormat="false" customHeight="false" hidden="false" ht="12.1" outlineLevel="0" r="7413">
      <c r="A7413" s="3" t="s">
        <f>=HYPERLINK("https://mp39851918.megaplan.ua/deals/131653/card/","22493")</f>
      </c>
      <c r="B7413" s="3" t="inlineStr">
        <is>
          <t>111-9317717-4119415</t>
        </is>
      </c>
      <c r="C7413" s="3" t="inlineStr">
        <is>
          <t>RockyMountain</t>
        </is>
      </c>
    </row>
    <row collapsed="false" customFormat="false" customHeight="false" hidden="false" ht="12.1" outlineLevel="0" r="7414">
      <c r="A7414" s="3" t="s">
        <f>=HYPERLINK("https://mp39851918.megaplan.ua/deals/131659/card/","22496")</f>
      </c>
      <c r="B7414" s="3" t="inlineStr">
        <is>
          <t>112-1651785-9127429</t>
        </is>
      </c>
      <c r="C7414" s="3" t="inlineStr">
        <is>
          <t>Autodist</t>
        </is>
      </c>
    </row>
    <row collapsed="false" customFormat="false" customHeight="false" hidden="false" ht="12.1" outlineLevel="0" r="7415">
      <c r="A7415" s="3" t="s">
        <f>=HYPERLINK("https://mp39851918.megaplan.ua/deals/131660/card/","22497")</f>
      </c>
      <c r="B7415" s="3" t="inlineStr">
        <is>
          <t>113-4635845-3569047</t>
        </is>
      </c>
      <c r="C7415" s="3" t="inlineStr">
        <is>
          <t>Autodist</t>
        </is>
      </c>
    </row>
    <row collapsed="false" customFormat="false" customHeight="false" hidden="false" ht="12.1" outlineLevel="0" r="7416">
      <c r="A7416" s="3" t="s">
        <f>=HYPERLINK("https://mp39851918.megaplan.ua/deals/131663/card/","22498")</f>
      </c>
      <c r="B7416" s="3" t="inlineStr">
        <is>
          <t>114-1579964-3082634</t>
        </is>
      </c>
      <c r="C7416" s="3" t="inlineStr">
        <is>
          <t>TuckerRocky</t>
        </is>
      </c>
    </row>
    <row collapsed="false" customFormat="false" customHeight="false" hidden="false" ht="12.1" outlineLevel="0" r="7417">
      <c r="A7417" s="3" t="s">
        <f>=HYPERLINK("https://mp39851918.megaplan.ua/deals/131668/card/","22499")</f>
      </c>
      <c r="B7417" s="3" t="inlineStr">
        <is>
          <t>111-6734710-0778604</t>
        </is>
      </c>
      <c r="C7417" s="3" t="inlineStr">
        <is>
          <t>TuckerRocky</t>
        </is>
      </c>
    </row>
    <row collapsed="false" customFormat="false" customHeight="false" hidden="false" ht="12.1" outlineLevel="0" r="7418">
      <c r="A7418" s="3" t="s">
        <f>=HYPERLINK("https://mp39851918.megaplan.ua/deals/131681/card/","22502")</f>
      </c>
      <c r="B7418" s="3" t="inlineStr">
        <is>
          <t>111-4502527-5170652</t>
        </is>
      </c>
      <c r="C7418" s="3" t="inlineStr">
        <is>
          <t>RockyMountain</t>
        </is>
      </c>
    </row>
    <row collapsed="false" customFormat="false" customHeight="false" hidden="false" ht="12.1" outlineLevel="0" r="7419">
      <c r="A7419" s="3" t="s">
        <f>=HYPERLINK("https://mp39851918.megaplan.ua/deals/131683/card/","22503")</f>
      </c>
      <c r="B7419" s="3" t="inlineStr">
        <is>
          <t>111-1542548-4213832</t>
        </is>
      </c>
      <c r="C7419" s="3" t="inlineStr">
        <is>
          <t>Autodist</t>
        </is>
      </c>
    </row>
    <row collapsed="false" customFormat="false" customHeight="false" hidden="false" ht="12.1" outlineLevel="0" r="7420">
      <c r="A7420" s="3" t="s">
        <f>=HYPERLINK("https://mp39851918.megaplan.ua/deals/131685/card/","22504")</f>
      </c>
      <c r="B7420" s="3" t="inlineStr">
        <is>
          <t>112-3497660-5517064</t>
        </is>
      </c>
      <c r="C7420" s="3" t="inlineStr">
        <is>
          <t>RockyMountain</t>
        </is>
      </c>
    </row>
    <row collapsed="false" customFormat="false" customHeight="false" hidden="false" ht="12.1" outlineLevel="0" r="7421">
      <c r="A7421" s="3" t="s">
        <f>=HYPERLINK("https://mp39851918.megaplan.ua/deals/131689/card/","22505")</f>
      </c>
      <c r="B7421" s="3" t="inlineStr">
        <is>
          <t>113-1947436-5765833</t>
        </is>
      </c>
      <c r="C7421" s="3" t="inlineStr">
        <is>
          <t>TuckerRocky</t>
        </is>
      </c>
    </row>
    <row collapsed="false" customFormat="false" customHeight="false" hidden="false" ht="12.1" outlineLevel="0" r="7422">
      <c r="A7422" s="3" t="s">
        <f>=HYPERLINK("https://mp39851918.megaplan.ua/deals/131692/card/","22506")</f>
      </c>
      <c r="B7422" s="3" t="inlineStr">
        <is>
          <t>114-5510953-6149858</t>
        </is>
      </c>
      <c r="C7422" s="3" t="inlineStr">
        <is>
          <t>RockyMountain</t>
        </is>
      </c>
    </row>
    <row collapsed="false" customFormat="false" customHeight="false" hidden="false" ht="12.1" outlineLevel="0" r="7423">
      <c r="A7423" s="3" t="s">
        <f>=HYPERLINK("https://mp39851918.megaplan.ua/deals/131694/card/","22507")</f>
      </c>
      <c r="B7423" s="3" t="inlineStr">
        <is>
          <t>113-0262487-6549878</t>
        </is>
      </c>
      <c r="C7423" s="3" t="inlineStr">
        <is>
          <t>TuckerRocky</t>
        </is>
      </c>
    </row>
    <row collapsed="false" customFormat="false" customHeight="false" hidden="false" ht="12.1" outlineLevel="0" r="7424">
      <c r="A7424" s="3" t="s">
        <f>=HYPERLINK("https://mp39851918.megaplan.ua/deals/131698/card/","22508")</f>
      </c>
      <c r="B7424" s="3" t="inlineStr">
        <is>
          <t>114-0912646-0493812</t>
        </is>
      </c>
      <c r="C7424" s="3" t="inlineStr">
        <is>
          <t>Autodist</t>
        </is>
      </c>
    </row>
    <row collapsed="false" customFormat="false" customHeight="false" hidden="false" ht="12.1" outlineLevel="0" r="7425">
      <c r="A7425" s="3" t="s">
        <f>=HYPERLINK("https://mp39851918.megaplan.ua/deals/131699/card/","22509")</f>
      </c>
      <c r="B7425" s="3" t="inlineStr">
        <is>
          <t>113-1520999-2320245</t>
        </is>
      </c>
      <c r="C7425" s="3" t="inlineStr">
        <is>
          <t>TuckerRocky</t>
        </is>
      </c>
    </row>
    <row collapsed="false" customFormat="false" customHeight="false" hidden="false" ht="12.1" outlineLevel="0" r="7426">
      <c r="A7426" s="3" t="s">
        <f>=HYPERLINK("https://mp39851918.megaplan.ua/deals/131715/card/","22510")</f>
      </c>
      <c r="B7426" s="3" t="inlineStr">
        <is>
          <t>112-5505331-5446600</t>
        </is>
      </c>
      <c r="C7426" s="3" t="inlineStr">
        <is>
          <t>RockyMountain</t>
        </is>
      </c>
    </row>
    <row collapsed="false" customFormat="false" customHeight="false" hidden="false" ht="12.1" outlineLevel="0" r="7427">
      <c r="A7427" s="3" t="s">
        <f>=HYPERLINK("https://mp39851918.megaplan.ua/deals/131729/card/","22513")</f>
      </c>
      <c r="B7427" s="3" t="inlineStr">
        <is>
          <t>111-3166924-7859465</t>
        </is>
      </c>
      <c r="C7427" s="3" t="inlineStr">
        <is>
          <t>RockyMountain</t>
        </is>
      </c>
    </row>
    <row collapsed="false" customFormat="false" customHeight="false" hidden="false" ht="12.1" outlineLevel="0" r="7428">
      <c r="A7428" s="3" t="s">
        <f>=HYPERLINK("https://mp39851918.megaplan.ua/deals/131732/card/","22514")</f>
      </c>
      <c r="B7428" s="3" t="inlineStr">
        <is>
          <t>112-9562741-1118636</t>
        </is>
      </c>
      <c r="C7428" s="3" t="inlineStr">
        <is>
          <t>Autodist</t>
        </is>
      </c>
    </row>
    <row collapsed="false" customFormat="false" customHeight="false" hidden="false" ht="12.1" outlineLevel="0" r="7429">
      <c r="A7429" s="3" t="s">
        <f>=HYPERLINK("https://mp39851918.megaplan.ua/deals/131738/card/","22516")</f>
      </c>
      <c r="B7429" s="3" t="inlineStr">
        <is>
          <t>112-0716702-8736261</t>
        </is>
      </c>
      <c r="C7429" s="3" t="inlineStr">
        <is>
          <t>PartsUnlimited</t>
        </is>
      </c>
    </row>
    <row collapsed="false" customFormat="false" customHeight="false" hidden="false" ht="12.1" outlineLevel="0" r="7430">
      <c r="A7430" s="3" t="s">
        <f>=HYPERLINK("https://mp39851918.megaplan.ua/deals/131741/card/","22517")</f>
      </c>
      <c r="B7430" s="3" t="inlineStr">
        <is>
          <t>114-4632204-0150603</t>
        </is>
      </c>
      <c r="C7430" s="3" t="inlineStr">
        <is>
          <t>RockyMountain</t>
        </is>
      </c>
    </row>
    <row collapsed="false" customFormat="false" customHeight="false" hidden="false" ht="12.1" outlineLevel="0" r="7431">
      <c r="A7431" s="3" t="s">
        <f>=HYPERLINK("https://mp39851918.megaplan.ua/deals/131744/card/","22518")</f>
      </c>
      <c r="B7431" s="3" t="inlineStr">
        <is>
          <t>113-3802262-8906640</t>
        </is>
      </c>
      <c r="C7431" s="3" t="inlineStr">
        <is>
          <t>Autodist</t>
        </is>
      </c>
    </row>
    <row collapsed="false" customFormat="false" customHeight="false" hidden="false" ht="12.1" outlineLevel="0" r="7432">
      <c r="A7432" s="3" t="s">
        <f>=HYPERLINK("https://mp39851918.megaplan.ua/deals/131753/card/","22519")</f>
      </c>
      <c r="B7432" s="3" t="inlineStr">
        <is>
          <t>112-3073916-3517840</t>
        </is>
      </c>
      <c r="C7432" s="3" t="inlineStr">
        <is>
          <t>Autodist</t>
        </is>
      </c>
    </row>
    <row collapsed="false" customFormat="false" customHeight="false" hidden="false" ht="12.1" outlineLevel="0" r="7433">
      <c r="A7433" s="3" t="s">
        <f>=HYPERLINK("https://mp39851918.megaplan.ua/deals/131757/card/","22520")</f>
      </c>
      <c r="B7433" s="3" t="inlineStr">
        <is>
          <t>111-8952767-4596261</t>
        </is>
      </c>
      <c r="C7433" s="3" t="inlineStr">
        <is>
          <t>PartsUnlimited</t>
        </is>
      </c>
    </row>
    <row collapsed="false" customFormat="false" customHeight="false" hidden="false" ht="12.1" outlineLevel="0" r="7434">
      <c r="A7434" s="3" t="s">
        <f>=HYPERLINK("https://mp39851918.megaplan.ua/deals/131760/card/","22521")</f>
      </c>
      <c r="B7434" s="3" t="inlineStr">
        <is>
          <t>113-3057807-1085013</t>
        </is>
      </c>
      <c r="C7434" s="3" t="inlineStr">
        <is>
          <t>RockyMountain</t>
        </is>
      </c>
    </row>
    <row collapsed="false" customFormat="false" customHeight="false" hidden="false" ht="12.1" outlineLevel="0" r="7435">
      <c r="A7435" s="3" t="s">
        <f>=HYPERLINK("https://mp39851918.megaplan.ua/deals/131774/card/","22523")</f>
      </c>
      <c r="B7435" s="3" t="inlineStr">
        <is>
          <t>113-0272941-9646628</t>
        </is>
      </c>
      <c r="C7435" s="3" t="inlineStr">
        <is>
          <t>PartsUnlimited</t>
        </is>
      </c>
    </row>
    <row collapsed="false" customFormat="false" customHeight="false" hidden="false" ht="12.1" outlineLevel="0" r="7436">
      <c r="A7436" s="3" t="s">
        <f>=HYPERLINK("https://mp39851918.megaplan.ua/deals/131775/card/","22524")</f>
      </c>
      <c r="B7436" s="3" t="inlineStr">
        <is>
          <t>114-1579411-9797857</t>
        </is>
      </c>
      <c r="C7436" s="3" t="inlineStr">
        <is>
          <t>TuckerRocky</t>
        </is>
      </c>
    </row>
    <row collapsed="false" customFormat="false" customHeight="false" hidden="false" ht="12.1" outlineLevel="0" r="7437">
      <c r="A7437" s="3" t="s">
        <f>=HYPERLINK("https://mp39851918.megaplan.ua/deals/131785/card/","22526")</f>
      </c>
      <c r="B7437" s="3" t="inlineStr">
        <is>
          <t>114-0679023-0405010</t>
        </is>
      </c>
      <c r="C7437" s="3" t="inlineStr">
        <is>
          <t>TuckerRocky</t>
        </is>
      </c>
    </row>
    <row collapsed="false" customFormat="false" customHeight="false" hidden="false" ht="12.1" outlineLevel="0" r="7438">
      <c r="A7438" s="3" t="s">
        <f>=HYPERLINK("https://mp39851918.megaplan.ua/deals/131790/card/","22527")</f>
      </c>
      <c r="B7438" s="3" t="inlineStr">
        <is>
          <t>112-3712594-7229007</t>
        </is>
      </c>
      <c r="C7438" s="3" t="inlineStr">
        <is>
          <t>RockyMountain</t>
        </is>
      </c>
    </row>
    <row collapsed="false" customFormat="false" customHeight="false" hidden="false" ht="12.1" outlineLevel="0" r="7439">
      <c r="A7439" s="3" t="s">
        <f>=HYPERLINK("https://mp39851918.megaplan.ua/deals/131796/card/","22528")</f>
      </c>
      <c r="B7439" s="3" t="inlineStr">
        <is>
          <t>111-8330758-6904249</t>
        </is>
      </c>
      <c r="C7439" s="3" t="inlineStr">
        <is>
          <t>RockyMountain</t>
        </is>
      </c>
    </row>
    <row collapsed="false" customFormat="false" customHeight="false" hidden="false" ht="12.1" outlineLevel="0" r="7440">
      <c r="A7440" s="3" t="s">
        <f>=HYPERLINK("https://mp39851918.megaplan.ua/deals/131797/card/","22529")</f>
      </c>
      <c r="B7440" s="3" t="inlineStr">
        <is>
          <t>111-0579639-0545069</t>
        </is>
      </c>
      <c r="C7440" s="3" t="inlineStr">
        <is>
          <t>Autodist</t>
        </is>
      </c>
    </row>
    <row collapsed="false" customFormat="false" customHeight="false" hidden="false" ht="12.1" outlineLevel="0" r="7441">
      <c r="A7441" s="3" t="s">
        <f>=HYPERLINK("https://mp39851918.megaplan.ua/deals/131800/card/","22530")</f>
      </c>
      <c r="B7441" s="3" t="inlineStr">
        <is>
          <t>114-0931764-2189826</t>
        </is>
      </c>
      <c r="C7441" s="3" t="inlineStr">
        <is>
          <t>PartsUnlimited</t>
        </is>
      </c>
    </row>
    <row collapsed="false" customFormat="false" customHeight="false" hidden="false" ht="12.1" outlineLevel="0" r="7442">
      <c r="A7442" s="3" t="s">
        <f>=HYPERLINK("https://mp39851918.megaplan.ua/deals/131801/card/","22531")</f>
      </c>
      <c r="B7442" s="3" t="inlineStr">
        <is>
          <t>113-4867668-3148231</t>
        </is>
      </c>
      <c r="C7442" s="3" t="inlineStr">
        <is>
          <t>TuckerRocky</t>
        </is>
      </c>
    </row>
    <row collapsed="false" customFormat="false" customHeight="false" hidden="false" ht="12.1" outlineLevel="0" r="7443">
      <c r="A7443" s="3" t="s">
        <f>=HYPERLINK("https://mp39851918.megaplan.ua/deals/131812/card/","22532")</f>
      </c>
      <c r="B7443" s="3" t="inlineStr">
        <is>
          <t>111-6661291-3848235</t>
        </is>
      </c>
      <c r="C7443" s="3" t="inlineStr">
        <is>
          <t>RockyMountain</t>
        </is>
      </c>
    </row>
    <row collapsed="false" customFormat="false" customHeight="false" hidden="false" ht="12.1" outlineLevel="0" r="7444">
      <c r="A7444" s="3" t="s">
        <f>=HYPERLINK("https://mp39851918.megaplan.ua/deals/131816/card/","22534")</f>
      </c>
      <c r="B7444" s="3" t="inlineStr">
        <is>
          <t>114-0913092-5181000</t>
        </is>
      </c>
      <c r="C7444" s="3" t="inlineStr">
        <is>
          <t>RockyMountain</t>
        </is>
      </c>
    </row>
    <row collapsed="false" customFormat="false" customHeight="false" hidden="false" ht="12.1" outlineLevel="0" r="7445">
      <c r="A7445" s="3" t="s">
        <f>=HYPERLINK("https://mp39851918.megaplan.ua/deals/131817/card/","22535")</f>
      </c>
      <c r="B7445" s="3" t="inlineStr">
        <is>
          <t>114-6806760-2223457</t>
        </is>
      </c>
      <c r="C7445" s="3" t="inlineStr">
        <is>
          <t>Autodist</t>
        </is>
      </c>
    </row>
    <row collapsed="false" customFormat="false" customHeight="false" hidden="false" ht="12.1" outlineLevel="0" r="7446">
      <c r="A7446" s="3" t="s">
        <f>=HYPERLINK("https://mp39851918.megaplan.ua/deals/131824/card/","22538")</f>
      </c>
      <c r="B7446" s="3" t="inlineStr">
        <is>
          <t>113-4153836-3316269</t>
        </is>
      </c>
      <c r="C7446" s="3" t="inlineStr">
        <is>
          <t>TuckerRocky</t>
        </is>
      </c>
    </row>
    <row collapsed="false" customFormat="false" customHeight="false" hidden="false" ht="12.1" outlineLevel="0" r="7447">
      <c r="A7447" s="3" t="s">
        <f>=HYPERLINK("https://mp39851918.megaplan.ua/deals/131832/card/","22539")</f>
      </c>
      <c r="B7447" s="3" t="inlineStr">
        <is>
          <t>114-6976348-3946648</t>
        </is>
      </c>
      <c r="C7447" s="3" t="inlineStr">
        <is>
          <t>TuckerRocky</t>
        </is>
      </c>
    </row>
    <row collapsed="false" customFormat="false" customHeight="false" hidden="false" ht="12.1" outlineLevel="0" r="7448">
      <c r="A7448" s="3" t="s">
        <f>=HYPERLINK("https://mp39851918.megaplan.ua/deals/131837/card/","22540")</f>
      </c>
      <c r="B7448" s="3" t="inlineStr">
        <is>
          <t>111-9497514-9920268</t>
        </is>
      </c>
      <c r="C7448" s="3" t="inlineStr">
        <is>
          <t>PartsUnlimited</t>
        </is>
      </c>
    </row>
    <row collapsed="false" customFormat="false" customHeight="false" hidden="false" ht="12.1" outlineLevel="0" r="7449">
      <c r="A7449" s="3" t="s">
        <f>=HYPERLINK("https://mp39851918.megaplan.ua/deals/131838/card/","22541")</f>
      </c>
      <c r="B7449" s="3" t="inlineStr">
        <is>
          <t>114-9687419-1823467</t>
        </is>
      </c>
      <c r="C7449" s="3" t="inlineStr">
        <is>
          <t>PartsUnlimited</t>
        </is>
      </c>
    </row>
    <row collapsed="false" customFormat="false" customHeight="false" hidden="false" ht="12.1" outlineLevel="0" r="7450">
      <c r="A7450" s="3" t="s">
        <f>=HYPERLINK("https://mp39851918.megaplan.ua/deals/131851/card/","22542")</f>
      </c>
      <c r="B7450" s="3" t="inlineStr">
        <is>
          <t>114-1991125-3229838</t>
        </is>
      </c>
      <c r="C7450" s="3" t="inlineStr">
        <is>
          <t>TuckerRocky</t>
        </is>
      </c>
    </row>
    <row collapsed="false" customFormat="false" customHeight="false" hidden="false" ht="12.1" outlineLevel="0" r="7451">
      <c r="A7451" s="3" t="s">
        <f>=HYPERLINK("https://mp39851918.megaplan.ua/deals/131855/card/","22543")</f>
      </c>
      <c r="B7451" s="3" t="inlineStr">
        <is>
          <t>112-8217963-0433001</t>
        </is>
      </c>
      <c r="C7451" s="3" t="inlineStr">
        <is>
          <t>PartsUnlimited</t>
        </is>
      </c>
    </row>
    <row collapsed="false" customFormat="false" customHeight="false" hidden="false" ht="12.1" outlineLevel="0" r="7452">
      <c r="A7452" s="3" t="s">
        <f>=HYPERLINK("https://mp39851918.megaplan.ua/deals/131856/card/","22544")</f>
      </c>
      <c r="B7452" s="3" t="inlineStr">
        <is>
          <t>114-5035928-0485820</t>
        </is>
      </c>
      <c r="C7452" s="3" t="inlineStr">
        <is>
          <t>PartsUnlimited</t>
        </is>
      </c>
    </row>
    <row collapsed="false" customFormat="false" customHeight="false" hidden="false" ht="12.1" outlineLevel="0" r="7453">
      <c r="A7453" s="3" t="s">
        <f>=HYPERLINK("https://mp39851918.megaplan.ua/deals/131859/card/","22545")</f>
      </c>
      <c r="B7453" s="3" t="inlineStr">
        <is>
          <t>113-1156386-2069003</t>
        </is>
      </c>
      <c r="C7453" s="3" t="inlineStr">
        <is>
          <t>PartsUnlimited</t>
        </is>
      </c>
    </row>
    <row collapsed="false" customFormat="false" customHeight="false" hidden="false" ht="12.1" outlineLevel="0" r="7454">
      <c r="A7454" s="3" t="s">
        <f>=HYPERLINK("https://mp39851918.megaplan.ua/deals/131860/card/","22546")</f>
      </c>
      <c r="B7454" s="3" t="inlineStr">
        <is>
          <t>111-1014536-0737040</t>
        </is>
      </c>
      <c r="C7454" s="3" t="inlineStr">
        <is>
          <t>RockyMountain</t>
        </is>
      </c>
    </row>
    <row collapsed="false" customFormat="false" customHeight="false" hidden="false" ht="12.1" outlineLevel="0" r="7455">
      <c r="A7455" s="3" t="s">
        <f>=HYPERLINK("https://mp39851918.megaplan.ua/deals/131867/card/","22547")</f>
      </c>
      <c r="B7455" s="3" t="inlineStr">
        <is>
          <t>112-9646031-6617818</t>
        </is>
      </c>
      <c r="C7455" s="3" t="inlineStr">
        <is>
          <t>RockyMountain</t>
        </is>
      </c>
    </row>
    <row collapsed="false" customFormat="false" customHeight="false" hidden="false" ht="12.1" outlineLevel="0" r="7456">
      <c r="A7456" s="3" t="s">
        <f>=HYPERLINK("https://mp39851918.megaplan.ua/deals/131868/card/","22548")</f>
      </c>
      <c r="B7456" s="3" t="inlineStr">
        <is>
          <t>114-2567457-7370661</t>
        </is>
      </c>
      <c r="C7456" s="3" t="inlineStr">
        <is>
          <t>PartsUnlimited</t>
        </is>
      </c>
    </row>
    <row collapsed="false" customFormat="false" customHeight="false" hidden="false" ht="12.1" outlineLevel="0" r="7457">
      <c r="A7457" s="3" t="s">
        <f>=HYPERLINK("https://mp39851918.megaplan.ua/deals/131884/card/","22549")</f>
      </c>
      <c r="B7457" s="3" t="inlineStr">
        <is>
          <t>114-8674535-3688203</t>
        </is>
      </c>
      <c r="C7457" s="3" t="inlineStr">
        <is>
          <t>RockyMountain</t>
        </is>
      </c>
    </row>
    <row collapsed="false" customFormat="false" customHeight="false" hidden="false" ht="12.1" outlineLevel="0" r="7458">
      <c r="A7458" s="3" t="s">
        <f>=HYPERLINK("https://mp39851918.megaplan.ua/deals/131891/card/","22550")</f>
      </c>
      <c r="B7458" s="3" t="inlineStr">
        <is>
          <t>112-4544451-2429010</t>
        </is>
      </c>
      <c r="C7458" s="3" t="inlineStr">
        <is>
          <t>Autodist</t>
        </is>
      </c>
    </row>
    <row collapsed="false" customFormat="false" customHeight="false" hidden="false" ht="12.1" outlineLevel="0" r="7459">
      <c r="A7459" s="3" t="s">
        <f>=HYPERLINK("https://mp39851918.megaplan.ua/deals/131894/card/","22551")</f>
      </c>
      <c r="B7459" s="3" t="inlineStr">
        <is>
          <t>111-4571862-9755410</t>
        </is>
      </c>
      <c r="C7459" s="3" t="inlineStr">
        <is>
          <t>PartsUnlimited</t>
        </is>
      </c>
    </row>
    <row collapsed="false" customFormat="false" customHeight="false" hidden="false" ht="12.1" outlineLevel="0" r="7460">
      <c r="A7460" s="3" t="s">
        <f>=HYPERLINK("https://mp39851918.megaplan.ua/deals/131895/card/","22552")</f>
      </c>
      <c r="B7460" s="3" t="inlineStr">
        <is>
          <t>113-0522673-4318605</t>
        </is>
      </c>
      <c r="C7460" s="3" t="inlineStr">
        <is>
          <t>PartsUnlimited</t>
        </is>
      </c>
    </row>
    <row collapsed="false" customFormat="false" customHeight="false" hidden="false" ht="12.1" outlineLevel="0" r="7461">
      <c r="A7461" s="3" t="s">
        <f>=HYPERLINK("https://mp39851918.megaplan.ua/deals/131901/card/","22553")</f>
      </c>
      <c r="B7461" s="3" t="inlineStr">
        <is>
          <t>113-9022064-4628247</t>
        </is>
      </c>
      <c r="C7461" s="3" t="inlineStr">
        <is>
          <t>PartsUnlimited</t>
        </is>
      </c>
    </row>
    <row collapsed="false" customFormat="false" customHeight="false" hidden="false" ht="12.1" outlineLevel="0" r="7462">
      <c r="A7462" s="3" t="s">
        <f>=HYPERLINK("https://mp39851918.megaplan.ua/deals/131906/card/","22554")</f>
      </c>
      <c r="B7462" s="3" t="inlineStr">
        <is>
          <t>111-8330939-1919403</t>
        </is>
      </c>
      <c r="C7462" s="3" t="inlineStr">
        <is>
          <t>RockyMountain</t>
        </is>
      </c>
    </row>
    <row collapsed="false" customFormat="false" customHeight="false" hidden="false" ht="12.1" outlineLevel="0" r="7463">
      <c r="A7463" s="3" t="s">
        <f>=HYPERLINK("https://mp39851918.megaplan.ua/deals/131913/card/","22555")</f>
      </c>
      <c r="B7463" s="3" t="inlineStr">
        <is>
          <t>113-0173249-3829035</t>
        </is>
      </c>
      <c r="C7463" s="3" t="inlineStr">
        <is>
          <t>RockyMountain</t>
        </is>
      </c>
    </row>
    <row collapsed="false" customFormat="false" customHeight="false" hidden="false" ht="12.1" outlineLevel="0" r="7464">
      <c r="A7464" s="3" t="s">
        <f>=HYPERLINK("https://mp39851918.megaplan.ua/deals/131935/card/","22558")</f>
      </c>
      <c r="B7464" s="3" t="inlineStr">
        <is>
          <t>111-4448741-8660215</t>
        </is>
      </c>
      <c r="C7464" s="3" t="inlineStr">
        <is>
          <t>TuckerRocky</t>
        </is>
      </c>
    </row>
    <row collapsed="false" customFormat="false" customHeight="false" hidden="false" ht="12.1" outlineLevel="0" r="7465">
      <c r="A7465" s="3" t="s">
        <f>=HYPERLINK("https://mp39851918.megaplan.ua/deals/131940/card/","22559")</f>
      </c>
      <c r="B7465" s="3" t="inlineStr">
        <is>
          <t>113-3646545-5726623</t>
        </is>
      </c>
      <c r="C7465" s="3" t="inlineStr">
        <is>
          <t>RockyMountain</t>
        </is>
      </c>
    </row>
    <row collapsed="false" customFormat="false" customHeight="false" hidden="false" ht="12.1" outlineLevel="0" r="7466">
      <c r="A7466" s="3" t="s">
        <f>=HYPERLINK("https://mp39851918.megaplan.ua/deals/131944/card/","22560")</f>
      </c>
      <c r="B7466" s="3" t="inlineStr">
        <is>
          <t>114-7315010-7534627</t>
        </is>
      </c>
      <c r="C7466" s="3" t="inlineStr">
        <is>
          <t>TuckerRocky</t>
        </is>
      </c>
    </row>
    <row collapsed="false" customFormat="false" customHeight="false" hidden="false" ht="12.1" outlineLevel="0" r="7467">
      <c r="A7467" s="3" t="s">
        <f>=HYPERLINK("https://mp39851918.megaplan.ua/deals/131949/card/","22561")</f>
      </c>
      <c r="B7467" s="3" t="inlineStr">
        <is>
          <t>113-1988593-8831413</t>
        </is>
      </c>
      <c r="C7467" s="3" t="inlineStr">
        <is>
          <t>Autodist</t>
        </is>
      </c>
    </row>
    <row collapsed="false" customFormat="false" customHeight="false" hidden="false" ht="12.1" outlineLevel="0" r="7468">
      <c r="A7468" s="3" t="s">
        <f>=HYPERLINK("https://mp39851918.megaplan.ua/deals/131965/card/","22562")</f>
      </c>
      <c r="B7468" s="3" t="inlineStr">
        <is>
          <t>111-1821602-4909815</t>
        </is>
      </c>
      <c r="C7468" s="3" t="inlineStr">
        <is>
          <t>RockyMountain</t>
        </is>
      </c>
    </row>
    <row collapsed="false" customFormat="false" customHeight="false" hidden="false" ht="12.1" outlineLevel="0" r="7469">
      <c r="A7469" s="3" t="s">
        <f>=HYPERLINK("https://mp39851918.megaplan.ua/deals/131968/card/","22563")</f>
      </c>
      <c r="B7469" s="3" t="inlineStr">
        <is>
          <t>112-0533903-6561808</t>
        </is>
      </c>
      <c r="C7469" s="3" t="inlineStr">
        <is>
          <t>RockyMountain</t>
        </is>
      </c>
    </row>
    <row collapsed="false" customFormat="false" customHeight="false" hidden="false" ht="12.1" outlineLevel="0" r="7470">
      <c r="A7470" s="3" t="s">
        <f>=HYPERLINK("https://mp39851918.megaplan.ua/deals/131969/card/","22564")</f>
      </c>
      <c r="B7470" s="3" t="inlineStr">
        <is>
          <t>114-7071383-5237036</t>
        </is>
      </c>
      <c r="C7470" s="3" t="inlineStr">
        <is>
          <t>RockyMountain</t>
        </is>
      </c>
    </row>
    <row collapsed="false" customFormat="false" customHeight="false" hidden="false" ht="12.1" outlineLevel="0" r="7471">
      <c r="A7471" s="3" t="s">
        <f>=HYPERLINK("https://mp39851918.megaplan.ua/deals/131972/card/","22565")</f>
      </c>
      <c r="B7471" s="3" t="inlineStr">
        <is>
          <t>111-6906342-6805001</t>
        </is>
      </c>
      <c r="C7471" s="3" t="inlineStr">
        <is>
          <t>RockyMountain</t>
        </is>
      </c>
    </row>
    <row collapsed="false" customFormat="false" customHeight="false" hidden="false" ht="12.1" outlineLevel="0" r="7472">
      <c r="A7472" s="3" t="s">
        <f>=HYPERLINK("https://mp39851918.megaplan.ua/deals/131974/card/","22566")</f>
      </c>
      <c r="B7472" s="3" t="inlineStr">
        <is>
          <t>114-4930747-5285847</t>
        </is>
      </c>
      <c r="C7472" s="3" t="inlineStr">
        <is>
          <t>PartsUnlimited</t>
        </is>
      </c>
    </row>
    <row collapsed="false" customFormat="false" customHeight="false" hidden="false" ht="12.1" outlineLevel="0" r="7473">
      <c r="A7473" s="3" t="s">
        <f>=HYPERLINK("https://mp39851918.megaplan.ua/deals/131978/card/","22567")</f>
      </c>
      <c r="B7473" s="3" t="inlineStr">
        <is>
          <t>113-6879602-5694611</t>
        </is>
      </c>
      <c r="C7473" s="3" t="inlineStr">
        <is>
          <t>RockyMountain</t>
        </is>
      </c>
    </row>
    <row collapsed="false" customFormat="false" customHeight="false" hidden="false" ht="12.1" outlineLevel="0" r="7474">
      <c r="A7474" s="3" t="s">
        <f>=HYPERLINK("https://mp39851918.megaplan.ua/deals/131982/card/","22568")</f>
      </c>
      <c r="B7474" s="3" t="inlineStr">
        <is>
          <t>113-5148246-0106635</t>
        </is>
      </c>
      <c r="C7474" s="3" t="inlineStr">
        <is>
          <t>TuckerRocky</t>
        </is>
      </c>
    </row>
    <row collapsed="false" customFormat="false" customHeight="false" hidden="false" ht="12.1" outlineLevel="0" r="7475">
      <c r="A7475" s="3" t="s">
        <f>=HYPERLINK("https://mp39851918.megaplan.ua/deals/131984/card/","22569")</f>
      </c>
      <c r="B7475" s="3" t="inlineStr">
        <is>
          <t>112-3419094-5045800</t>
        </is>
      </c>
      <c r="C7475" s="3" t="inlineStr">
        <is>
          <t>RockyMountain</t>
        </is>
      </c>
    </row>
    <row collapsed="false" customFormat="false" customHeight="false" hidden="false" ht="12.1" outlineLevel="0" r="7476">
      <c r="A7476" s="3" t="s">
        <f>=HYPERLINK("https://mp39851918.megaplan.ua/deals/131985/card/","22570")</f>
      </c>
      <c r="B7476" s="3" t="inlineStr">
        <is>
          <t>114-0993671-5051410</t>
        </is>
      </c>
      <c r="C7476" s="3" t="inlineStr">
        <is>
          <t>PartsUnlimited</t>
        </is>
      </c>
    </row>
    <row collapsed="false" customFormat="false" customHeight="false" hidden="false" ht="12.1" outlineLevel="0" r="7477">
      <c r="A7477" s="3" t="s">
        <f>=HYPERLINK("https://mp39851918.megaplan.ua/deals/132000/card/","22571")</f>
      </c>
      <c r="B7477" s="3" t="inlineStr">
        <is>
          <t>112-8273491-2916259</t>
        </is>
      </c>
      <c r="C7477" s="3" t="inlineStr">
        <is>
          <t>RockyMountain</t>
        </is>
      </c>
    </row>
    <row collapsed="false" customFormat="false" customHeight="false" hidden="false" ht="12.1" outlineLevel="0" r="7478">
      <c r="A7478" s="3" t="s">
        <f>=HYPERLINK("https://mp39851918.megaplan.ua/deals/132014/card/","22574")</f>
      </c>
      <c r="B7478" s="3" t="inlineStr">
        <is>
          <t>111-5140535-0108204</t>
        </is>
      </c>
      <c r="C7478" s="3" t="inlineStr">
        <is>
          <t>RockyMountain</t>
        </is>
      </c>
    </row>
    <row collapsed="false" customFormat="false" customHeight="false" hidden="false" ht="12.1" outlineLevel="0" r="7479">
      <c r="A7479" s="3" t="s">
        <f>=HYPERLINK("https://mp39851918.megaplan.ua/deals/132018/card/","22575")</f>
      </c>
      <c r="B7479" s="3" t="inlineStr">
        <is>
          <t>111-6514272-8975418</t>
        </is>
      </c>
      <c r="C7479" s="3" t="inlineStr">
        <is>
          <t>PartsUnlimited</t>
        </is>
      </c>
    </row>
    <row collapsed="false" customFormat="false" customHeight="false" hidden="false" ht="12.1" outlineLevel="0" r="7480">
      <c r="A7480" s="3" t="s">
        <f>=HYPERLINK("https://mp39851918.megaplan.ua/deals/132021/card/","22576")</f>
      </c>
      <c r="B7480" s="3" t="inlineStr">
        <is>
          <t>112-7300056-7206617</t>
        </is>
      </c>
      <c r="C7480" s="3" t="inlineStr">
        <is>
          <t>Autodist</t>
        </is>
      </c>
    </row>
    <row collapsed="false" customFormat="false" customHeight="false" hidden="false" ht="12.1" outlineLevel="0" r="7481">
      <c r="A7481" s="3" t="s">
        <f>=HYPERLINK("https://mp39851918.megaplan.ua/deals/132032/card/","22578")</f>
      </c>
      <c r="B7481" s="3" t="inlineStr">
        <is>
          <t>111-9406010-0207415</t>
        </is>
      </c>
      <c r="C7481" s="3" t="inlineStr">
        <is>
          <t>Autodist</t>
        </is>
      </c>
    </row>
    <row collapsed="false" customFormat="false" customHeight="false" hidden="false" ht="12.1" outlineLevel="0" r="7482">
      <c r="A7482" s="3" t="s">
        <f>=HYPERLINK("https://mp39851918.megaplan.ua/deals/132052/card/","22580")</f>
      </c>
      <c r="B7482" s="3" t="inlineStr">
        <is>
          <t>113-2472744-5445819</t>
        </is>
      </c>
      <c r="C7482" s="3" t="inlineStr">
        <is>
          <t>RockyMountain</t>
        </is>
      </c>
    </row>
    <row collapsed="false" customFormat="false" customHeight="false" hidden="false" ht="12.1" outlineLevel="0" r="7483">
      <c r="A7483" s="3" t="s">
        <f>=HYPERLINK("https://mp39851918.megaplan.ua/deals/132053/card/","22581")</f>
      </c>
      <c r="B7483" s="3" t="inlineStr">
        <is>
          <t>111-7282818-1545019</t>
        </is>
      </c>
      <c r="C7483" s="3" t="inlineStr">
        <is>
          <t>Autodist</t>
        </is>
      </c>
    </row>
    <row collapsed="false" customFormat="false" customHeight="false" hidden="false" ht="12.1" outlineLevel="0" r="7484">
      <c r="A7484" s="3" t="s">
        <f>=HYPERLINK("https://mp39851918.megaplan.ua/deals/132068/card/","22582")</f>
      </c>
      <c r="B7484" s="3" t="inlineStr">
        <is>
          <t>114-4623257-6865805</t>
        </is>
      </c>
      <c r="C7484" s="3" t="inlineStr">
        <is>
          <t>Autodist</t>
        </is>
      </c>
    </row>
    <row collapsed="false" customFormat="false" customHeight="false" hidden="false" ht="12.1" outlineLevel="0" r="7485">
      <c r="A7485" s="3" t="s">
        <f>=HYPERLINK("https://mp39851918.megaplan.ua/deals/132088/card/","22583")</f>
      </c>
      <c r="B7485" s="3" t="inlineStr">
        <is>
          <t>112-7544761-9689851</t>
        </is>
      </c>
      <c r="C7485" s="3" t="inlineStr">
        <is>
          <t>RockyMountain</t>
        </is>
      </c>
    </row>
    <row collapsed="false" customFormat="false" customHeight="false" hidden="false" ht="12.1" outlineLevel="0" r="7486">
      <c r="A7486" s="3" t="s">
        <f>=HYPERLINK("https://mp39851918.megaplan.ua/deals/132089/card/","22584")</f>
      </c>
      <c r="B7486" s="3" t="inlineStr">
        <is>
          <t>113-2751267-4368243</t>
        </is>
      </c>
      <c r="C7486" s="3" t="inlineStr">
        <is>
          <t>PartsUnlimited</t>
        </is>
      </c>
    </row>
    <row collapsed="false" customFormat="false" customHeight="false" hidden="false" ht="12.1" outlineLevel="0" r="7487">
      <c r="A7487" s="3" t="s">
        <f>=HYPERLINK("https://mp39851918.megaplan.ua/deals/132096/card/","22585")</f>
      </c>
      <c r="B7487" s="3" t="inlineStr">
        <is>
          <t>113-8747501-7493825</t>
        </is>
      </c>
      <c r="C7487" s="3" t="inlineStr">
        <is>
          <t>PartsUnlimited</t>
        </is>
      </c>
    </row>
    <row collapsed="false" customFormat="false" customHeight="false" hidden="false" ht="12.1" outlineLevel="0" r="7488">
      <c r="A7488" s="3" t="s">
        <f>=HYPERLINK("https://mp39851918.megaplan.ua/deals/132099/card/","22586")</f>
      </c>
      <c r="B7488" s="3" t="inlineStr">
        <is>
          <t>114-3742100-3137820</t>
        </is>
      </c>
      <c r="C7488" s="3" t="inlineStr">
        <is>
          <t>RockyMountain</t>
        </is>
      </c>
    </row>
    <row collapsed="false" customFormat="false" customHeight="false" hidden="false" ht="12.1" outlineLevel="0" r="7489">
      <c r="A7489" s="3" t="s">
        <f>=HYPERLINK("https://mp39851918.megaplan.ua/deals/132105/card/","22587")</f>
      </c>
      <c r="B7489" s="3" t="inlineStr">
        <is>
          <t>111-5064347-2645053</t>
        </is>
      </c>
      <c r="C7489" s="3" t="inlineStr">
        <is>
          <t>Autodist</t>
        </is>
      </c>
    </row>
    <row collapsed="false" customFormat="false" customHeight="false" hidden="false" ht="12.1" outlineLevel="0" r="7490">
      <c r="A7490" s="3" t="s">
        <f>=HYPERLINK("https://mp39851918.megaplan.ua/deals/132111/card/","22589")</f>
      </c>
      <c r="B7490" s="3" t="inlineStr">
        <is>
          <t>111-1476686-6325858</t>
        </is>
      </c>
      <c r="C7490" s="3" t="inlineStr">
        <is>
          <t>TuckerRocky</t>
        </is>
      </c>
    </row>
    <row collapsed="false" customFormat="false" customHeight="false" hidden="false" ht="12.1" outlineLevel="0" r="7491">
      <c r="A7491" s="3" t="s">
        <f>=HYPERLINK("https://mp39851918.megaplan.ua/deals/132112/card/","22590")</f>
      </c>
      <c r="B7491" s="3" t="inlineStr">
        <is>
          <t>114-9202752-3137055</t>
        </is>
      </c>
      <c r="C7491" s="3" t="inlineStr">
        <is>
          <t>TuckerRocky</t>
        </is>
      </c>
    </row>
    <row collapsed="false" customFormat="false" customHeight="false" hidden="false" ht="12.1" outlineLevel="0" r="7492">
      <c r="A7492" s="3" t="s">
        <f>=HYPERLINK("https://mp39851918.megaplan.ua/deals/132113/card/","22591")</f>
      </c>
      <c r="B7492" s="3" t="inlineStr">
        <is>
          <t>112-0701140-7873814</t>
        </is>
      </c>
      <c r="C7492" s="3" t="inlineStr">
        <is>
          <t>Autodist</t>
        </is>
      </c>
    </row>
    <row collapsed="false" customFormat="false" customHeight="false" hidden="false" ht="12.1" outlineLevel="0" r="7493">
      <c r="A7493" s="3" t="s">
        <f>=HYPERLINK("https://mp39851918.megaplan.ua/deals/132120/card/","22592")</f>
      </c>
      <c r="B7493" s="3" t="inlineStr">
        <is>
          <t>112-0563941-2565826</t>
        </is>
      </c>
      <c r="C7493" s="3" t="inlineStr">
        <is>
          <t>PartsUnlimited</t>
        </is>
      </c>
    </row>
    <row collapsed="false" customFormat="false" customHeight="false" hidden="false" ht="12.1" outlineLevel="0" r="7494">
      <c r="A7494" s="3" t="s">
        <f>=HYPERLINK("https://mp39851918.megaplan.ua/deals/132121/card/","22593")</f>
      </c>
      <c r="B7494" s="3" t="inlineStr">
        <is>
          <t>114-1182098-6697845</t>
        </is>
      </c>
      <c r="C7494" s="3" t="inlineStr">
        <is>
          <t>Autodist</t>
        </is>
      </c>
    </row>
    <row collapsed="false" customFormat="false" customHeight="false" hidden="false" ht="12.1" outlineLevel="0" r="7495">
      <c r="A7495" s="3" t="s">
        <f>=HYPERLINK("https://mp39851918.megaplan.ua/deals/132149/card/","22596")</f>
      </c>
      <c r="B7495" s="3" t="inlineStr">
        <is>
          <t>111-7939230-4073030</t>
        </is>
      </c>
      <c r="C7495" s="3" t="inlineStr">
        <is>
          <t>PartsUnlimited</t>
        </is>
      </c>
    </row>
    <row collapsed="false" customFormat="false" customHeight="false" hidden="false" ht="12.1" outlineLevel="0" r="7496">
      <c r="A7496" s="3" t="s">
        <f>=HYPERLINK("https://mp39851918.megaplan.ua/deals/132157/card/","22597")</f>
      </c>
      <c r="B7496" s="3" t="inlineStr">
        <is>
          <t>112-6906023-1277821</t>
        </is>
      </c>
      <c r="C7496" s="3" t="inlineStr">
        <is>
          <t>Autodist</t>
        </is>
      </c>
    </row>
    <row collapsed="false" customFormat="false" customHeight="false" hidden="false" ht="12.1" outlineLevel="0" r="7497">
      <c r="A7497" s="3" t="s">
        <f>=HYPERLINK("https://mp39851918.megaplan.ua/deals/132168/card/","22598")</f>
      </c>
      <c r="B7497" s="3" t="inlineStr">
        <is>
          <t>112-1481124-1129019</t>
        </is>
      </c>
      <c r="C7497" s="3" t="inlineStr">
        <is>
          <t>Autodist</t>
        </is>
      </c>
    </row>
    <row collapsed="false" customFormat="false" customHeight="false" hidden="false" ht="12.1" outlineLevel="0" r="7498">
      <c r="A7498" s="3" t="s">
        <f>=HYPERLINK("https://mp39851918.megaplan.ua/deals/132179/card/","22600")</f>
      </c>
      <c r="B7498" s="3" t="inlineStr">
        <is>
          <t>113-9708508-7560244</t>
        </is>
      </c>
      <c r="C7498" s="3" t="inlineStr">
        <is>
          <t>RockyMountain</t>
        </is>
      </c>
    </row>
    <row collapsed="false" customFormat="false" customHeight="false" hidden="false" ht="12.1" outlineLevel="0" r="7499">
      <c r="A7499" s="3" t="s">
        <f>=HYPERLINK("https://mp39851918.megaplan.ua/deals/132190/card/","22601")</f>
      </c>
      <c r="B7499" s="3" t="inlineStr">
        <is>
          <t>111-0732933-6055467</t>
        </is>
      </c>
      <c r="C7499" s="3" t="inlineStr">
        <is>
          <t>Autodist</t>
        </is>
      </c>
    </row>
    <row collapsed="false" customFormat="false" customHeight="false" hidden="false" ht="12.1" outlineLevel="0" r="7500">
      <c r="A7500" s="3" t="s">
        <f>=HYPERLINK("https://mp39851918.megaplan.ua/deals/132197/card/","22602")</f>
      </c>
      <c r="B7500" s="3" t="inlineStr">
        <is>
          <t>111-3609105-2688221</t>
        </is>
      </c>
      <c r="C7500" s="3" t="inlineStr">
        <is>
          <t>Autodist</t>
        </is>
      </c>
    </row>
    <row collapsed="false" customFormat="false" customHeight="false" hidden="false" ht="12.1" outlineLevel="0" r="7501">
      <c r="A7501" s="3" t="s">
        <f>=HYPERLINK("https://mp39851918.megaplan.ua/deals/132210/card/","22604")</f>
      </c>
      <c r="B7501" s="3" t="inlineStr">
        <is>
          <t>113-6617653-1667442</t>
        </is>
      </c>
      <c r="C7501" s="3" t="inlineStr">
        <is>
          <t>PartsUnlimited</t>
        </is>
      </c>
    </row>
    <row collapsed="false" customFormat="false" customHeight="false" hidden="false" ht="12.1" outlineLevel="0" r="7502">
      <c r="A7502" s="3" t="s">
        <f>=HYPERLINK("https://mp39851918.megaplan.ua/deals/132212/card/","22605")</f>
      </c>
      <c r="B7502" s="3" t="inlineStr">
        <is>
          <t>114-8212136-2239455</t>
        </is>
      </c>
      <c r="C7502" s="3" t="inlineStr">
        <is>
          <t>PartsUnlimited</t>
        </is>
      </c>
    </row>
    <row collapsed="false" customFormat="false" customHeight="false" hidden="false" ht="12.1" outlineLevel="0" r="7503">
      <c r="A7503" s="3" t="s">
        <f>=HYPERLINK("https://mp39851918.megaplan.ua/deals/132217/card/","22606")</f>
      </c>
      <c r="B7503" s="3" t="inlineStr">
        <is>
          <t>112-2281421-7747409</t>
        </is>
      </c>
      <c r="C7503" s="3" t="inlineStr">
        <is>
          <t>Autodist</t>
        </is>
      </c>
    </row>
    <row collapsed="false" customFormat="false" customHeight="false" hidden="false" ht="12.1" outlineLevel="0" r="7504">
      <c r="A7504" s="3" t="s">
        <f>=HYPERLINK("https://mp39851918.megaplan.ua/deals/132221/card/","22607")</f>
      </c>
      <c r="B7504" s="3" t="inlineStr">
        <is>
          <t>113-5880468-4301860</t>
        </is>
      </c>
      <c r="C7504" s="3" t="inlineStr">
        <is>
          <t>RockyMountain</t>
        </is>
      </c>
    </row>
    <row collapsed="false" customFormat="false" customHeight="false" hidden="false" ht="12.1" outlineLevel="0" r="7505">
      <c r="A7505" s="3" t="s">
        <f>=HYPERLINK("https://mp39851918.megaplan.ua/deals/132222/card/","22608")</f>
      </c>
      <c r="B7505" s="3" t="inlineStr">
        <is>
          <t>114-0602260-2381840</t>
        </is>
      </c>
      <c r="C7505" s="3" t="inlineStr">
        <is>
          <t>Autodist</t>
        </is>
      </c>
    </row>
    <row collapsed="false" customFormat="false" customHeight="false" hidden="false" ht="12.1" outlineLevel="0" r="7506">
      <c r="A7506" s="3" t="s">
        <f>=HYPERLINK("https://mp39851918.megaplan.ua/deals/132226/card/","22609")</f>
      </c>
      <c r="B7506" s="3" t="inlineStr">
        <is>
          <t>112-1287286-5941019</t>
        </is>
      </c>
      <c r="C7506" s="3" t="inlineStr">
        <is>
          <t>PartsUnlimited</t>
        </is>
      </c>
    </row>
    <row collapsed="false" customFormat="false" customHeight="false" hidden="false" ht="12.1" outlineLevel="0" r="7507">
      <c r="A7507" s="3" t="s">
        <f>=HYPERLINK("https://mp39851918.megaplan.ua/deals/132233/card/","22613")</f>
      </c>
      <c r="B7507" s="3" t="inlineStr">
        <is>
          <t>114-9724341-8675409</t>
        </is>
      </c>
      <c r="C7507" s="3" t="inlineStr">
        <is>
          <t>RockyMountain</t>
        </is>
      </c>
    </row>
    <row collapsed="false" customFormat="false" customHeight="false" hidden="false" ht="12.1" outlineLevel="0" r="7508">
      <c r="A7508" s="3" t="s">
        <f>=HYPERLINK("https://mp39851918.megaplan.ua/deals/132244/card/","22614")</f>
      </c>
      <c r="B7508" s="3" t="inlineStr">
        <is>
          <t>111-2016407-4489050</t>
        </is>
      </c>
      <c r="C7508" s="3" t="inlineStr">
        <is>
          <t>TuckerRocky</t>
        </is>
      </c>
    </row>
    <row collapsed="false" customFormat="false" customHeight="false" hidden="false" ht="12.1" outlineLevel="0" r="7509">
      <c r="A7509" s="3" t="s">
        <f>=HYPERLINK("https://mp39851918.megaplan.ua/deals/132247/card/","22615")</f>
      </c>
      <c r="B7509" s="3" t="inlineStr">
        <is>
          <t>113-6256954-7492209</t>
        </is>
      </c>
      <c r="C7509" s="3" t="inlineStr">
        <is>
          <t>TuckerRocky</t>
        </is>
      </c>
    </row>
    <row collapsed="false" customFormat="false" customHeight="false" hidden="false" ht="12.1" outlineLevel="0" r="7510">
      <c r="A7510" s="3" t="s">
        <f>=HYPERLINK("https://mp39851918.megaplan.ua/deals/132248/card/","22616")</f>
      </c>
      <c r="B7510" s="3" t="inlineStr">
        <is>
          <t>111-9618251-7019442</t>
        </is>
      </c>
      <c r="C7510" s="3" t="inlineStr">
        <is>
          <t>RockyMountain</t>
        </is>
      </c>
    </row>
    <row collapsed="false" customFormat="false" customHeight="false" hidden="false" ht="12.1" outlineLevel="0" r="7511">
      <c r="A7511" s="3" t="s">
        <f>=HYPERLINK("https://mp39851918.megaplan.ua/deals/132250/card/","22617")</f>
      </c>
      <c r="B7511" s="3" t="inlineStr">
        <is>
          <t>114-4749659-2644255</t>
        </is>
      </c>
      <c r="C7511" s="3" t="inlineStr">
        <is>
          <t>RockyMountain</t>
        </is>
      </c>
    </row>
    <row collapsed="false" customFormat="false" customHeight="false" hidden="false" ht="12.1" outlineLevel="0" r="7512">
      <c r="A7512" s="3" t="s">
        <f>=HYPERLINK("https://mp39851918.megaplan.ua/deals/132251/card/","22618")</f>
      </c>
      <c r="B7512" s="3" t="inlineStr">
        <is>
          <t>111-1634136-7429825</t>
        </is>
      </c>
      <c r="C7512" s="3" t="inlineStr">
        <is>
          <t>RockyMountain</t>
        </is>
      </c>
    </row>
    <row collapsed="false" customFormat="false" customHeight="false" hidden="false" ht="12.1" outlineLevel="0" r="7513">
      <c r="A7513" s="3" t="s">
        <f>=HYPERLINK("https://mp39851918.megaplan.ua/deals/132253/card/","22619")</f>
      </c>
      <c r="B7513" s="3" t="inlineStr">
        <is>
          <t>113-7562659-8344205</t>
        </is>
      </c>
      <c r="C7513" s="3" t="inlineStr">
        <is>
          <t>RockyMountain</t>
        </is>
      </c>
    </row>
    <row collapsed="false" customFormat="false" customHeight="false" hidden="false" ht="12.1" outlineLevel="0" r="7514">
      <c r="A7514" s="3" t="s">
        <f>=HYPERLINK("https://mp39851918.megaplan.ua/deals/132258/card/","22620")</f>
      </c>
      <c r="B7514" s="3" t="inlineStr">
        <is>
          <t>112-7594846-3633819</t>
        </is>
      </c>
      <c r="C7514" s="3" t="inlineStr">
        <is>
          <t>Autodist</t>
        </is>
      </c>
    </row>
    <row collapsed="false" customFormat="false" customHeight="false" hidden="false" ht="12.1" outlineLevel="0" r="7515">
      <c r="A7515" s="3" t="s">
        <f>=HYPERLINK("https://mp39851918.megaplan.ua/deals/132261/card/","22621")</f>
      </c>
      <c r="B7515" s="3" t="inlineStr">
        <is>
          <t>111-1712526-0592214</t>
        </is>
      </c>
      <c r="C7515" s="3" t="inlineStr">
        <is>
          <t>RockyMountain</t>
        </is>
      </c>
    </row>
    <row collapsed="false" customFormat="false" customHeight="false" hidden="false" ht="12.1" outlineLevel="0" r="7516">
      <c r="A7516" s="3" t="s">
        <f>=HYPERLINK("https://mp39851918.megaplan.ua/deals/132262/card/","22622")</f>
      </c>
      <c r="B7516" s="3" t="inlineStr">
        <is>
          <t>114-3391043-7240235</t>
        </is>
      </c>
      <c r="C7516" s="3" t="inlineStr">
        <is>
          <t>Autodist</t>
        </is>
      </c>
    </row>
    <row collapsed="false" customFormat="false" customHeight="false" hidden="false" ht="12.1" outlineLevel="0" r="7517">
      <c r="A7517" s="3" t="s">
        <f>=HYPERLINK("https://mp39851918.megaplan.ua/deals/132267/card/","22623")</f>
      </c>
      <c r="B7517" s="3" t="inlineStr">
        <is>
          <t>113-0297089-4389026</t>
        </is>
      </c>
      <c r="C7517" s="3" t="inlineStr">
        <is>
          <t>Autodist</t>
        </is>
      </c>
    </row>
    <row collapsed="false" customFormat="false" customHeight="false" hidden="false" ht="12.1" outlineLevel="0" r="7518">
      <c r="A7518" s="3" t="s">
        <f>=HYPERLINK("https://mp39851918.megaplan.ua/deals/132274/card/","22624")</f>
      </c>
      <c r="B7518" s="3" t="inlineStr">
        <is>
          <t>113-9172339-1525818</t>
        </is>
      </c>
      <c r="C7518" s="3" t="inlineStr">
        <is>
          <t>Autodist</t>
        </is>
      </c>
    </row>
    <row collapsed="false" customFormat="false" customHeight="false" hidden="false" ht="12.1" outlineLevel="0" r="7519">
      <c r="A7519" s="3" t="s">
        <f>=HYPERLINK("https://mp39851918.megaplan.ua/deals/132275/card/","22625")</f>
      </c>
      <c r="B7519" s="3" t="inlineStr">
        <is>
          <t>114-1661281-1176221</t>
        </is>
      </c>
      <c r="C7519" s="3" t="inlineStr">
        <is>
          <t>TuckerRocky</t>
        </is>
      </c>
    </row>
    <row collapsed="false" customFormat="false" customHeight="false" hidden="false" ht="12.1" outlineLevel="0" r="7520">
      <c r="A7520" s="3" t="s">
        <f>=HYPERLINK("https://mp39851918.megaplan.ua/deals/132281/card/","22626")</f>
      </c>
      <c r="B7520" s="3" t="inlineStr">
        <is>
          <t>111-0315009-4488218</t>
        </is>
      </c>
      <c r="C7520" s="3" t="inlineStr">
        <is>
          <t>TuckerRocky</t>
        </is>
      </c>
    </row>
    <row collapsed="false" customFormat="false" customHeight="false" hidden="false" ht="12.1" outlineLevel="0" r="7521">
      <c r="A7521" s="3" t="s">
        <f>=HYPERLINK("https://mp39851918.megaplan.ua/deals/132297/card/","22627")</f>
      </c>
      <c r="B7521" s="3" t="inlineStr">
        <is>
          <t>111-0060615-2486658</t>
        </is>
      </c>
      <c r="C7521" s="3" t="inlineStr">
        <is>
          <t>Autodist</t>
        </is>
      </c>
    </row>
    <row collapsed="false" customFormat="false" customHeight="false" hidden="false" ht="12.1" outlineLevel="0" r="7522">
      <c r="A7522" s="3" t="s">
        <f>=HYPERLINK("https://mp39851918.megaplan.ua/deals/132299/card/","22628")</f>
      </c>
      <c r="B7522" s="3" t="inlineStr">
        <is>
          <t>113-3003557-3883423</t>
        </is>
      </c>
      <c r="C7522" s="3" t="inlineStr">
        <is>
          <t>PartsUnlimited</t>
        </is>
      </c>
    </row>
    <row collapsed="false" customFormat="false" customHeight="false" hidden="false" ht="12.1" outlineLevel="0" r="7523">
      <c r="A7523" s="3" t="s">
        <f>=HYPERLINK("https://mp39851918.megaplan.ua/deals/132307/card/","22629")</f>
      </c>
      <c r="B7523" s="3" t="inlineStr">
        <is>
          <t>112-9332737-5163454</t>
        </is>
      </c>
      <c r="C7523" s="3" t="inlineStr">
        <is>
          <t>Autodist</t>
        </is>
      </c>
    </row>
    <row collapsed="false" customFormat="false" customHeight="false" hidden="false" ht="12.1" outlineLevel="0" r="7524">
      <c r="A7524" s="3" t="s">
        <f>=HYPERLINK("https://mp39851918.megaplan.ua/deals/132308/card/","22630")</f>
      </c>
      <c r="B7524" s="3" t="inlineStr">
        <is>
          <t>113-5021627-6648215</t>
        </is>
      </c>
      <c r="C7524" s="3" t="inlineStr">
        <is>
          <t>RockyMountain</t>
        </is>
      </c>
    </row>
    <row collapsed="false" customFormat="false" customHeight="false" hidden="false" ht="12.1" outlineLevel="0" r="7525">
      <c r="A7525" s="3" t="s">
        <f>=HYPERLINK("https://mp39851918.megaplan.ua/deals/132315/card/","22631")</f>
      </c>
      <c r="B7525" s="3" t="inlineStr">
        <is>
          <t>112-0026955-8737841</t>
        </is>
      </c>
      <c r="C7525" s="3" t="inlineStr">
        <is>
          <t>Autodist</t>
        </is>
      </c>
    </row>
    <row collapsed="false" customFormat="false" customHeight="false" hidden="false" ht="12.1" outlineLevel="0" r="7526">
      <c r="A7526" s="3" t="s">
        <f>=HYPERLINK("https://mp39851918.megaplan.ua/deals/132322/card/","22632")</f>
      </c>
      <c r="B7526" s="3" t="inlineStr">
        <is>
          <t>113-3567782-8844249</t>
        </is>
      </c>
      <c r="C7526" s="3" t="inlineStr">
        <is>
          <t>RockyMountain</t>
        </is>
      </c>
    </row>
    <row collapsed="false" customFormat="false" customHeight="false" hidden="false" ht="12.1" outlineLevel="0" r="7527">
      <c r="A7527" s="3" t="s">
        <f>=HYPERLINK("https://mp39851918.megaplan.ua/deals/132330/card/","22634")</f>
      </c>
      <c r="B7527" s="3" t="inlineStr">
        <is>
          <t>114-1908121-4260235</t>
        </is>
      </c>
      <c r="C7527" s="3" t="inlineStr">
        <is>
          <t>RockyMountain</t>
        </is>
      </c>
    </row>
    <row collapsed="false" customFormat="false" customHeight="false" hidden="false" ht="12.1" outlineLevel="0" r="7528">
      <c r="A7528" s="3" t="s">
        <f>=HYPERLINK("https://mp39851918.megaplan.ua/deals/132332/card/","22635")</f>
      </c>
      <c r="B7528" s="3" t="inlineStr">
        <is>
          <t>113-3271014-3449040</t>
        </is>
      </c>
      <c r="C7528" s="3" t="inlineStr">
        <is>
          <t>PartsUnlimited</t>
        </is>
      </c>
    </row>
    <row collapsed="false" customFormat="false" customHeight="false" hidden="false" ht="12.1" outlineLevel="0" r="7529">
      <c r="A7529" s="3" t="s">
        <f>=HYPERLINK("https://mp39851918.megaplan.ua/deals/132343/card/","22636")</f>
      </c>
      <c r="B7529" s="3" t="inlineStr">
        <is>
          <t>111-1933936-4669825</t>
        </is>
      </c>
      <c r="C7529" s="3" t="inlineStr">
        <is>
          <t>RockyMountain</t>
        </is>
      </c>
    </row>
    <row collapsed="false" customFormat="false" customHeight="false" hidden="false" ht="12.1" outlineLevel="0" r="7530">
      <c r="A7530" s="3" t="s">
        <f>=HYPERLINK("https://mp39851918.megaplan.ua/deals/132344/card/","22637")</f>
      </c>
      <c r="B7530" s="3" t="inlineStr">
        <is>
          <t>112-9273602-7850649</t>
        </is>
      </c>
      <c r="C7530" s="3" t="inlineStr">
        <is>
          <t>Autodist</t>
        </is>
      </c>
    </row>
    <row collapsed="false" customFormat="false" customHeight="false" hidden="false" ht="12.1" outlineLevel="0" r="7531">
      <c r="A7531" s="3" t="s">
        <f>=HYPERLINK("https://mp39851918.megaplan.ua/deals/132345/card/","22638")</f>
      </c>
      <c r="B7531" s="3" t="inlineStr">
        <is>
          <t>113-7830510-0784265</t>
        </is>
      </c>
      <c r="C7531" s="3" t="inlineStr">
        <is>
          <t>TuckerRocky</t>
        </is>
      </c>
    </row>
    <row collapsed="false" customFormat="false" customHeight="false" hidden="false" ht="12.1" outlineLevel="0" r="7532">
      <c r="A7532" s="3" t="s">
        <f>=HYPERLINK("https://mp39851918.megaplan.ua/deals/132346/card/","22639")</f>
      </c>
      <c r="B7532" s="3" t="inlineStr">
        <is>
          <t>112-1720453-1870661</t>
        </is>
      </c>
      <c r="C7532" s="3" t="inlineStr">
        <is>
          <t>RockyMountain</t>
        </is>
      </c>
    </row>
    <row collapsed="false" customFormat="false" customHeight="false" hidden="false" ht="12.1" outlineLevel="0" r="7533">
      <c r="A7533" s="3" t="s">
        <f>=HYPERLINK("https://mp39851918.megaplan.ua/deals/132349/card/","22640")</f>
      </c>
      <c r="B7533" s="3" t="inlineStr">
        <is>
          <t>112-5285959-3490635</t>
        </is>
      </c>
      <c r="C7533" s="3" t="inlineStr">
        <is>
          <t>RockyMountain</t>
        </is>
      </c>
    </row>
    <row collapsed="false" customFormat="false" customHeight="false" hidden="false" ht="12.1" outlineLevel="0" r="7534">
      <c r="A7534" s="3" t="s">
        <f>=HYPERLINK("https://mp39851918.megaplan.ua/deals/132363/card/","22642")</f>
      </c>
      <c r="B7534" s="3" t="inlineStr">
        <is>
          <t>113-3543964-0868231</t>
        </is>
      </c>
      <c r="C7534" s="3" t="inlineStr">
        <is>
          <t>Autodist</t>
        </is>
      </c>
    </row>
    <row collapsed="false" customFormat="false" customHeight="false" hidden="false" ht="12.1" outlineLevel="0" r="7535">
      <c r="A7535" s="3" t="s">
        <f>=HYPERLINK("https://mp39851918.megaplan.ua/deals/132366/card/","22643")</f>
      </c>
      <c r="B7535" s="3" t="inlineStr">
        <is>
          <t>113-2445638-1013063</t>
        </is>
      </c>
      <c r="C7535" s="3" t="inlineStr">
        <is>
          <t>Autodist</t>
        </is>
      </c>
    </row>
    <row collapsed="false" customFormat="false" customHeight="false" hidden="false" ht="12.1" outlineLevel="0" r="7536">
      <c r="A7536" s="3" t="s">
        <f>=HYPERLINK("https://mp39851918.megaplan.ua/deals/132380/card/","22645")</f>
      </c>
      <c r="B7536" s="3" t="inlineStr">
        <is>
          <t>114-1363763-3877040</t>
        </is>
      </c>
      <c r="C7536" s="3" t="inlineStr">
        <is>
          <t>Autodist</t>
        </is>
      </c>
    </row>
    <row collapsed="false" customFormat="false" customHeight="false" hidden="false" ht="12.1" outlineLevel="0" r="7537">
      <c r="A7537" s="3" t="s">
        <f>=HYPERLINK("https://mp39851918.megaplan.ua/deals/132391/card/","22647")</f>
      </c>
      <c r="B7537" s="3" t="inlineStr">
        <is>
          <t>112-0289148-8898629</t>
        </is>
      </c>
      <c r="C7537" s="3" t="inlineStr">
        <is>
          <t>Autodist</t>
        </is>
      </c>
    </row>
    <row collapsed="false" customFormat="false" customHeight="false" hidden="false" ht="12.1" outlineLevel="0" r="7538">
      <c r="A7538" s="3" t="s">
        <f>=HYPERLINK("https://mp39851918.megaplan.ua/deals/132393/card/","22648")</f>
      </c>
      <c r="B7538" s="3" t="inlineStr">
        <is>
          <t>113-3680968-8474608</t>
        </is>
      </c>
      <c r="C7538" s="3" t="inlineStr">
        <is>
          <t>TuckerRocky</t>
        </is>
      </c>
    </row>
    <row collapsed="false" customFormat="false" customHeight="false" hidden="false" ht="12.1" outlineLevel="0" r="7539">
      <c r="A7539" s="3" t="s">
        <f>=HYPERLINK("https://mp39851918.megaplan.ua/deals/132394/card/","22649")</f>
      </c>
      <c r="B7539" s="3" t="inlineStr">
        <is>
          <t>111-9726382-8453866</t>
        </is>
      </c>
      <c r="C7539" s="3" t="inlineStr">
        <is>
          <t>Autodist</t>
        </is>
      </c>
    </row>
    <row collapsed="false" customFormat="false" customHeight="false" hidden="false" ht="12.1" outlineLevel="0" r="7540">
      <c r="A7540" s="3" t="s">
        <f>=HYPERLINK("https://mp39851918.megaplan.ua/deals/132399/card/","22651")</f>
      </c>
      <c r="B7540" s="3" t="inlineStr">
        <is>
          <t>114-4270732-8191434</t>
        </is>
      </c>
      <c r="C7540" s="3" t="inlineStr">
        <is>
          <t>RockyMountain</t>
        </is>
      </c>
    </row>
    <row collapsed="false" customFormat="false" customHeight="false" hidden="false" ht="12.1" outlineLevel="0" r="7541">
      <c r="A7541" s="3" t="s">
        <f>=HYPERLINK("https://mp39851918.megaplan.ua/deals/132406/card/","22652")</f>
      </c>
      <c r="B7541" s="3" t="inlineStr">
        <is>
          <t>114-8605186-7232259</t>
        </is>
      </c>
      <c r="C7541" s="3" t="inlineStr">
        <is>
          <t>RockyMountain</t>
        </is>
      </c>
    </row>
    <row collapsed="false" customFormat="false" customHeight="false" hidden="false" ht="12.1" outlineLevel="0" r="7542">
      <c r="A7542" s="3" t="s">
        <f>=HYPERLINK("https://mp39851918.megaplan.ua/deals/132411/card/","22653")</f>
      </c>
      <c r="B7542" s="3" t="inlineStr">
        <is>
          <t>112-4472805-8221826</t>
        </is>
      </c>
      <c r="C7542" s="3" t="inlineStr">
        <is>
          <t>RockyMountain</t>
        </is>
      </c>
    </row>
    <row collapsed="false" customFormat="false" customHeight="false" hidden="false" ht="12.1" outlineLevel="0" r="7543">
      <c r="A7543" s="3" t="s">
        <f>=HYPERLINK("https://mp39851918.megaplan.ua/deals/132412/card/","22654")</f>
      </c>
      <c r="B7543" s="3" t="inlineStr">
        <is>
          <t>114-1858317-3785826</t>
        </is>
      </c>
      <c r="C7543" s="3" t="inlineStr">
        <is>
          <t>RockyMountain</t>
        </is>
      </c>
    </row>
    <row collapsed="false" customFormat="false" customHeight="false" hidden="false" ht="12.1" outlineLevel="0" r="7544">
      <c r="A7544" s="3" t="s">
        <f>=HYPERLINK("https://mp39851918.megaplan.ua/deals/132419/card/","22655")</f>
      </c>
      <c r="B7544" s="3" t="inlineStr">
        <is>
          <t>113-5663797-9208220</t>
        </is>
      </c>
      <c r="C7544" s="3" t="inlineStr">
        <is>
          <t>RockyMountain</t>
        </is>
      </c>
    </row>
    <row collapsed="false" customFormat="false" customHeight="false" hidden="false" ht="12.1" outlineLevel="0" r="7545">
      <c r="A7545" s="3" t="s">
        <f>=HYPERLINK("https://mp39851918.megaplan.ua/deals/132420/card/","22656")</f>
      </c>
      <c r="B7545" s="3" t="inlineStr">
        <is>
          <t>113-5074060-1423455</t>
        </is>
      </c>
      <c r="C7545" s="3" t="inlineStr">
        <is>
          <t>Autodist</t>
        </is>
      </c>
    </row>
    <row collapsed="false" customFormat="false" customHeight="false" hidden="false" ht="12.1" outlineLevel="0" r="7546">
      <c r="A7546" s="3" t="s">
        <f>=HYPERLINK("https://mp39851918.megaplan.ua/deals/132424/card/","22657")</f>
      </c>
      <c r="B7546" s="3" t="inlineStr">
        <is>
          <t>113-1721529-3245014</t>
        </is>
      </c>
      <c r="C7546" s="3" t="inlineStr">
        <is>
          <t>PartsUnlimited</t>
        </is>
      </c>
    </row>
    <row collapsed="false" customFormat="false" customHeight="false" hidden="false" ht="12.1" outlineLevel="0" r="7547">
      <c r="A7547" s="3" t="s">
        <f>=HYPERLINK("https://mp39851918.megaplan.ua/deals/132427/card/","22658")</f>
      </c>
      <c r="B7547" s="3" t="inlineStr">
        <is>
          <t>111-3890568-1048261</t>
        </is>
      </c>
      <c r="C7547" s="3" t="inlineStr">
        <is>
          <t>TuckerRocky</t>
        </is>
      </c>
    </row>
    <row collapsed="false" customFormat="false" customHeight="false" hidden="false" ht="12.1" outlineLevel="0" r="7548">
      <c r="A7548" s="3" t="s">
        <f>=HYPERLINK("https://mp39851918.megaplan.ua/deals/132430/card/","22659")</f>
      </c>
      <c r="B7548" s="3" t="inlineStr">
        <is>
          <t>112-0260432-4350603</t>
        </is>
      </c>
      <c r="C7548" s="3" t="inlineStr">
        <is>
          <t>Autodist</t>
        </is>
      </c>
    </row>
    <row collapsed="false" customFormat="false" customHeight="false" hidden="false" ht="12.1" outlineLevel="0" r="7549">
      <c r="A7549" s="3" t="s">
        <f>=HYPERLINK("https://mp39851918.megaplan.ua/deals/132433/card/","22660")</f>
      </c>
      <c r="B7549" s="3" t="inlineStr">
        <is>
          <t>112-5739174-1814614</t>
        </is>
      </c>
      <c r="C7549" s="3" t="inlineStr">
        <is>
          <t>Autodist</t>
        </is>
      </c>
    </row>
    <row collapsed="false" customFormat="false" customHeight="false" hidden="false" ht="12.1" outlineLevel="0" r="7550">
      <c r="A7550" s="3" t="s">
        <f>=HYPERLINK("https://mp39851918.megaplan.ua/deals/132436/card/","22661")</f>
      </c>
      <c r="B7550" s="3" t="inlineStr">
        <is>
          <t>114-1513354-2605805</t>
        </is>
      </c>
      <c r="C7550" s="3" t="inlineStr">
        <is>
          <t>RockyMountain</t>
        </is>
      </c>
    </row>
    <row collapsed="false" customFormat="false" customHeight="false" hidden="false" ht="12.1" outlineLevel="0" r="7551">
      <c r="A7551" s="3" t="s">
        <f>=HYPERLINK("https://mp39851918.megaplan.ua/deals/132442/card/","22662")</f>
      </c>
      <c r="B7551" s="3" t="inlineStr">
        <is>
          <t>111-8250064-2367416</t>
        </is>
      </c>
      <c r="C7551" s="3" t="inlineStr">
        <is>
          <t>Autodist</t>
        </is>
      </c>
    </row>
    <row collapsed="false" customFormat="false" customHeight="false" hidden="false" ht="12.1" outlineLevel="0" r="7552">
      <c r="A7552" s="3" t="s">
        <f>=HYPERLINK("https://mp39851918.megaplan.ua/deals/132444/card/","22663")</f>
      </c>
      <c r="B7552" s="3" t="inlineStr">
        <is>
          <t>114-4036130-8746637</t>
        </is>
      </c>
      <c r="C7552" s="3" t="inlineStr">
        <is>
          <t>PartsUnlimited</t>
        </is>
      </c>
    </row>
    <row collapsed="false" customFormat="false" customHeight="false" hidden="false" ht="12.1" outlineLevel="0" r="7553">
      <c r="A7553" s="3" t="s">
        <f>=HYPERLINK("https://mp39851918.megaplan.ua/deals/132453/card/","22665")</f>
      </c>
      <c r="B7553" s="3" t="inlineStr">
        <is>
          <t>114-6777794-3984213</t>
        </is>
      </c>
      <c r="C7553" s="3" t="inlineStr">
        <is>
          <t>RockyMountain</t>
        </is>
      </c>
    </row>
    <row collapsed="false" customFormat="false" customHeight="false" hidden="false" ht="12.1" outlineLevel="0" r="7554">
      <c r="A7554" s="3" t="s">
        <f>=HYPERLINK("https://mp39851918.megaplan.ua/deals/132455/card/","22666")</f>
      </c>
      <c r="B7554" s="3" t="inlineStr">
        <is>
          <t>111-3694564-8214610</t>
        </is>
      </c>
      <c r="C7554" s="3" t="inlineStr">
        <is>
          <t>Autodist</t>
        </is>
      </c>
    </row>
    <row collapsed="false" customFormat="false" customHeight="false" hidden="false" ht="12.1" outlineLevel="0" r="7555">
      <c r="A7555" s="3" t="s">
        <f>=HYPERLINK("https://mp39851918.megaplan.ua/deals/132461/card/","22667")</f>
      </c>
      <c r="B7555" s="3" t="inlineStr">
        <is>
          <t>113-0712134-0898668</t>
        </is>
      </c>
      <c r="C7555" s="3" t="inlineStr">
        <is>
          <t>Autodist</t>
        </is>
      </c>
    </row>
    <row collapsed="false" customFormat="false" customHeight="false" hidden="false" ht="12.1" outlineLevel="0" r="7556">
      <c r="A7556" s="3" t="s">
        <f>=HYPERLINK("https://mp39851918.megaplan.ua/deals/132462/card/","22668")</f>
      </c>
      <c r="B7556" s="3" t="inlineStr">
        <is>
          <t>111-2129667-7636261</t>
        </is>
      </c>
      <c r="C7556" s="3" t="inlineStr">
        <is>
          <t>Autodist</t>
        </is>
      </c>
    </row>
    <row collapsed="false" customFormat="false" customHeight="false" hidden="false" ht="12.1" outlineLevel="0" r="7557">
      <c r="A7557" s="3" t="s">
        <f>=HYPERLINK("https://mp39851918.megaplan.ua/deals/132475/card/","22670")</f>
      </c>
      <c r="B7557" s="3" t="inlineStr">
        <is>
          <t>112-4104786-8113813</t>
        </is>
      </c>
      <c r="C7557" s="3" t="inlineStr">
        <is>
          <t>Autodist</t>
        </is>
      </c>
    </row>
    <row collapsed="false" customFormat="false" customHeight="false" hidden="false" ht="12.1" outlineLevel="0" r="7558">
      <c r="A7558" s="3" t="s">
        <f>=HYPERLINK("https://mp39851918.megaplan.ua/deals/132480/card/","22671")</f>
      </c>
      <c r="B7558" s="3" t="inlineStr">
        <is>
          <t>111-4437628-5096209</t>
        </is>
      </c>
      <c r="C7558" s="3" t="inlineStr">
        <is>
          <t>RockyMountain</t>
        </is>
      </c>
    </row>
    <row collapsed="false" customFormat="false" customHeight="false" hidden="false" ht="12.1" outlineLevel="0" r="7559">
      <c r="A7559" s="3" t="s">
        <f>=HYPERLINK("https://mp39851918.megaplan.ua/deals/132491/card/","22672")</f>
      </c>
      <c r="B7559" s="3" t="inlineStr">
        <is>
          <t>114-4421241-7060239</t>
        </is>
      </c>
      <c r="C7559" s="3" t="inlineStr">
        <is>
          <t>RockyMountain</t>
        </is>
      </c>
    </row>
    <row collapsed="false" customFormat="false" customHeight="false" hidden="false" ht="12.1" outlineLevel="0" r="7560">
      <c r="A7560" s="3" t="s">
        <f>=HYPERLINK("https://mp39851918.megaplan.ua/deals/132493/card/","22673")</f>
      </c>
      <c r="B7560" s="3" t="inlineStr">
        <is>
          <t>113-8387635-6934638</t>
        </is>
      </c>
      <c r="C7560" s="3" t="inlineStr">
        <is>
          <t>RockyMountain</t>
        </is>
      </c>
    </row>
    <row collapsed="false" customFormat="false" customHeight="false" hidden="false" ht="12.1" outlineLevel="0" r="7561">
      <c r="A7561" s="3" t="s">
        <f>=HYPERLINK("https://mp39851918.megaplan.ua/deals/132495/card/","22674")</f>
      </c>
      <c r="B7561" s="3" t="inlineStr">
        <is>
          <t>113-9110673-7584234</t>
        </is>
      </c>
      <c r="C7561" s="3" t="inlineStr">
        <is>
          <t>Autodist</t>
        </is>
      </c>
    </row>
    <row collapsed="false" customFormat="false" customHeight="false" hidden="false" ht="12.1" outlineLevel="0" r="7562">
      <c r="A7562" s="3" t="s">
        <f>=HYPERLINK("https://mp39851918.megaplan.ua/deals/132500/card/","22675")</f>
      </c>
      <c r="B7562" s="3" t="inlineStr">
        <is>
          <t>113-6916044-7006614</t>
        </is>
      </c>
      <c r="C7562" s="3" t="inlineStr">
        <is>
          <t>Autodist</t>
        </is>
      </c>
    </row>
    <row collapsed="false" customFormat="false" customHeight="false" hidden="false" ht="12.1" outlineLevel="0" r="7563">
      <c r="A7563" s="3" t="s">
        <f>=HYPERLINK("https://mp39851918.megaplan.ua/deals/132506/card/","22676")</f>
      </c>
      <c r="B7563" s="3" t="inlineStr">
        <is>
          <t>112-5549154-2765863</t>
        </is>
      </c>
      <c r="C7563" s="3" t="inlineStr">
        <is>
          <t>RockyMountain</t>
        </is>
      </c>
    </row>
    <row collapsed="false" customFormat="false" customHeight="false" hidden="false" ht="12.1" outlineLevel="0" r="7564">
      <c r="A7564" s="3" t="s">
        <f>=HYPERLINK("https://mp39851918.megaplan.ua/deals/132513/card/","22677")</f>
      </c>
      <c r="B7564" s="3" t="inlineStr">
        <is>
          <t>114-1327988-9892211</t>
        </is>
      </c>
      <c r="C7564" s="3" t="inlineStr">
        <is>
          <t>PartsUnlimited</t>
        </is>
      </c>
    </row>
    <row collapsed="false" customFormat="false" customHeight="false" hidden="false" ht="12.1" outlineLevel="0" r="7565">
      <c r="A7565" s="3" t="s">
        <f>=HYPERLINK("https://mp39851918.megaplan.ua/deals/132517/card/","22678")</f>
      </c>
      <c r="B7565" s="3" t="inlineStr">
        <is>
          <t>114-9643288-7775417</t>
        </is>
      </c>
      <c r="C7565" s="3" t="inlineStr">
        <is>
          <t>RockyMountain</t>
        </is>
      </c>
    </row>
    <row collapsed="false" customFormat="false" customHeight="false" hidden="false" ht="12.1" outlineLevel="0" r="7566">
      <c r="A7566" s="3" t="s">
        <f>=HYPERLINK("https://mp39851918.megaplan.ua/deals/132527/card/","22679")</f>
      </c>
      <c r="B7566" s="3" t="inlineStr">
        <is>
          <t>111-0266568-6383422</t>
        </is>
      </c>
      <c r="C7566" s="3" t="inlineStr">
        <is>
          <t>Autodist</t>
        </is>
      </c>
    </row>
    <row collapsed="false" customFormat="false" customHeight="false" hidden="false" ht="12.1" outlineLevel="0" r="7567">
      <c r="A7567" s="3" t="s">
        <f>=HYPERLINK("https://mp39851918.megaplan.ua/deals/132528/card/","22680")</f>
      </c>
      <c r="B7567" s="3" t="inlineStr">
        <is>
          <t>114-5706479-8207460</t>
        </is>
      </c>
      <c r="C7567" s="3" t="inlineStr">
        <is>
          <t>Autodist</t>
        </is>
      </c>
    </row>
    <row collapsed="false" customFormat="false" customHeight="false" hidden="false" ht="12.1" outlineLevel="0" r="7568">
      <c r="A7568" s="3" t="s">
        <f>=HYPERLINK("https://mp39851918.megaplan.ua/deals/132537/card/","22681")</f>
      </c>
      <c r="B7568" s="3" t="inlineStr">
        <is>
          <t>111-6861375-0372251</t>
        </is>
      </c>
      <c r="C7568" s="3" t="inlineStr">
        <is>
          <t>TuckerRocky</t>
        </is>
      </c>
    </row>
    <row collapsed="false" customFormat="false" customHeight="false" hidden="false" ht="12.1" outlineLevel="0" r="7569">
      <c r="A7569" s="3" t="s">
        <f>=HYPERLINK("https://mp39851918.megaplan.ua/deals/132543/card/","22682")</f>
      </c>
      <c r="B7569" s="3" t="inlineStr">
        <is>
          <t>112-2452848-9042650</t>
        </is>
      </c>
      <c r="C7569" s="3" t="inlineStr">
        <is>
          <t>RockyMountain</t>
        </is>
      </c>
    </row>
    <row collapsed="false" customFormat="false" customHeight="false" hidden="false" ht="12.1" outlineLevel="0" r="7570">
      <c r="A7570" s="3" t="s">
        <f>=HYPERLINK("https://mp39851918.megaplan.ua/deals/132547/card/","22683")</f>
      </c>
      <c r="B7570" s="3" t="inlineStr">
        <is>
          <t>112-7598285-2571450</t>
        </is>
      </c>
      <c r="C7570" s="3" t="inlineStr">
        <is>
          <t>TuckerRocky</t>
        </is>
      </c>
    </row>
    <row collapsed="false" customFormat="false" customHeight="false" hidden="false" ht="12.1" outlineLevel="0" r="7571">
      <c r="A7571" s="3" t="s">
        <f>=HYPERLINK("https://mp39851918.megaplan.ua/deals/132561/card/","22685")</f>
      </c>
      <c r="B7571" s="3" t="inlineStr">
        <is>
          <t>111-8343170-4053864</t>
        </is>
      </c>
      <c r="C7571" s="3" t="inlineStr">
        <is>
          <t>RockyMountain</t>
        </is>
      </c>
    </row>
    <row collapsed="false" customFormat="false" customHeight="false" hidden="false" ht="12.1" outlineLevel="0" r="7572">
      <c r="A7572" s="3" t="s">
        <f>=HYPERLINK("https://mp39851918.megaplan.ua/deals/132583/card/","22688")</f>
      </c>
      <c r="B7572" s="3" t="inlineStr">
        <is>
          <t>113-7875189-1564248</t>
        </is>
      </c>
      <c r="C7572" s="3" t="inlineStr">
        <is>
          <t>Autodist</t>
        </is>
      </c>
    </row>
    <row collapsed="false" customFormat="false" customHeight="false" hidden="false" ht="12.1" outlineLevel="0" r="7573">
      <c r="A7573" s="3" t="s">
        <f>=HYPERLINK("https://mp39851918.megaplan.ua/deals/132584/card/","22689")</f>
      </c>
      <c r="B7573" s="3" t="inlineStr">
        <is>
          <t>112-9690772-2225055</t>
        </is>
      </c>
      <c r="C7573" s="3" t="inlineStr">
        <is>
          <t>RockyMountain</t>
        </is>
      </c>
    </row>
    <row collapsed="false" customFormat="false" customHeight="false" hidden="false" ht="12.1" outlineLevel="0" r="7574">
      <c r="A7574" s="3" t="s">
        <f>=HYPERLINK("https://mp39851918.megaplan.ua/deals/132585/card/","22690")</f>
      </c>
      <c r="B7574" s="3" t="inlineStr">
        <is>
          <t>114-9033660-0791417</t>
        </is>
      </c>
      <c r="C7574" s="3" t="inlineStr">
        <is>
          <t>PartsUnlimited</t>
        </is>
      </c>
    </row>
    <row collapsed="false" customFormat="false" customHeight="false" hidden="false" ht="12.1" outlineLevel="0" r="7575">
      <c r="A7575" s="3" t="s">
        <f>=HYPERLINK("https://mp39851918.megaplan.ua/deals/132589/card/","22691")</f>
      </c>
      <c r="B7575" s="3" t="inlineStr">
        <is>
          <t>114-0366409-3151424</t>
        </is>
      </c>
      <c r="C7575" s="3" t="inlineStr">
        <is>
          <t>Autodist</t>
        </is>
      </c>
    </row>
    <row collapsed="false" customFormat="false" customHeight="false" hidden="false" ht="12.1" outlineLevel="0" r="7576">
      <c r="A7576" s="3" t="s">
        <f>=HYPERLINK("https://mp39851918.megaplan.ua/deals/132591/card/","22692")</f>
      </c>
      <c r="B7576" s="3" t="inlineStr">
        <is>
          <t>114-3417223-1796209</t>
        </is>
      </c>
      <c r="C7576" s="3" t="inlineStr">
        <is>
          <t>Autodist</t>
        </is>
      </c>
    </row>
    <row collapsed="false" customFormat="false" customHeight="false" hidden="false" ht="12.1" outlineLevel="0" r="7577">
      <c r="A7577" s="3" t="s">
        <f>=HYPERLINK("https://mp39851918.megaplan.ua/deals/132598/card/","22693")</f>
      </c>
      <c r="B7577" s="3" t="inlineStr">
        <is>
          <t>112-5706555-3244211</t>
        </is>
      </c>
      <c r="C7577" s="3" t="inlineStr">
        <is>
          <t>Autodist</t>
        </is>
      </c>
    </row>
    <row collapsed="false" customFormat="false" customHeight="false" hidden="false" ht="12.1" outlineLevel="0" r="7578">
      <c r="A7578" s="3" t="s">
        <f>=HYPERLINK("https://mp39851918.megaplan.ua/deals/132601/card/","22695")</f>
      </c>
      <c r="B7578" s="3" t="inlineStr">
        <is>
          <t>112-3027589-7073036</t>
        </is>
      </c>
      <c r="C7578" s="3" t="inlineStr">
        <is>
          <t>RockyMountain</t>
        </is>
      </c>
    </row>
    <row collapsed="false" customFormat="false" customHeight="false" hidden="false" ht="12.1" outlineLevel="0" r="7579">
      <c r="A7579" s="3" t="s">
        <f>=HYPERLINK("https://mp39851918.megaplan.ua/deals/132607/card/","22697")</f>
      </c>
      <c r="B7579" s="3" t="inlineStr">
        <is>
          <t>114-1957784-6054661</t>
        </is>
      </c>
      <c r="C7579" s="3" t="inlineStr">
        <is>
          <t>RockyMountain</t>
        </is>
      </c>
    </row>
    <row collapsed="false" customFormat="false" customHeight="false" hidden="false" ht="12.1" outlineLevel="0" r="7580">
      <c r="A7580" s="3" t="s">
        <f>=HYPERLINK("https://mp39851918.megaplan.ua/deals/132609/card/","22698")</f>
      </c>
      <c r="B7580" s="3" t="inlineStr">
        <is>
          <t>112-0005817-0612243</t>
        </is>
      </c>
      <c r="C7580" s="3" t="inlineStr">
        <is>
          <t>Autodist</t>
        </is>
      </c>
    </row>
    <row collapsed="false" customFormat="false" customHeight="false" hidden="false" ht="12.1" outlineLevel="0" r="7581">
      <c r="A7581" s="3" t="s">
        <f>=HYPERLINK("https://mp39851918.megaplan.ua/deals/132615/card/","22699")</f>
      </c>
      <c r="B7581" s="3" t="inlineStr">
        <is>
          <t>112-2497010-0350605</t>
        </is>
      </c>
      <c r="C7581" s="3" t="inlineStr">
        <is>
          <t>Autodist</t>
        </is>
      </c>
    </row>
    <row collapsed="false" customFormat="false" customHeight="false" hidden="false" ht="12.1" outlineLevel="0" r="7582">
      <c r="A7582" s="3" t="s">
        <f>=HYPERLINK("https://mp39851918.megaplan.ua/deals/132618/card/","22700")</f>
      </c>
      <c r="B7582" s="3" t="inlineStr">
        <is>
          <t>112-7119963-0477858</t>
        </is>
      </c>
      <c r="C7582" s="3" t="inlineStr">
        <is>
          <t>RockyMountain</t>
        </is>
      </c>
    </row>
    <row collapsed="false" customFormat="false" customHeight="false" hidden="false" ht="12.1" outlineLevel="0" r="7583">
      <c r="A7583" s="3" t="s">
        <f>=HYPERLINK("https://mp39851918.megaplan.ua/deals/132620/card/","22701")</f>
      </c>
      <c r="B7583" s="3" t="inlineStr">
        <is>
          <t>111-8157225-2524204</t>
        </is>
      </c>
      <c r="C7583" s="3" t="inlineStr">
        <is>
          <t>Autodist</t>
        </is>
      </c>
    </row>
    <row collapsed="false" customFormat="false" customHeight="false" hidden="false" ht="12.1" outlineLevel="0" r="7584">
      <c r="A7584" s="3" t="s">
        <f>=HYPERLINK("https://mp39851918.megaplan.ua/deals/132632/card/","22703")</f>
      </c>
      <c r="B7584" s="3" t="inlineStr">
        <is>
          <t>114-3004606-8951401</t>
        </is>
      </c>
      <c r="C7584" s="3" t="inlineStr">
        <is>
          <t>RockyMountain</t>
        </is>
      </c>
    </row>
    <row collapsed="false" customFormat="false" customHeight="false" hidden="false" ht="12.1" outlineLevel="0" r="7585">
      <c r="A7585" s="3" t="s">
        <f>=HYPERLINK("https://mp39851918.megaplan.ua/deals/132634/card/","22704")</f>
      </c>
      <c r="B7585" s="3" t="inlineStr">
        <is>
          <t>114-7179294-3144262</t>
        </is>
      </c>
      <c r="C7585" s="3" t="inlineStr">
        <is>
          <t>Autodist</t>
        </is>
      </c>
    </row>
    <row collapsed="false" customFormat="false" customHeight="false" hidden="false" ht="12.1" outlineLevel="0" r="7586">
      <c r="A7586" s="3" t="s">
        <f>=HYPERLINK("https://mp39851918.megaplan.ua/deals/132638/card/","22705")</f>
      </c>
      <c r="B7586" s="3" t="inlineStr">
        <is>
          <t>112-8867318-4860238</t>
        </is>
      </c>
      <c r="C7586" s="3" t="inlineStr">
        <is>
          <t>PartsUnlimited</t>
        </is>
      </c>
    </row>
    <row collapsed="false" customFormat="false" customHeight="false" hidden="false" ht="12.1" outlineLevel="0" r="7587">
      <c r="A7587" s="3" t="s">
        <f>=HYPERLINK("https://mp39851918.megaplan.ua/deals/132647/card/","22706")</f>
      </c>
      <c r="B7587" s="3" t="inlineStr">
        <is>
          <t>114-4799088-4825004</t>
        </is>
      </c>
      <c r="C7587" s="3" t="inlineStr">
        <is>
          <t>Autodist</t>
        </is>
      </c>
    </row>
    <row collapsed="false" customFormat="false" customHeight="false" hidden="false" ht="12.1" outlineLevel="0" r="7588">
      <c r="A7588" s="3" t="s">
        <f>=HYPERLINK("https://mp39851918.megaplan.ua/deals/132653/card/","22707")</f>
      </c>
      <c r="B7588" s="3" t="inlineStr">
        <is>
          <t>111-8513578-1056241</t>
        </is>
      </c>
      <c r="C7588" s="3" t="inlineStr">
        <is>
          <t>Autodist</t>
        </is>
      </c>
    </row>
    <row collapsed="false" customFormat="false" customHeight="false" hidden="false" ht="12.1" outlineLevel="0" r="7589">
      <c r="A7589" s="3" t="s">
        <f>=HYPERLINK("https://mp39851918.megaplan.ua/deals/132654/card/","22708")</f>
      </c>
      <c r="B7589" s="3" t="inlineStr">
        <is>
          <t>112-3135515-7067437</t>
        </is>
      </c>
      <c r="C7589" s="3" t="inlineStr">
        <is>
          <t>Autodist</t>
        </is>
      </c>
    </row>
    <row collapsed="false" customFormat="false" customHeight="false" hidden="false" ht="12.1" outlineLevel="0" r="7590">
      <c r="A7590" s="3" t="s">
        <f>=HYPERLINK("https://mp39851918.megaplan.ua/deals/132655/card/","22709")</f>
      </c>
      <c r="B7590" s="3" t="inlineStr">
        <is>
          <t>111-4149453-8547461</t>
        </is>
      </c>
      <c r="C7590" s="3" t="inlineStr">
        <is>
          <t>Autodist</t>
        </is>
      </c>
    </row>
    <row collapsed="false" customFormat="false" customHeight="false" hidden="false" ht="12.1" outlineLevel="0" r="7591">
      <c r="A7591" s="3" t="s">
        <f>=HYPERLINK("https://mp39851918.megaplan.ua/deals/132661/card/","22711")</f>
      </c>
      <c r="B7591" s="3" t="inlineStr">
        <is>
          <t>111-5495515-6305024</t>
        </is>
      </c>
      <c r="C7591" s="3" t="inlineStr">
        <is>
          <t>Autodist</t>
        </is>
      </c>
    </row>
    <row collapsed="false" customFormat="false" customHeight="false" hidden="false" ht="12.1" outlineLevel="0" r="7592">
      <c r="A7592" s="3" t="s">
        <f>=HYPERLINK("https://mp39851918.megaplan.ua/deals/132662/card/","22712")</f>
      </c>
      <c r="B7592" s="3" t="inlineStr">
        <is>
          <t>113-2434936-8100255</t>
        </is>
      </c>
      <c r="C7592" s="3" t="inlineStr">
        <is>
          <t>TuckerRocky</t>
        </is>
      </c>
    </row>
    <row collapsed="false" customFormat="false" customHeight="false" hidden="false" ht="12.1" outlineLevel="0" r="7593">
      <c r="A7593" s="3" t="s">
        <f>=HYPERLINK("https://mp39851918.megaplan.ua/deals/132666/card/","22713")</f>
      </c>
      <c r="B7593" s="3" t="inlineStr">
        <is>
          <t>112-8008627-7517853</t>
        </is>
      </c>
      <c r="C7593" s="3" t="inlineStr">
        <is>
          <t>RockyMountain</t>
        </is>
      </c>
    </row>
    <row collapsed="false" customFormat="false" customHeight="false" hidden="false" ht="12.1" outlineLevel="0" r="7594">
      <c r="A7594" s="3" t="s">
        <f>=HYPERLINK("https://mp39851918.megaplan.ua/deals/132670/card/","22714")</f>
      </c>
      <c r="B7594" s="3" t="inlineStr">
        <is>
          <t>112-0918492-7987451</t>
        </is>
      </c>
      <c r="C7594" s="3" t="inlineStr">
        <is>
          <t>RockyMountain</t>
        </is>
      </c>
    </row>
    <row collapsed="false" customFormat="false" customHeight="false" hidden="false" ht="12.1" outlineLevel="0" r="7595">
      <c r="A7595" s="3" t="s">
        <f>=HYPERLINK("https://mp39851918.megaplan.ua/deals/132692/card/","22716")</f>
      </c>
      <c r="B7595" s="3" t="inlineStr">
        <is>
          <t>113-9414537-2848254</t>
        </is>
      </c>
      <c r="C7595" s="3" t="inlineStr">
        <is>
          <t>RockyMountain</t>
        </is>
      </c>
    </row>
    <row collapsed="false" customFormat="false" customHeight="false" hidden="false" ht="12.1" outlineLevel="0" r="7596">
      <c r="A7596" s="3" t="s">
        <f>=HYPERLINK("https://mp39851918.megaplan.ua/deals/132697/card/","22717")</f>
      </c>
      <c r="B7596" s="3" t="inlineStr">
        <is>
          <t>112-9222066-4061055</t>
        </is>
      </c>
      <c r="C7596" s="3" t="inlineStr">
        <is>
          <t>RockyMountain</t>
        </is>
      </c>
    </row>
    <row collapsed="false" customFormat="false" customHeight="false" hidden="false" ht="12.1" outlineLevel="0" r="7597">
      <c r="A7597" s="3" t="s">
        <f>=HYPERLINK("https://mp39851918.megaplan.ua/deals/132700/card/","22718")</f>
      </c>
      <c r="B7597" s="3" t="inlineStr">
        <is>
          <t>113-5788775-9352205</t>
        </is>
      </c>
      <c r="C7597" s="3" t="inlineStr">
        <is>
          <t>Autodist</t>
        </is>
      </c>
    </row>
    <row collapsed="false" customFormat="false" customHeight="false" hidden="false" ht="12.1" outlineLevel="0" r="7598">
      <c r="A7598" s="3" t="s">
        <f>=HYPERLINK("https://mp39851918.megaplan.ua/deals/132725/card/","22719")</f>
      </c>
      <c r="B7598" s="3" t="inlineStr">
        <is>
          <t>113-2126833-6116261</t>
        </is>
      </c>
      <c r="C7598" s="3" t="inlineStr">
        <is>
          <t>RockyMountain</t>
        </is>
      </c>
    </row>
    <row collapsed="false" customFormat="false" customHeight="false" hidden="false" ht="12.1" outlineLevel="0" r="7599">
      <c r="A7599" s="3" t="s">
        <f>=HYPERLINK("https://mp39851918.megaplan.ua/deals/132726/card/","22720")</f>
      </c>
      <c r="B7599" s="3" t="inlineStr">
        <is>
          <t>111-7242811-1865809</t>
        </is>
      </c>
      <c r="C7599" s="3" t="inlineStr">
        <is>
          <t>Autodist</t>
        </is>
      </c>
    </row>
    <row collapsed="false" customFormat="false" customHeight="false" hidden="false" ht="12.1" outlineLevel="0" r="7600">
      <c r="A7600" s="3" t="s">
        <f>=HYPERLINK("https://mp39851918.megaplan.ua/deals/132731/card/","22721")</f>
      </c>
      <c r="B7600" s="3" t="inlineStr">
        <is>
          <t>112-1855177-1509823</t>
        </is>
      </c>
      <c r="C7600" s="3" t="inlineStr">
        <is>
          <t>PartsUnlimited</t>
        </is>
      </c>
    </row>
    <row collapsed="false" customFormat="false" customHeight="false" hidden="false" ht="12.1" outlineLevel="0" r="7601">
      <c r="A7601" s="3" t="s">
        <f>=HYPERLINK("https://mp39851918.megaplan.ua/deals/132732/card/","22722")</f>
      </c>
      <c r="B7601" s="3" t="inlineStr">
        <is>
          <t>112-2781373-2069059</t>
        </is>
      </c>
      <c r="C7601" s="3" t="inlineStr">
        <is>
          <t>Autodist</t>
        </is>
      </c>
    </row>
    <row collapsed="false" customFormat="false" customHeight="false" hidden="false" ht="12.1" outlineLevel="0" r="7602">
      <c r="A7602" s="3" t="s">
        <f>=HYPERLINK("https://mp39851918.megaplan.ua/deals/132733/card/","22723")</f>
      </c>
      <c r="B7602" s="3" t="inlineStr">
        <is>
          <t>111-3730304-0082652</t>
        </is>
      </c>
      <c r="C7602" s="3" t="inlineStr">
        <is>
          <t>TuckerRocky</t>
        </is>
      </c>
    </row>
    <row collapsed="false" customFormat="false" customHeight="false" hidden="false" ht="12.1" outlineLevel="0" r="7603">
      <c r="A7603" s="3" t="s">
        <f>=HYPERLINK("https://mp39851918.megaplan.ua/deals/132734/card/","22724")</f>
      </c>
      <c r="B7603" s="3" t="inlineStr">
        <is>
          <t>111-9211967-1469863</t>
        </is>
      </c>
      <c r="C7603" s="3" t="inlineStr">
        <is>
          <t>Autodist</t>
        </is>
      </c>
    </row>
    <row collapsed="false" customFormat="false" customHeight="false" hidden="false" ht="12.1" outlineLevel="0" r="7604">
      <c r="A7604" s="3" t="s">
        <f>=HYPERLINK("https://mp39851918.megaplan.ua/deals/132737/card/","22725")</f>
      </c>
      <c r="B7604" s="3" t="inlineStr">
        <is>
          <t>111-8040007-2864206</t>
        </is>
      </c>
      <c r="C7604" s="3" t="inlineStr">
        <is>
          <t>RockyMountain</t>
        </is>
      </c>
    </row>
    <row collapsed="false" customFormat="false" customHeight="false" hidden="false" ht="12.1" outlineLevel="0" r="7605">
      <c r="A7605" s="3" t="s">
        <f>=HYPERLINK("https://mp39851918.megaplan.ua/deals/132742/card/","22727")</f>
      </c>
      <c r="B7605" s="3" t="inlineStr">
        <is>
          <t>112-4107337-0142655</t>
        </is>
      </c>
      <c r="C7605" s="3" t="inlineStr">
        <is>
          <t>RockyMountain</t>
        </is>
      </c>
    </row>
    <row collapsed="false" customFormat="false" customHeight="false" hidden="false" ht="12.1" outlineLevel="0" r="7606">
      <c r="A7606" s="3" t="s">
        <f>=HYPERLINK("https://mp39851918.megaplan.ua/deals/132743/card/","22728")</f>
      </c>
      <c r="B7606" s="3" t="inlineStr">
        <is>
          <t>112-9696775-3045831</t>
        </is>
      </c>
      <c r="C7606" s="3" t="inlineStr">
        <is>
          <t>RockyMountain</t>
        </is>
      </c>
    </row>
    <row collapsed="false" customFormat="false" customHeight="false" hidden="false" ht="12.1" outlineLevel="0" r="7607">
      <c r="A7607" s="3" t="s">
        <f>=HYPERLINK("https://mp39851918.megaplan.ua/deals/132748/card/","22729")</f>
      </c>
      <c r="B7607" s="3" t="inlineStr">
        <is>
          <t>112-3674236-2012206</t>
        </is>
      </c>
      <c r="C7607" s="3" t="inlineStr">
        <is>
          <t>Autodist</t>
        </is>
      </c>
    </row>
    <row collapsed="false" customFormat="false" customHeight="false" hidden="false" ht="12.1" outlineLevel="0" r="7608">
      <c r="A7608" s="3" t="s">
        <f>=HYPERLINK("https://mp39851918.megaplan.ua/deals/132760/card/","22730")</f>
      </c>
      <c r="B7608" s="3" t="inlineStr">
        <is>
          <t>111-1615750-9784250</t>
        </is>
      </c>
      <c r="C7608" s="3" t="inlineStr">
        <is>
          <t>Autodist</t>
        </is>
      </c>
    </row>
    <row collapsed="false" customFormat="false" customHeight="false" hidden="false" ht="12.1" outlineLevel="0" r="7609">
      <c r="A7609" s="3" t="s">
        <f>=HYPERLINK("https://mp39851918.megaplan.ua/deals/132764/card/","22731")</f>
      </c>
      <c r="B7609" s="3" t="inlineStr">
        <is>
          <t>114-3149513-7809022</t>
        </is>
      </c>
      <c r="C7609" s="3" t="inlineStr">
        <is>
          <t>RockyMountain</t>
        </is>
      </c>
    </row>
    <row collapsed="false" customFormat="false" customHeight="false" hidden="false" ht="12.1" outlineLevel="0" r="7610">
      <c r="A7610" s="3" t="s">
        <f>=HYPERLINK("https://mp39851918.megaplan.ua/deals/132765/card/","22732")</f>
      </c>
      <c r="B7610" s="3" t="inlineStr">
        <is>
          <t>112-9713699-5369042</t>
        </is>
      </c>
      <c r="C7610" s="3" t="inlineStr">
        <is>
          <t>Autodist</t>
        </is>
      </c>
    </row>
    <row collapsed="false" customFormat="false" customHeight="false" hidden="false" ht="12.1" outlineLevel="0" r="7611">
      <c r="A7611" s="3" t="s">
        <f>=HYPERLINK("https://mp39851918.megaplan.ua/deals/132785/card/","22734")</f>
      </c>
      <c r="B7611" s="3" t="inlineStr">
        <is>
          <t>114-8237644-8187456</t>
        </is>
      </c>
      <c r="C7611" s="3" t="inlineStr">
        <is>
          <t>TuckerRocky</t>
        </is>
      </c>
    </row>
    <row collapsed="false" customFormat="false" customHeight="false" hidden="false" ht="12.1" outlineLevel="0" r="7612">
      <c r="A7612" s="3" t="s">
        <f>=HYPERLINK("https://mp39851918.megaplan.ua/deals/132803/card/","22737")</f>
      </c>
      <c r="B7612" s="3" t="inlineStr">
        <is>
          <t>111-7871388-0125004</t>
        </is>
      </c>
      <c r="C7612" s="3" t="inlineStr">
        <is>
          <t>Autodist</t>
        </is>
      </c>
    </row>
    <row collapsed="false" customFormat="false" customHeight="false" hidden="false" ht="12.1" outlineLevel="0" r="7613">
      <c r="A7613" s="3" t="s">
        <f>=HYPERLINK("https://mp39851918.megaplan.ua/deals/132804/card/","22738")</f>
      </c>
      <c r="B7613" s="3" t="inlineStr">
        <is>
          <t>113-6687366-1263433</t>
        </is>
      </c>
      <c r="C7613" s="3" t="inlineStr">
        <is>
          <t>PartsUnlimited</t>
        </is>
      </c>
    </row>
    <row collapsed="false" customFormat="false" customHeight="false" hidden="false" ht="12.1" outlineLevel="0" r="7614">
      <c r="A7614" s="3" t="s">
        <f>=HYPERLINK("https://mp39851918.megaplan.ua/deals/132810/card/","22739")</f>
      </c>
      <c r="B7614" s="3" t="inlineStr">
        <is>
          <t>112-7381978-4878605</t>
        </is>
      </c>
      <c r="C7614" s="3" t="inlineStr">
        <is>
          <t>TuckerRocky</t>
        </is>
      </c>
    </row>
    <row collapsed="false" customFormat="false" customHeight="false" hidden="false" ht="12.1" outlineLevel="0" r="7615">
      <c r="A7615" s="3" t="s">
        <f>=HYPERLINK("https://mp39851918.megaplan.ua/deals/132811/card/","22740")</f>
      </c>
      <c r="B7615" s="3" t="inlineStr">
        <is>
          <t>114-5014279-4776227</t>
        </is>
      </c>
      <c r="C7615" s="3" t="inlineStr">
        <is>
          <t>RockyMountain</t>
        </is>
      </c>
    </row>
    <row collapsed="false" customFormat="false" customHeight="false" hidden="false" ht="12.1" outlineLevel="0" r="7616">
      <c r="A7616" s="3" t="s">
        <f>=HYPERLINK("https://mp39851918.megaplan.ua/deals/132812/card/","22741")</f>
      </c>
      <c r="B7616" s="3" t="inlineStr">
        <is>
          <t>114-3142287-6341803</t>
        </is>
      </c>
      <c r="C7616" s="3" t="inlineStr">
        <is>
          <t>TuckerRocky</t>
        </is>
      </c>
    </row>
    <row collapsed="false" customFormat="false" customHeight="false" hidden="false" ht="12.1" outlineLevel="0" r="7617">
      <c r="A7617" s="3" t="s">
        <f>=HYPERLINK("https://mp39851918.megaplan.ua/deals/132816/card/","22742")</f>
      </c>
      <c r="B7617" s="3" t="inlineStr">
        <is>
          <t>112-3800578-1597005</t>
        </is>
      </c>
      <c r="C7617" s="3" t="inlineStr">
        <is>
          <t>RockyMountain</t>
        </is>
      </c>
    </row>
    <row collapsed="false" customFormat="false" customHeight="false" hidden="false" ht="12.1" outlineLevel="0" r="7618">
      <c r="A7618" s="3" t="s">
        <f>=HYPERLINK("https://mp39851918.megaplan.ua/deals/132817/card/","22743")</f>
      </c>
      <c r="B7618" s="3" t="inlineStr">
        <is>
          <t>111-5689033-8332258</t>
        </is>
      </c>
      <c r="C7618" s="3" t="inlineStr">
        <is>
          <t>RockyMountain</t>
        </is>
      </c>
    </row>
    <row collapsed="false" customFormat="false" customHeight="false" hidden="false" ht="12.1" outlineLevel="0" r="7619">
      <c r="A7619" s="3" t="s">
        <f>=HYPERLINK("https://mp39851918.megaplan.ua/deals/132818/card/","22744")</f>
      </c>
      <c r="B7619" s="3" t="inlineStr">
        <is>
          <t>111-9314673-7893005</t>
        </is>
      </c>
      <c r="C7619" s="3" t="inlineStr">
        <is>
          <t>RockyMountain</t>
        </is>
      </c>
    </row>
    <row collapsed="false" customFormat="false" customHeight="false" hidden="false" ht="12.1" outlineLevel="0" r="7620">
      <c r="A7620" s="3" t="s">
        <f>=HYPERLINK("https://mp39851918.megaplan.ua/deals/132819/card/","22745")</f>
      </c>
      <c r="B7620" s="3" t="inlineStr">
        <is>
          <t>114-6833297-2795460</t>
        </is>
      </c>
      <c r="C7620" s="3" t="inlineStr">
        <is>
          <t>RockyMountain</t>
        </is>
      </c>
    </row>
    <row collapsed="false" customFormat="false" customHeight="false" hidden="false" ht="12.1" outlineLevel="0" r="7621">
      <c r="A7621" s="3" t="s">
        <f>=HYPERLINK("https://mp39851918.megaplan.ua/deals/132853/card/","22747")</f>
      </c>
      <c r="B7621" s="3" t="inlineStr">
        <is>
          <t>111-5310866-8108235</t>
        </is>
      </c>
      <c r="C7621" s="3" t="inlineStr">
        <is>
          <t>RockyMountain</t>
        </is>
      </c>
    </row>
    <row collapsed="false" customFormat="false" customHeight="false" hidden="false" ht="12.1" outlineLevel="0" r="7622">
      <c r="A7622" s="3" t="s">
        <f>=HYPERLINK("https://mp39851918.megaplan.ua/deals/132854/card/","22748")</f>
      </c>
      <c r="B7622" s="3" t="inlineStr">
        <is>
          <t>112-0045073-3815424</t>
        </is>
      </c>
      <c r="C7622" s="3" t="inlineStr">
        <is>
          <t>RockyMountain</t>
        </is>
      </c>
    </row>
    <row collapsed="false" customFormat="false" customHeight="false" hidden="false" ht="12.1" outlineLevel="0" r="7623">
      <c r="A7623" s="3" t="s">
        <f>=HYPERLINK("https://mp39851918.megaplan.ua/deals/132857/card/","22749")</f>
      </c>
      <c r="B7623" s="3" t="inlineStr">
        <is>
          <t>111-1375093-5525809</t>
        </is>
      </c>
      <c r="C7623" s="3" t="inlineStr">
        <is>
          <t>RockyMountain</t>
        </is>
      </c>
    </row>
    <row collapsed="false" customFormat="false" customHeight="false" hidden="false" ht="12.1" outlineLevel="0" r="7624">
      <c r="A7624" s="3" t="s">
        <f>=HYPERLINK("https://mp39851918.megaplan.ua/deals/132869/card/","22750")</f>
      </c>
      <c r="B7624" s="3" t="inlineStr">
        <is>
          <t>112-0927054-9753827</t>
        </is>
      </c>
      <c r="C7624" s="3" t="inlineStr">
        <is>
          <t>TuckerRocky</t>
        </is>
      </c>
    </row>
    <row collapsed="false" customFormat="false" customHeight="false" hidden="false" ht="12.1" outlineLevel="0" r="7625">
      <c r="A7625" s="3" t="s">
        <f>=HYPERLINK("https://mp39851918.megaplan.ua/deals/132870/card/","22751")</f>
      </c>
      <c r="B7625" s="3" t="inlineStr">
        <is>
          <t>113-5042735-9137023</t>
        </is>
      </c>
      <c r="C7625" s="3" t="inlineStr">
        <is>
          <t>TuckerRocky</t>
        </is>
      </c>
    </row>
    <row collapsed="false" customFormat="false" customHeight="false" hidden="false" ht="12.1" outlineLevel="0" r="7626">
      <c r="A7626" s="3" t="s">
        <f>=HYPERLINK("https://mp39851918.megaplan.ua/deals/132871/card/","22752")</f>
      </c>
      <c r="B7626" s="3" t="inlineStr">
        <is>
          <t>113-0568731-3853028</t>
        </is>
      </c>
      <c r="C7626" s="3" t="inlineStr">
        <is>
          <t>RockyMountain</t>
        </is>
      </c>
    </row>
    <row collapsed="false" customFormat="false" customHeight="false" hidden="false" ht="12.1" outlineLevel="0" r="7627">
      <c r="A7627" s="3" t="s">
        <f>=HYPERLINK("https://mp39851918.megaplan.ua/deals/132872/card/","22753")</f>
      </c>
      <c r="B7627" s="3" t="inlineStr">
        <is>
          <t>111-4222490-5675459</t>
        </is>
      </c>
      <c r="C7627" s="3" t="inlineStr">
        <is>
          <t>Autodist</t>
        </is>
      </c>
    </row>
    <row collapsed="false" customFormat="false" customHeight="false" hidden="false" ht="12.1" outlineLevel="0" r="7628">
      <c r="A7628" s="3" t="s">
        <f>=HYPERLINK("https://mp39851918.megaplan.ua/deals/132891/card/","22755")</f>
      </c>
      <c r="B7628" s="3" t="inlineStr">
        <is>
          <t>112-3499587-0141036</t>
        </is>
      </c>
      <c r="C7628" s="3" t="inlineStr">
        <is>
          <t>RockyMountain</t>
        </is>
      </c>
    </row>
    <row collapsed="false" customFormat="false" customHeight="false" hidden="false" ht="12.1" outlineLevel="0" r="7629">
      <c r="A7629" s="3" t="s">
        <f>=HYPERLINK("https://mp39851918.megaplan.ua/deals/132901/card/","22756")</f>
      </c>
      <c r="B7629" s="3" t="inlineStr">
        <is>
          <t>112-0355656-2532260</t>
        </is>
      </c>
      <c r="C7629" s="3" t="inlineStr">
        <is>
          <t>RockyMountain</t>
        </is>
      </c>
    </row>
    <row collapsed="false" customFormat="false" customHeight="false" hidden="false" ht="12.1" outlineLevel="0" r="7630">
      <c r="A7630" s="3" t="s">
        <f>=HYPERLINK("https://mp39851918.megaplan.ua/deals/132902/card/","22757")</f>
      </c>
      <c r="B7630" s="3" t="inlineStr">
        <is>
          <t>112-9038049-8852253</t>
        </is>
      </c>
      <c r="C7630" s="3" t="inlineStr">
        <is>
          <t>Autodist</t>
        </is>
      </c>
    </row>
    <row collapsed="false" customFormat="false" customHeight="false" hidden="false" ht="12.1" outlineLevel="0" r="7631">
      <c r="A7631" s="3" t="s">
        <f>=HYPERLINK("https://mp39851918.megaplan.ua/deals/132916/card/","22758")</f>
      </c>
      <c r="B7631" s="3" t="inlineStr">
        <is>
          <t>112-5340241-0491468</t>
        </is>
      </c>
      <c r="C7631" s="3" t="inlineStr">
        <is>
          <t>Autodist</t>
        </is>
      </c>
    </row>
    <row collapsed="false" customFormat="false" customHeight="false" hidden="false" ht="12.1" outlineLevel="0" r="7632">
      <c r="A7632" s="3" t="s">
        <f>=HYPERLINK("https://mp39851918.megaplan.ua/deals/132925/card/","22759")</f>
      </c>
      <c r="B7632" s="3" t="inlineStr">
        <is>
          <t>113-4339895-0081855</t>
        </is>
      </c>
      <c r="C7632" s="3" t="inlineStr">
        <is>
          <t>PartsUnlimited</t>
        </is>
      </c>
    </row>
    <row collapsed="false" customFormat="false" customHeight="false" hidden="false" ht="12.1" outlineLevel="0" r="7633">
      <c r="A7633" s="3" t="s">
        <f>=HYPERLINK("https://mp39851918.megaplan.ua/deals/132928/card/","22760")</f>
      </c>
      <c r="B7633" s="3" t="inlineStr">
        <is>
          <t>112-4297488-0396206</t>
        </is>
      </c>
      <c r="C7633" s="3" t="inlineStr">
        <is>
          <t>Autodist</t>
        </is>
      </c>
    </row>
    <row collapsed="false" customFormat="false" customHeight="false" hidden="false" ht="12.1" outlineLevel="0" r="7634">
      <c r="A7634" s="3" t="s">
        <f>=HYPERLINK("https://mp39851918.megaplan.ua/deals/132930/card/","22761")</f>
      </c>
      <c r="B7634" s="3" t="inlineStr">
        <is>
          <t>111-1739780-2077825</t>
        </is>
      </c>
      <c r="C7634" s="3" t="inlineStr">
        <is>
          <t>TuckerRocky</t>
        </is>
      </c>
    </row>
    <row collapsed="false" customFormat="false" customHeight="false" hidden="false" ht="12.1" outlineLevel="0" r="7635">
      <c r="A7635" s="3" t="s">
        <f>=HYPERLINK("https://mp39851918.megaplan.ua/deals/132936/card/","22763")</f>
      </c>
      <c r="B7635" s="3" t="inlineStr">
        <is>
          <t>113-9000882-3354602</t>
        </is>
      </c>
      <c r="C7635" s="3" t="inlineStr">
        <is>
          <t>RockyMountain</t>
        </is>
      </c>
    </row>
    <row collapsed="false" customFormat="false" customHeight="false" hidden="false" ht="12.1" outlineLevel="0" r="7636">
      <c r="A7636" s="3" t="s">
        <f>=HYPERLINK("https://mp39851918.megaplan.ua/deals/132962/card/","22765")</f>
      </c>
      <c r="B7636" s="3" t="inlineStr">
        <is>
          <t>112-2687990-7692206</t>
        </is>
      </c>
      <c r="C7636" s="3" t="inlineStr">
        <is>
          <t>TuckerRocky</t>
        </is>
      </c>
    </row>
    <row collapsed="false" customFormat="false" customHeight="false" hidden="false" ht="12.1" outlineLevel="0" r="7637">
      <c r="A7637" s="3" t="s">
        <f>=HYPERLINK("https://mp39851918.megaplan.ua/deals/132963/card/","22766")</f>
      </c>
      <c r="B7637" s="3" t="inlineStr">
        <is>
          <t>113-7805721-0990602</t>
        </is>
      </c>
      <c r="C7637" s="3" t="inlineStr">
        <is>
          <t>PartsUnlimited</t>
        </is>
      </c>
    </row>
    <row collapsed="false" customFormat="false" customHeight="false" hidden="false" ht="12.1" outlineLevel="0" r="7638">
      <c r="A7638" s="3" t="s">
        <f>=HYPERLINK("https://mp39851918.megaplan.ua/deals/132967/card/","22767")</f>
      </c>
      <c r="B7638" s="3" t="inlineStr">
        <is>
          <t>114-1641358-8449821</t>
        </is>
      </c>
      <c r="C7638" s="3" t="inlineStr">
        <is>
          <t>Autodist</t>
        </is>
      </c>
    </row>
    <row collapsed="false" customFormat="false" customHeight="false" hidden="false" ht="12.1" outlineLevel="0" r="7639">
      <c r="A7639" s="3" t="s">
        <f>=HYPERLINK("https://mp39851918.megaplan.ua/deals/132970/card/","22768")</f>
      </c>
      <c r="B7639" s="3" t="inlineStr">
        <is>
          <t>112-9306963-3077019</t>
        </is>
      </c>
      <c r="C7639" s="3" t="inlineStr">
        <is>
          <t>Autodist</t>
        </is>
      </c>
    </row>
    <row collapsed="false" customFormat="false" customHeight="false" hidden="false" ht="12.1" outlineLevel="0" r="7640">
      <c r="A7640" s="3" t="s">
        <f>=HYPERLINK("https://mp39851918.megaplan.ua/deals/132971/card/","22769")</f>
      </c>
      <c r="B7640" s="3" t="inlineStr">
        <is>
          <t>113-4763332-7822622</t>
        </is>
      </c>
      <c r="C7640" s="3" t="inlineStr">
        <is>
          <t>PartsUnlimited</t>
        </is>
      </c>
    </row>
    <row collapsed="false" customFormat="false" customHeight="false" hidden="false" ht="12.1" outlineLevel="0" r="7641">
      <c r="A7641" s="3" t="s">
        <f>=HYPERLINK("https://mp39851918.megaplan.ua/deals/132972/card/","22770")</f>
      </c>
      <c r="B7641" s="3" t="inlineStr">
        <is>
          <t>114-0114296-7363432</t>
        </is>
      </c>
      <c r="C7641" s="3" t="inlineStr">
        <is>
          <t>Autodist</t>
        </is>
      </c>
    </row>
    <row collapsed="false" customFormat="false" customHeight="false" hidden="false" ht="12.1" outlineLevel="0" r="7642">
      <c r="A7642" s="3" t="s">
        <f>=HYPERLINK("https://mp39851918.megaplan.ua/deals/132982/card/","22771")</f>
      </c>
      <c r="B7642" s="3" t="inlineStr">
        <is>
          <t>112-0571371-5147428</t>
        </is>
      </c>
      <c r="C7642" s="3" t="inlineStr">
        <is>
          <t>RockyMountain</t>
        </is>
      </c>
    </row>
    <row collapsed="false" customFormat="false" customHeight="false" hidden="false" ht="12.1" outlineLevel="0" r="7643">
      <c r="A7643" s="3" t="s">
        <f>=HYPERLINK("https://mp39851918.megaplan.ua/deals/132995/card/","22772")</f>
      </c>
      <c r="B7643" s="3" t="inlineStr">
        <is>
          <t>111-6855334-8619453</t>
        </is>
      </c>
      <c r="C7643" s="3" t="inlineStr">
        <is>
          <t>RockyMountain</t>
        </is>
      </c>
    </row>
    <row collapsed="false" customFormat="false" customHeight="false" hidden="false" ht="12.1" outlineLevel="0" r="7644">
      <c r="A7644" s="3" t="s">
        <f>=HYPERLINK("https://mp39851918.megaplan.ua/deals/132997/card/","22773")</f>
      </c>
      <c r="B7644" s="3" t="inlineStr">
        <is>
          <t>114-1993392-3693066</t>
        </is>
      </c>
      <c r="C7644" s="3" t="inlineStr">
        <is>
          <t>RockyMountain</t>
        </is>
      </c>
    </row>
    <row collapsed="false" customFormat="false" customHeight="false" hidden="false" ht="12.1" outlineLevel="0" r="7645">
      <c r="A7645" s="3" t="s">
        <f>=HYPERLINK("https://mp39851918.megaplan.ua/deals/133016/card/","22774")</f>
      </c>
      <c r="B7645" s="3" t="inlineStr">
        <is>
          <t>111-3297225-8943420</t>
        </is>
      </c>
      <c r="C7645" s="3" t="inlineStr">
        <is>
          <t>RockyMountain</t>
        </is>
      </c>
    </row>
    <row collapsed="false" customFormat="false" customHeight="false" hidden="false" ht="12.1" outlineLevel="0" r="7646">
      <c r="A7646" s="3" t="s">
        <f>=HYPERLINK("https://mp39851918.megaplan.ua/deals/133022/card/","22775")</f>
      </c>
      <c r="B7646" s="3" t="inlineStr">
        <is>
          <t>111-8859962-8698617</t>
        </is>
      </c>
      <c r="C7646" s="3" t="inlineStr">
        <is>
          <t>Autodist</t>
        </is>
      </c>
    </row>
    <row collapsed="false" customFormat="false" customHeight="false" hidden="false" ht="12.1" outlineLevel="0" r="7647">
      <c r="A7647" s="3" t="s">
        <f>=HYPERLINK("https://mp39851918.megaplan.ua/deals/133029/card/","22776")</f>
      </c>
      <c r="B7647" s="3" t="inlineStr">
        <is>
          <t>111-3607372-7097822</t>
        </is>
      </c>
      <c r="C7647" s="3" t="inlineStr">
        <is>
          <t>RockyMountain</t>
        </is>
      </c>
    </row>
    <row collapsed="false" customFormat="false" customHeight="false" hidden="false" ht="12.1" outlineLevel="0" r="7648">
      <c r="A7648" s="3" t="s">
        <f>=HYPERLINK("https://mp39851918.megaplan.ua/deals/133030/card/","22777")</f>
      </c>
      <c r="B7648" s="3" t="inlineStr">
        <is>
          <t>113-8980704-2963409</t>
        </is>
      </c>
      <c r="C7648" s="3" t="inlineStr">
        <is>
          <t>Autodist</t>
        </is>
      </c>
    </row>
    <row collapsed="false" customFormat="false" customHeight="false" hidden="false" ht="12.1" outlineLevel="0" r="7649">
      <c r="A7649" s="3" t="s">
        <f>=HYPERLINK("https://mp39851918.megaplan.ua/deals/133038/card/","22778")</f>
      </c>
      <c r="B7649" s="3" t="inlineStr">
        <is>
          <t>111-0792115-7395449</t>
        </is>
      </c>
      <c r="C7649" s="3" t="inlineStr">
        <is>
          <t>PartsUnlimited</t>
        </is>
      </c>
    </row>
    <row collapsed="false" customFormat="false" customHeight="false" hidden="false" ht="12.1" outlineLevel="0" r="7650">
      <c r="A7650" s="3" t="s">
        <f>=HYPERLINK("https://mp39851918.megaplan.ua/deals/133042/card/","22779")</f>
      </c>
      <c r="B7650" s="3" t="inlineStr">
        <is>
          <t>114-2591627-2141802</t>
        </is>
      </c>
      <c r="C7650" s="3" t="inlineStr">
        <is>
          <t>PartsUnlimited</t>
        </is>
      </c>
    </row>
    <row collapsed="false" customFormat="false" customHeight="false" hidden="false" ht="12.1" outlineLevel="0" r="7651">
      <c r="A7651" s="3" t="s">
        <f>=HYPERLINK("https://mp39851918.megaplan.ua/deals/133044/card/","22780")</f>
      </c>
      <c r="B7651" s="3" t="inlineStr">
        <is>
          <t>111-9952369-2087408</t>
        </is>
      </c>
      <c r="C7651" s="3" t="inlineStr">
        <is>
          <t>Autodist</t>
        </is>
      </c>
    </row>
    <row collapsed="false" customFormat="false" customHeight="false" hidden="false" ht="12.1" outlineLevel="0" r="7652">
      <c r="A7652" s="3" t="s">
        <f>=HYPERLINK("https://mp39851918.megaplan.ua/deals/133048/card/","22781")</f>
      </c>
      <c r="B7652" s="3" t="inlineStr">
        <is>
          <t>112-7222795-7053808</t>
        </is>
      </c>
      <c r="C7652" s="3" t="inlineStr">
        <is>
          <t>TuckerRocky</t>
        </is>
      </c>
    </row>
    <row collapsed="false" customFormat="false" customHeight="false" hidden="false" ht="12.1" outlineLevel="0" r="7653">
      <c r="A7653" s="3" t="s">
        <f>=HYPERLINK("https://mp39851918.megaplan.ua/deals/133049/card/","22782")</f>
      </c>
      <c r="B7653" s="3" t="inlineStr">
        <is>
          <t>112-5924272-0709014</t>
        </is>
      </c>
      <c r="C7653" s="3" t="inlineStr">
        <is>
          <t>Autodist</t>
        </is>
      </c>
    </row>
    <row collapsed="false" customFormat="false" customHeight="false" hidden="false" ht="12.1" outlineLevel="0" r="7654">
      <c r="A7654" s="3" t="s">
        <f>=HYPERLINK("https://mp39851918.megaplan.ua/deals/133054/card/","22783")</f>
      </c>
      <c r="B7654" s="3" t="inlineStr">
        <is>
          <t>112-4431764-6058631</t>
        </is>
      </c>
      <c r="C7654" s="3" t="inlineStr">
        <is>
          <t>Autodist</t>
        </is>
      </c>
    </row>
    <row collapsed="false" customFormat="false" customHeight="false" hidden="false" ht="12.1" outlineLevel="0" r="7655">
      <c r="A7655" s="3" t="s">
        <f>=HYPERLINK("https://mp39851918.megaplan.ua/deals/133069/card/","22785")</f>
      </c>
      <c r="B7655" s="3" t="inlineStr">
        <is>
          <t>114-0062318-2493030</t>
        </is>
      </c>
      <c r="C7655" s="3" t="inlineStr">
        <is>
          <t>PartsUnlimited</t>
        </is>
      </c>
    </row>
    <row collapsed="false" customFormat="false" customHeight="false" hidden="false" ht="12.1" outlineLevel="0" r="7656">
      <c r="A7656" s="3" t="s">
        <f>=HYPERLINK("https://mp39851918.megaplan.ua/deals/133072/card/","22786")</f>
      </c>
      <c r="B7656" s="3" t="inlineStr">
        <is>
          <t>111-2476668-7665821</t>
        </is>
      </c>
      <c r="C7656" s="3" t="inlineStr">
        <is>
          <t>RockyMountain</t>
        </is>
      </c>
    </row>
    <row collapsed="false" customFormat="false" customHeight="false" hidden="false" ht="12.1" outlineLevel="0" r="7657">
      <c r="A7657" s="3" t="s">
        <f>=HYPERLINK("https://mp39851918.megaplan.ua/deals/133080/card/","22787")</f>
      </c>
      <c r="B7657" s="3" t="inlineStr">
        <is>
          <t>114-6343580-2878654</t>
        </is>
      </c>
      <c r="C7657" s="3" t="inlineStr">
        <is>
          <t>Autodist</t>
        </is>
      </c>
    </row>
    <row collapsed="false" customFormat="false" customHeight="false" hidden="false" ht="12.1" outlineLevel="0" r="7658">
      <c r="A7658" s="3" t="s">
        <f>=HYPERLINK("https://mp39851918.megaplan.ua/deals/133081/card/","22788")</f>
      </c>
      <c r="B7658" s="3" t="inlineStr">
        <is>
          <t>113-7906968-8028207</t>
        </is>
      </c>
      <c r="C7658" s="3" t="inlineStr">
        <is>
          <t>RockyMountain</t>
        </is>
      </c>
    </row>
    <row collapsed="false" customFormat="false" customHeight="false" hidden="false" ht="12.1" outlineLevel="0" r="7659">
      <c r="A7659" s="3" t="s">
        <f>=HYPERLINK("https://mp39851918.megaplan.ua/deals/133086/card/","22789")</f>
      </c>
      <c r="B7659" s="3" t="inlineStr">
        <is>
          <t>113-1775495-8605807</t>
        </is>
      </c>
      <c r="C7659" s="3" t="inlineStr">
        <is>
          <t>Autodist</t>
        </is>
      </c>
    </row>
    <row collapsed="false" customFormat="false" customHeight="false" hidden="false" ht="12.1" outlineLevel="0" r="7660">
      <c r="A7660" s="3" t="s">
        <f>=HYPERLINK("https://mp39851918.megaplan.ua/deals/133092/card/","22790")</f>
      </c>
      <c r="B7660" s="3" t="inlineStr">
        <is>
          <t>111-4892922-5152245</t>
        </is>
      </c>
      <c r="C7660" s="3" t="inlineStr">
        <is>
          <t>Autodist</t>
        </is>
      </c>
    </row>
    <row collapsed="false" customFormat="false" customHeight="false" hidden="false" ht="12.1" outlineLevel="0" r="7661">
      <c r="A7661" s="3" t="s">
        <f>=HYPERLINK("https://mp39851918.megaplan.ua/deals/133094/card/","22791")</f>
      </c>
      <c r="B7661" s="3" t="inlineStr">
        <is>
          <t>114-8508041-9197823</t>
        </is>
      </c>
      <c r="C7661" s="3" t="inlineStr">
        <is>
          <t>RockyMountain</t>
        </is>
      </c>
    </row>
    <row collapsed="false" customFormat="false" customHeight="false" hidden="false" ht="12.1" outlineLevel="0" r="7662">
      <c r="A7662" s="3" t="s">
        <f>=HYPERLINK("https://mp39851918.megaplan.ua/deals/133096/card/","22792")</f>
      </c>
      <c r="B7662" s="3" t="inlineStr">
        <is>
          <t>112-0781499-5165067</t>
        </is>
      </c>
      <c r="C7662" s="3" t="inlineStr">
        <is>
          <t>RockyMountain</t>
        </is>
      </c>
    </row>
    <row collapsed="false" customFormat="false" customHeight="false" hidden="false" ht="12.1" outlineLevel="0" r="7663">
      <c r="A7663" s="3" t="s">
        <f>=HYPERLINK("https://mp39851918.megaplan.ua/deals/133099/card/","22793")</f>
      </c>
      <c r="B7663" s="3" t="inlineStr">
        <is>
          <t>111-2759644-8683417</t>
        </is>
      </c>
      <c r="C7663" s="3" t="inlineStr">
        <is>
          <t>RockyMountain</t>
        </is>
      </c>
    </row>
    <row collapsed="false" customFormat="false" customHeight="false" hidden="false" ht="12.1" outlineLevel="0" r="7664">
      <c r="A7664" s="3" t="s">
        <f>=HYPERLINK("https://mp39851918.megaplan.ua/deals/133100/card/","22794")</f>
      </c>
      <c r="B7664" s="3" t="inlineStr">
        <is>
          <t>113-3718131-8873008</t>
        </is>
      </c>
      <c r="C7664" s="3" t="inlineStr">
        <is>
          <t>Autodist</t>
        </is>
      </c>
    </row>
    <row collapsed="false" customFormat="false" customHeight="false" hidden="false" ht="12.1" outlineLevel="0" r="7665">
      <c r="A7665" s="3" t="s">
        <f>=HYPERLINK("https://mp39851918.megaplan.ua/deals/133115/card/","22795")</f>
      </c>
      <c r="B7665" s="3" t="inlineStr">
        <is>
          <t>112-0472160-3859457</t>
        </is>
      </c>
      <c r="C7665" s="3" t="inlineStr">
        <is>
          <t>TuckerRocky</t>
        </is>
      </c>
    </row>
    <row collapsed="false" customFormat="false" customHeight="false" hidden="false" ht="12.1" outlineLevel="0" r="7666">
      <c r="A7666" s="3" t="s">
        <f>=HYPERLINK("https://mp39851918.megaplan.ua/deals/133116/card/","22796")</f>
      </c>
      <c r="B7666" s="3" t="inlineStr">
        <is>
          <t>112-8772109-0920225</t>
        </is>
      </c>
      <c r="C7666" s="3" t="inlineStr">
        <is>
          <t>RockyMountain</t>
        </is>
      </c>
    </row>
    <row collapsed="false" customFormat="false" customHeight="false" hidden="false" ht="12.1" outlineLevel="0" r="7667">
      <c r="A7667" s="3" t="s">
        <f>=HYPERLINK("https://mp39851918.megaplan.ua/deals/133124/card/","22797")</f>
      </c>
      <c r="B7667" s="3" t="inlineStr">
        <is>
          <t>112-5013965-4899409</t>
        </is>
      </c>
      <c r="C7667" s="3" t="inlineStr">
        <is>
          <t>RockyMountain</t>
        </is>
      </c>
    </row>
    <row collapsed="false" customFormat="false" customHeight="false" hidden="false" ht="12.1" outlineLevel="0" r="7668">
      <c r="A7668" s="3" t="s">
        <f>=HYPERLINK("https://mp39851918.megaplan.ua/deals/133128/card/","22798")</f>
      </c>
      <c r="B7668" s="3" t="inlineStr">
        <is>
          <t>112-0077846-6643464</t>
        </is>
      </c>
      <c r="C7668" s="3" t="inlineStr">
        <is>
          <t>RockyMountain</t>
        </is>
      </c>
    </row>
    <row collapsed="false" customFormat="false" customHeight="false" hidden="false" ht="12.1" outlineLevel="0" r="7669">
      <c r="A7669" s="3" t="s">
        <f>=HYPERLINK("https://mp39851918.megaplan.ua/deals/133137/card/","22799")</f>
      </c>
      <c r="B7669" s="3" t="inlineStr">
        <is>
          <t>114-7519352-6537850</t>
        </is>
      </c>
      <c r="C7669" s="3" t="inlineStr">
        <is>
          <t>Autodist</t>
        </is>
      </c>
    </row>
    <row collapsed="false" customFormat="false" customHeight="false" hidden="false" ht="12.1" outlineLevel="0" r="7670">
      <c r="A7670" s="3" t="s">
        <f>=HYPERLINK("https://mp39851918.megaplan.ua/deals/133138/card/","22800")</f>
      </c>
      <c r="B7670" s="3" t="inlineStr">
        <is>
          <t>114-2573969-5837821</t>
        </is>
      </c>
      <c r="C7670" s="3" t="inlineStr">
        <is>
          <t>Autodist</t>
        </is>
      </c>
    </row>
    <row collapsed="false" customFormat="false" customHeight="false" hidden="false" ht="12.1" outlineLevel="0" r="7671">
      <c r="A7671" s="3" t="s">
        <f>=HYPERLINK("https://mp39851918.megaplan.ua/deals/133143/card/","22801")</f>
      </c>
      <c r="B7671" s="3" t="inlineStr">
        <is>
          <t>114-2611856-7782603</t>
        </is>
      </c>
      <c r="C7671" s="3" t="inlineStr">
        <is>
          <t>RockyMountain</t>
        </is>
      </c>
    </row>
    <row collapsed="false" customFormat="false" customHeight="false" hidden="false" ht="12.1" outlineLevel="0" r="7672">
      <c r="A7672" s="3" t="s">
        <f>=HYPERLINK("https://mp39851918.megaplan.ua/deals/133159/card/","22802")</f>
      </c>
      <c r="B7672" s="3" t="inlineStr">
        <is>
          <t>113-9444151-0713850</t>
        </is>
      </c>
      <c r="C7672" s="3" t="inlineStr">
        <is>
          <t>Autodist</t>
        </is>
      </c>
    </row>
    <row collapsed="false" customFormat="false" customHeight="false" hidden="false" ht="12.1" outlineLevel="0" r="7673">
      <c r="A7673" s="3" t="s">
        <f>=HYPERLINK("https://mp39851918.megaplan.ua/deals/133160/card/","22803")</f>
      </c>
      <c r="B7673" s="3" t="inlineStr">
        <is>
          <t>111-7268373-3895413</t>
        </is>
      </c>
      <c r="C7673" s="3" t="inlineStr">
        <is>
          <t>Autodist</t>
        </is>
      </c>
    </row>
    <row collapsed="false" customFormat="false" customHeight="false" hidden="false" ht="12.1" outlineLevel="0" r="7674">
      <c r="A7674" s="3" t="s">
        <f>=HYPERLINK("https://mp39851918.megaplan.ua/deals/133166/card/","22804")</f>
      </c>
      <c r="B7674" s="3" t="inlineStr">
        <is>
          <t>112-7381286-9868223</t>
        </is>
      </c>
      <c r="C7674" s="3" t="inlineStr">
        <is>
          <t>RockyMountain</t>
        </is>
      </c>
    </row>
    <row collapsed="false" customFormat="false" customHeight="false" hidden="false" ht="12.1" outlineLevel="0" r="7675">
      <c r="A7675" s="3" t="s">
        <f>=HYPERLINK("https://mp39851918.megaplan.ua/deals/133178/card/","22806")</f>
      </c>
      <c r="B7675" s="3" t="inlineStr">
        <is>
          <t>114-0667313-7557040</t>
        </is>
      </c>
      <c r="C7675" s="3" t="inlineStr">
        <is>
          <t>PartsUnlimited</t>
        </is>
      </c>
    </row>
    <row collapsed="false" customFormat="false" customHeight="false" hidden="false" ht="12.1" outlineLevel="0" r="7676">
      <c r="A7676" s="3" t="s">
        <f>=HYPERLINK("https://mp39851918.megaplan.ua/deals/133185/card/","22808")</f>
      </c>
      <c r="B7676" s="3" t="inlineStr">
        <is>
          <t>113-5522449-1185001</t>
        </is>
      </c>
      <c r="C7676" s="3" t="inlineStr">
        <is>
          <t>Autodist</t>
        </is>
      </c>
    </row>
    <row collapsed="false" customFormat="false" customHeight="false" hidden="false" ht="12.1" outlineLevel="0" r="7677">
      <c r="A7677" s="3" t="s">
        <f>=HYPERLINK("https://mp39851918.megaplan.ua/deals/133193/card/","22809")</f>
      </c>
      <c r="B7677" s="3" t="inlineStr">
        <is>
          <t>113-5041916-0447467</t>
        </is>
      </c>
      <c r="C7677" s="3" t="inlineStr">
        <is>
          <t>Autodist</t>
        </is>
      </c>
    </row>
    <row collapsed="false" customFormat="false" customHeight="false" hidden="false" ht="12.1" outlineLevel="0" r="7678">
      <c r="A7678" s="3" t="s">
        <f>=HYPERLINK("https://mp39851918.megaplan.ua/deals/133199/card/","22810")</f>
      </c>
      <c r="B7678" s="3" t="inlineStr">
        <is>
          <t>114-2834823-7721868</t>
        </is>
      </c>
      <c r="C7678" s="3" t="inlineStr">
        <is>
          <t>PartsUnlimited</t>
        </is>
      </c>
    </row>
    <row collapsed="false" customFormat="false" customHeight="false" hidden="false" ht="12.1" outlineLevel="0" r="7679">
      <c r="A7679" s="3" t="s">
        <f>=HYPERLINK("https://mp39851918.megaplan.ua/deals/133211/card/","22811")</f>
      </c>
      <c r="B7679" s="3" t="inlineStr">
        <is>
          <t>112-1338286-8929040</t>
        </is>
      </c>
      <c r="C7679" s="3" t="inlineStr">
        <is>
          <t>TuckerRocky</t>
        </is>
      </c>
    </row>
    <row collapsed="false" customFormat="false" customHeight="false" hidden="false" ht="12.1" outlineLevel="0" r="7680">
      <c r="A7680" s="3" t="s">
        <f>=HYPERLINK("https://mp39851918.megaplan.ua/deals/133220/card/","22813")</f>
      </c>
      <c r="B7680" s="3" t="inlineStr">
        <is>
          <t>112-1568071-5121044</t>
        </is>
      </c>
      <c r="C7680" s="3" t="inlineStr">
        <is>
          <t>PartsUnlimited</t>
        </is>
      </c>
    </row>
    <row collapsed="false" customFormat="false" customHeight="false" hidden="false" ht="12.1" outlineLevel="0" r="7681">
      <c r="A7681" s="3" t="s">
        <f>=HYPERLINK("https://mp39851918.megaplan.ua/deals/133235/card/","22814")</f>
      </c>
      <c r="B7681" s="3" t="inlineStr">
        <is>
          <t>114-7421148-1827406</t>
        </is>
      </c>
      <c r="C7681" s="3" t="inlineStr">
        <is>
          <t>RockyMountain</t>
        </is>
      </c>
    </row>
    <row collapsed="false" customFormat="false" customHeight="false" hidden="false" ht="12.1" outlineLevel="0" r="7682">
      <c r="A7682" s="3" t="s">
        <f>=HYPERLINK("https://mp39851918.megaplan.ua/deals/133244/card/","22816")</f>
      </c>
      <c r="B7682" s="3" t="inlineStr">
        <is>
          <t>114-6222998-2272232</t>
        </is>
      </c>
      <c r="C7682" s="3" t="inlineStr">
        <is>
          <t>Autodist</t>
        </is>
      </c>
    </row>
    <row collapsed="false" customFormat="false" customHeight="false" hidden="false" ht="12.1" outlineLevel="0" r="7683">
      <c r="A7683" s="3" t="s">
        <f>=HYPERLINK("https://mp39851918.megaplan.ua/deals/133249/card/","22817")</f>
      </c>
      <c r="B7683" s="3" t="inlineStr">
        <is>
          <t>112-3406709-1281867</t>
        </is>
      </c>
      <c r="C7683" s="3" t="inlineStr">
        <is>
          <t>PartsUnlimited</t>
        </is>
      </c>
    </row>
    <row collapsed="false" customFormat="false" customHeight="false" hidden="false" ht="12.1" outlineLevel="0" r="7684">
      <c r="A7684" s="3" t="s">
        <f>=HYPERLINK("https://mp39851918.megaplan.ua/deals/133256/card/","22819")</f>
      </c>
      <c r="B7684" s="3" t="inlineStr">
        <is>
          <t>111-1284294-3179424</t>
        </is>
      </c>
      <c r="C7684" s="3" t="inlineStr">
        <is>
          <t>RockyMountain</t>
        </is>
      </c>
    </row>
    <row collapsed="false" customFormat="false" customHeight="false" hidden="false" ht="12.1" outlineLevel="0" r="7685">
      <c r="A7685" s="3" t="s">
        <f>=HYPERLINK("https://mp39851918.megaplan.ua/deals/133260/card/","22821")</f>
      </c>
      <c r="B7685" s="3" t="inlineStr">
        <is>
          <t>113-5661174-3182628</t>
        </is>
      </c>
      <c r="C7685" s="3" t="inlineStr">
        <is>
          <t>PartsUnlimited</t>
        </is>
      </c>
    </row>
    <row collapsed="false" customFormat="false" customHeight="false" hidden="false" ht="12.1" outlineLevel="0" r="7686">
      <c r="A7686" s="3" t="s">
        <f>=HYPERLINK("https://mp39851918.megaplan.ua/deals/133261/card/","22822")</f>
      </c>
      <c r="B7686" s="3" t="inlineStr">
        <is>
          <t>111-9405802-7861018</t>
        </is>
      </c>
      <c r="C7686" s="3" t="inlineStr">
        <is>
          <t>RockyMountain</t>
        </is>
      </c>
    </row>
    <row collapsed="false" customFormat="false" customHeight="false" hidden="false" ht="12.1" outlineLevel="0" r="7687">
      <c r="A7687" s="3" t="s">
        <f>=HYPERLINK("https://mp39851918.megaplan.ua/deals/133262/card/","22823")</f>
      </c>
      <c r="B7687" s="3" t="inlineStr">
        <is>
          <t>114-9401682-2385816</t>
        </is>
      </c>
      <c r="C7687" s="3" t="inlineStr">
        <is>
          <t>Autodist</t>
        </is>
      </c>
    </row>
    <row collapsed="false" customFormat="false" customHeight="false" hidden="false" ht="12.1" outlineLevel="0" r="7688">
      <c r="A7688" s="3" t="s">
        <f>=HYPERLINK("https://mp39851918.megaplan.ua/deals/133270/card/","22825")</f>
      </c>
      <c r="B7688" s="3" t="inlineStr">
        <is>
          <t>114-2867618-2905064</t>
        </is>
      </c>
      <c r="C7688" s="3" t="inlineStr">
        <is>
          <t>RockyMountain</t>
        </is>
      </c>
    </row>
    <row collapsed="false" customFormat="false" customHeight="false" hidden="false" ht="12.1" outlineLevel="0" r="7689">
      <c r="A7689" s="3" t="s">
        <f>=HYPERLINK("https://mp39851918.megaplan.ua/deals/133275/card/","22826")</f>
      </c>
      <c r="B7689" s="3" t="inlineStr">
        <is>
          <t>113-0697240-9866640</t>
        </is>
      </c>
      <c r="C7689" s="3" t="inlineStr">
        <is>
          <t>RockyMountain</t>
        </is>
      </c>
    </row>
    <row collapsed="false" customFormat="false" customHeight="false" hidden="false" ht="12.1" outlineLevel="0" r="7690">
      <c r="A7690" s="3" t="s">
        <f>=HYPERLINK("https://mp39851918.megaplan.ua/deals/133277/card/","22827")</f>
      </c>
      <c r="B7690" s="3" t="inlineStr">
        <is>
          <t>112-2656451-1883442</t>
        </is>
      </c>
      <c r="C7690" s="3" t="inlineStr">
        <is>
          <t>Autodist</t>
        </is>
      </c>
    </row>
    <row collapsed="false" customFormat="false" customHeight="false" hidden="false" ht="12.1" outlineLevel="0" r="7691">
      <c r="A7691" s="3" t="s">
        <f>=HYPERLINK("https://mp39851918.megaplan.ua/deals/133288/card/","22828")</f>
      </c>
      <c r="B7691" s="3" t="inlineStr">
        <is>
          <t>114-1480275-9353047</t>
        </is>
      </c>
      <c r="C7691" s="3" t="inlineStr">
        <is>
          <t>TuckerRocky</t>
        </is>
      </c>
    </row>
    <row collapsed="false" customFormat="false" customHeight="false" hidden="false" ht="12.1" outlineLevel="0" r="7692">
      <c r="A7692" s="3" t="s">
        <f>=HYPERLINK("https://mp39851918.megaplan.ua/deals/133290/card/","22829")</f>
      </c>
      <c r="B7692" s="3" t="inlineStr">
        <is>
          <t>113-0454668-6168211</t>
        </is>
      </c>
      <c r="C7692" s="3" t="inlineStr">
        <is>
          <t>Autodist</t>
        </is>
      </c>
    </row>
    <row collapsed="false" customFormat="false" customHeight="false" hidden="false" ht="12.1" outlineLevel="0" r="7693">
      <c r="A7693" s="3" t="s">
        <f>=HYPERLINK("https://mp39851918.megaplan.ua/deals/133304/card/","22830")</f>
      </c>
      <c r="B7693" s="3" t="inlineStr">
        <is>
          <t>113-0744929-1041067</t>
        </is>
      </c>
      <c r="C7693" s="3" t="inlineStr">
        <is>
          <t>Autodist</t>
        </is>
      </c>
    </row>
    <row collapsed="false" customFormat="false" customHeight="false" hidden="false" ht="12.1" outlineLevel="0" r="7694">
      <c r="A7694" s="3" t="s">
        <f>=HYPERLINK("https://mp39851918.megaplan.ua/deals/133305/card/","22831")</f>
      </c>
      <c r="B7694" s="3" t="inlineStr">
        <is>
          <t>113-7919640-3890646</t>
        </is>
      </c>
      <c r="C7694" s="3" t="inlineStr">
        <is>
          <t>TuckerRocky</t>
        </is>
      </c>
    </row>
    <row collapsed="false" customFormat="false" customHeight="false" hidden="false" ht="12.1" outlineLevel="0" r="7695">
      <c r="A7695" s="3" t="s">
        <f>=HYPERLINK("https://mp39851918.megaplan.ua/deals/133311/card/","22832")</f>
      </c>
      <c r="B7695" s="3" t="inlineStr">
        <is>
          <t>111-4858813-1037060</t>
        </is>
      </c>
      <c r="C7695" s="3" t="inlineStr">
        <is>
          <t>RockyMountain</t>
        </is>
      </c>
    </row>
    <row collapsed="false" customFormat="false" customHeight="false" hidden="false" ht="12.1" outlineLevel="0" r="7696">
      <c r="A7696" s="3" t="s">
        <f>=HYPERLINK("https://mp39851918.megaplan.ua/deals/133318/card/","22833")</f>
      </c>
      <c r="B7696" s="3" t="inlineStr">
        <is>
          <t>114-5508609-3481807</t>
        </is>
      </c>
      <c r="C7696" s="3" t="inlineStr">
        <is>
          <t>PartsUnlimited</t>
        </is>
      </c>
    </row>
    <row collapsed="false" customFormat="false" customHeight="false" hidden="false" ht="12.1" outlineLevel="0" r="7697">
      <c r="A7697" s="3" t="s">
        <f>=HYPERLINK("https://mp39851918.megaplan.ua/deals/133328/card/","22835")</f>
      </c>
      <c r="B7697" s="3" t="inlineStr">
        <is>
          <t>114-0689184-2898602</t>
        </is>
      </c>
      <c r="C7697" s="3" t="inlineStr">
        <is>
          <t>RockyMountain</t>
        </is>
      </c>
    </row>
    <row collapsed="false" customFormat="false" customHeight="false" hidden="false" ht="12.1" outlineLevel="0" r="7698">
      <c r="A7698" s="3" t="s">
        <f>=HYPERLINK("https://mp39851918.megaplan.ua/deals/133332/card/","22836")</f>
      </c>
      <c r="B7698" s="3" t="inlineStr">
        <is>
          <t>111-4953798-9599404</t>
        </is>
      </c>
      <c r="C7698" s="3" t="inlineStr">
        <is>
          <t>RockyMountain</t>
        </is>
      </c>
    </row>
    <row collapsed="false" customFormat="false" customHeight="false" hidden="false" ht="12.1" outlineLevel="0" r="7699">
      <c r="A7699" s="3" t="s">
        <f>=HYPERLINK("https://mp39851918.megaplan.ua/deals/133333/card/","22837")</f>
      </c>
      <c r="B7699" s="3" t="inlineStr">
        <is>
          <t>112-9445738-0613014</t>
        </is>
      </c>
      <c r="C7699" s="3" t="inlineStr">
        <is>
          <t>TuckerRocky</t>
        </is>
      </c>
    </row>
    <row collapsed="false" customFormat="false" customHeight="false" hidden="false" ht="12.1" outlineLevel="0" r="7700">
      <c r="A7700" s="3" t="s">
        <f>=HYPERLINK("https://mp39851918.megaplan.ua/deals/133340/card/","22838")</f>
      </c>
      <c r="B7700" s="3" t="inlineStr">
        <is>
          <t>112-6838720-8897808</t>
        </is>
      </c>
      <c r="C7700" s="3" t="inlineStr">
        <is>
          <t>RockyMountain</t>
        </is>
      </c>
    </row>
    <row collapsed="false" customFormat="false" customHeight="false" hidden="false" ht="12.1" outlineLevel="0" r="7701">
      <c r="A7701" s="3" t="s">
        <f>=HYPERLINK("https://mp39851918.megaplan.ua/deals/133344/card/","22840")</f>
      </c>
      <c r="B7701" s="3" t="inlineStr">
        <is>
          <t>111-4703455-7497830</t>
        </is>
      </c>
      <c r="C7701" s="3" t="inlineStr">
        <is>
          <t>TuckerRocky</t>
        </is>
      </c>
    </row>
    <row collapsed="false" customFormat="false" customHeight="false" hidden="false" ht="12.1" outlineLevel="0" r="7702">
      <c r="A7702" s="3" t="s">
        <f>=HYPERLINK("https://mp39851918.megaplan.ua/deals/133350/card/","22841")</f>
      </c>
      <c r="B7702" s="3" t="inlineStr">
        <is>
          <t>114-0156026-5417068</t>
        </is>
      </c>
      <c r="C7702" s="3" t="inlineStr">
        <is>
          <t>PartsUnlimited</t>
        </is>
      </c>
    </row>
    <row collapsed="false" customFormat="false" customHeight="false" hidden="false" ht="12.1" outlineLevel="0" r="7703">
      <c r="A7703" s="3" t="s">
        <f>=HYPERLINK("https://mp39851918.megaplan.ua/deals/133357/card/","22842")</f>
      </c>
      <c r="B7703" s="3" t="inlineStr">
        <is>
          <t>111-6179869-3009016</t>
        </is>
      </c>
      <c r="C7703" s="3" t="inlineStr">
        <is>
          <t>RockyMountain</t>
        </is>
      </c>
    </row>
    <row collapsed="false" customFormat="false" customHeight="false" hidden="false" ht="12.1" outlineLevel="0" r="7704">
      <c r="A7704" s="3" t="s">
        <f>=HYPERLINK("https://mp39851918.megaplan.ua/deals/133364/card/","22843")</f>
      </c>
      <c r="B7704" s="3" t="inlineStr">
        <is>
          <t>113-7308150-4283451</t>
        </is>
      </c>
      <c r="C7704" s="3" t="inlineStr">
        <is>
          <t>RockyMountain</t>
        </is>
      </c>
    </row>
    <row collapsed="false" customFormat="false" customHeight="false" hidden="false" ht="12.1" outlineLevel="0" r="7705">
      <c r="A7705" s="3" t="s">
        <f>=HYPERLINK("https://mp39851918.megaplan.ua/deals/133365/card/","22844")</f>
      </c>
      <c r="B7705" s="3" t="inlineStr">
        <is>
          <t>113-9942563-4221850</t>
        </is>
      </c>
      <c r="C7705" s="3" t="inlineStr">
        <is>
          <t>RockyMountain</t>
        </is>
      </c>
    </row>
    <row collapsed="false" customFormat="false" customHeight="false" hidden="false" ht="12.1" outlineLevel="0" r="7706">
      <c r="A7706" s="3" t="s">
        <f>=HYPERLINK("https://mp39851918.megaplan.ua/deals/133369/card/","22845")</f>
      </c>
      <c r="B7706" s="3" t="inlineStr">
        <is>
          <t>111-4114474-1524258</t>
        </is>
      </c>
      <c r="C7706" s="3" t="inlineStr">
        <is>
          <t>RockyMountain</t>
        </is>
      </c>
    </row>
    <row collapsed="false" customFormat="false" customHeight="false" hidden="false" ht="12.1" outlineLevel="0" r="7707">
      <c r="A7707" s="3" t="s">
        <f>=HYPERLINK("https://mp39851918.megaplan.ua/deals/133381/card/","22847")</f>
      </c>
      <c r="B7707" s="3" t="inlineStr">
        <is>
          <t>114-5318176-2128202</t>
        </is>
      </c>
      <c r="C7707" s="3" t="inlineStr">
        <is>
          <t>PartsUnlimited</t>
        </is>
      </c>
    </row>
    <row collapsed="false" customFormat="false" customHeight="false" hidden="false" ht="12.1" outlineLevel="0" r="7708">
      <c r="A7708" s="3" t="s">
        <f>=HYPERLINK("https://mp39851918.megaplan.ua/deals/133382/card/","22848")</f>
      </c>
      <c r="B7708" s="3" t="inlineStr">
        <is>
          <t>114-8575346-6728265</t>
        </is>
      </c>
      <c r="C7708" s="3" t="inlineStr">
        <is>
          <t>RockyMountain</t>
        </is>
      </c>
    </row>
    <row collapsed="false" customFormat="false" customHeight="false" hidden="false" ht="12.1" outlineLevel="0" r="7709">
      <c r="A7709" s="3" t="s">
        <f>=HYPERLINK("https://mp39851918.megaplan.ua/deals/133389/card/","22849")</f>
      </c>
      <c r="B7709" s="3" t="inlineStr">
        <is>
          <t>111-2397228-7814603</t>
        </is>
      </c>
      <c r="C7709" s="3" t="inlineStr">
        <is>
          <t>RockyMountain</t>
        </is>
      </c>
    </row>
    <row collapsed="false" customFormat="false" customHeight="false" hidden="false" ht="12.1" outlineLevel="0" r="7710">
      <c r="A7710" s="3" t="s">
        <f>=HYPERLINK("https://mp39851918.megaplan.ua/deals/133402/card/","22850")</f>
      </c>
      <c r="B7710" s="3" t="inlineStr">
        <is>
          <t>112-1402740-6988219</t>
        </is>
      </c>
      <c r="C7710" s="3" t="inlineStr">
        <is>
          <t>TuckerRocky</t>
        </is>
      </c>
    </row>
    <row collapsed="false" customFormat="false" customHeight="false" hidden="false" ht="12.1" outlineLevel="0" r="7711">
      <c r="A7711" s="3" t="s">
        <f>=HYPERLINK("https://mp39851918.megaplan.ua/deals/133403/card/","22851")</f>
      </c>
      <c r="B7711" s="3" t="inlineStr">
        <is>
          <t>112-8429264-0021850</t>
        </is>
      </c>
      <c r="C7711" s="3" t="inlineStr">
        <is>
          <t>PartsUnlimited</t>
        </is>
      </c>
    </row>
    <row collapsed="false" customFormat="false" customHeight="false" hidden="false" ht="12.1" outlineLevel="0" r="7712">
      <c r="A7712" s="3" t="s">
        <f>=HYPERLINK("https://mp39851918.megaplan.ua/deals/133416/card/","22852")</f>
      </c>
      <c r="B7712" s="3" t="inlineStr">
        <is>
          <t>111-0715674-2739443</t>
        </is>
      </c>
      <c r="C7712" s="3" t="inlineStr">
        <is>
          <t>Autodist</t>
        </is>
      </c>
    </row>
    <row collapsed="false" customFormat="false" customHeight="false" hidden="false" ht="12.1" outlineLevel="0" r="7713">
      <c r="A7713" s="3" t="s">
        <f>=HYPERLINK("https://mp39851918.megaplan.ua/deals/133418/card/","22853")</f>
      </c>
      <c r="B7713" s="3" t="inlineStr">
        <is>
          <t>114-7107924-5461806</t>
        </is>
      </c>
      <c r="C7713" s="3" t="inlineStr">
        <is>
          <t>PartsUnlimited</t>
        </is>
      </c>
    </row>
    <row collapsed="false" customFormat="false" customHeight="false" hidden="false" ht="12.1" outlineLevel="0" r="7714">
      <c r="A7714" s="3" t="s">
        <f>=HYPERLINK("https://mp39851918.megaplan.ua/deals/133429/card/","22854")</f>
      </c>
      <c r="B7714" s="3" t="inlineStr">
        <is>
          <t>112-8195450-5625848</t>
        </is>
      </c>
      <c r="C7714" s="3" t="inlineStr">
        <is>
          <t>RockyMountain</t>
        </is>
      </c>
    </row>
    <row collapsed="false" customFormat="false" customHeight="false" hidden="false" ht="12.1" outlineLevel="0" r="7715">
      <c r="A7715" s="3" t="s">
        <f>=HYPERLINK("https://mp39851918.megaplan.ua/deals/133439/card/","22855")</f>
      </c>
      <c r="B7715" s="3" t="inlineStr">
        <is>
          <t>113-9525385-3118636</t>
        </is>
      </c>
      <c r="C7715" s="3" t="inlineStr">
        <is>
          <t>TuckerRocky</t>
        </is>
      </c>
    </row>
    <row collapsed="false" customFormat="false" customHeight="false" hidden="false" ht="12.1" outlineLevel="0" r="7716">
      <c r="A7716" s="3" t="s">
        <f>=HYPERLINK("https://mp39851918.megaplan.ua/deals/133440/card/","22856")</f>
      </c>
      <c r="B7716" s="3" t="inlineStr">
        <is>
          <t>113-5930430-4005011</t>
        </is>
      </c>
      <c r="C7716" s="3" t="inlineStr">
        <is>
          <t>RockyMountain</t>
        </is>
      </c>
    </row>
    <row collapsed="false" customFormat="false" customHeight="false" hidden="false" ht="12.1" outlineLevel="0" r="7717">
      <c r="A7717" s="3" t="s">
        <f>=HYPERLINK("https://mp39851918.megaplan.ua/deals/133448/card/","22857")</f>
      </c>
      <c r="B7717" s="3" t="inlineStr">
        <is>
          <t>111-2998670-3168251</t>
        </is>
      </c>
      <c r="C7717" s="3" t="inlineStr">
        <is>
          <t>Autodist</t>
        </is>
      </c>
    </row>
    <row collapsed="false" customFormat="false" customHeight="false" hidden="false" ht="12.1" outlineLevel="0" r="7718">
      <c r="A7718" s="3" t="s">
        <f>=HYPERLINK("https://mp39851918.megaplan.ua/deals/133449/card/","22858")</f>
      </c>
      <c r="B7718" s="3" t="inlineStr">
        <is>
          <t>113-9724238-7050638</t>
        </is>
      </c>
      <c r="C7718" s="3" t="inlineStr">
        <is>
          <t>RockyMountain</t>
        </is>
      </c>
    </row>
    <row collapsed="false" customFormat="false" customHeight="false" hidden="false" ht="12.1" outlineLevel="0" r="7719">
      <c r="A7719" s="3" t="s">
        <f>=HYPERLINK("https://mp39851918.megaplan.ua/deals/133459/card/","22859")</f>
      </c>
      <c r="B7719" s="3" t="inlineStr">
        <is>
          <t>111-4435052-7265811</t>
        </is>
      </c>
      <c r="C7719" s="3" t="inlineStr">
        <is>
          <t>Autodist</t>
        </is>
      </c>
    </row>
    <row collapsed="false" customFormat="false" customHeight="false" hidden="false" ht="12.1" outlineLevel="0" r="7720">
      <c r="A7720" s="3" t="s">
        <f>=HYPERLINK("https://mp39851918.megaplan.ua/deals/133467/card/","22861")</f>
      </c>
      <c r="B7720" s="3" t="inlineStr">
        <is>
          <t>112-0660599-3363459</t>
        </is>
      </c>
      <c r="C7720" s="3" t="inlineStr">
        <is>
          <t>RockyMountain</t>
        </is>
      </c>
    </row>
    <row collapsed="false" customFormat="false" customHeight="false" hidden="false" ht="12.1" outlineLevel="0" r="7721">
      <c r="A7721" s="3" t="s">
        <f>=HYPERLINK("https://mp39851918.megaplan.ua/deals/133472/card/","22862")</f>
      </c>
      <c r="B7721" s="3" t="inlineStr">
        <is>
          <t>112-7639870-4678614</t>
        </is>
      </c>
      <c r="C7721" s="3" t="inlineStr">
        <is>
          <t>RockyMountain</t>
        </is>
      </c>
    </row>
    <row collapsed="false" customFormat="false" customHeight="false" hidden="false" ht="12.1" outlineLevel="0" r="7722">
      <c r="A7722" s="3" t="s">
        <f>=HYPERLINK("https://mp39851918.megaplan.ua/deals/133480/card/","22863")</f>
      </c>
      <c r="B7722" s="3" t="inlineStr">
        <is>
          <t>114-5694652-6103453</t>
        </is>
      </c>
      <c r="C7722" s="3" t="inlineStr">
        <is>
          <t>RockyMountain</t>
        </is>
      </c>
    </row>
    <row collapsed="false" customFormat="false" customHeight="false" hidden="false" ht="12.1" outlineLevel="0" r="7723">
      <c r="A7723" s="3" t="s">
        <f>=HYPERLINK("https://mp39851918.megaplan.ua/deals/133481/card/","22864")</f>
      </c>
      <c r="B7723" s="3" t="inlineStr">
        <is>
          <t>111-7308319-5729825</t>
        </is>
      </c>
      <c r="C7723" s="3" t="inlineStr">
        <is>
          <t>Autodist</t>
        </is>
      </c>
    </row>
    <row collapsed="false" customFormat="false" customHeight="false" hidden="false" ht="12.1" outlineLevel="0" r="7724">
      <c r="A7724" s="3" t="s">
        <f>=HYPERLINK("https://mp39851918.megaplan.ua/deals/133485/card/","22867")</f>
      </c>
      <c r="B7724" s="3" t="inlineStr">
        <is>
          <t>111-5265683-2321014</t>
        </is>
      </c>
      <c r="C7724" s="3" t="inlineStr">
        <is>
          <t>RockyMountain</t>
        </is>
      </c>
    </row>
    <row collapsed="false" customFormat="false" customHeight="false" hidden="false" ht="12.1" outlineLevel="0" r="7725">
      <c r="A7725" s="3" t="s">
        <f>=HYPERLINK("https://mp39851918.megaplan.ua/deals/133492/card/","22869")</f>
      </c>
      <c r="B7725" s="3" t="inlineStr">
        <is>
          <t>111-0913846-8421832</t>
        </is>
      </c>
      <c r="C7725" s="3" t="inlineStr">
        <is>
          <t>Autodist</t>
        </is>
      </c>
    </row>
    <row collapsed="false" customFormat="false" customHeight="false" hidden="false" ht="12.1" outlineLevel="0" r="7726">
      <c r="A7726" s="3" t="s">
        <f>=HYPERLINK("https://mp39851918.megaplan.ua/deals/133495/card/","22870")</f>
      </c>
      <c r="B7726" s="3" t="inlineStr">
        <is>
          <t>114-5017468-6717817</t>
        </is>
      </c>
      <c r="C7726" s="3" t="inlineStr">
        <is>
          <t>Autodist</t>
        </is>
      </c>
    </row>
    <row collapsed="false" customFormat="false" customHeight="false" hidden="false" ht="12.1" outlineLevel="0" r="7727">
      <c r="A7727" s="3" t="s">
        <f>=HYPERLINK("https://mp39851918.megaplan.ua/deals/133505/card/","22872")</f>
      </c>
      <c r="B7727" s="3" t="inlineStr">
        <is>
          <t>113-7394544-1763423</t>
        </is>
      </c>
      <c r="C7727" s="3" t="inlineStr">
        <is>
          <t>Autodist</t>
        </is>
      </c>
    </row>
    <row collapsed="false" customFormat="false" customHeight="false" hidden="false" ht="12.1" outlineLevel="0" r="7728">
      <c r="A7728" s="3" t="s">
        <f>=HYPERLINK("https://mp39851918.megaplan.ua/deals/133506/card/","22873")</f>
      </c>
      <c r="B7728" s="3" t="inlineStr">
        <is>
          <t>111-4568463-1127446</t>
        </is>
      </c>
      <c r="C7728" s="3" t="inlineStr">
        <is>
          <t>Autodist</t>
        </is>
      </c>
    </row>
    <row collapsed="false" customFormat="false" customHeight="false" hidden="false" ht="12.1" outlineLevel="0" r="7729">
      <c r="A7729" s="3" t="s">
        <f>=HYPERLINK("https://mp39851918.megaplan.ua/deals/133508/card/","22874")</f>
      </c>
      <c r="B7729" s="3" t="inlineStr">
        <is>
          <t>112-0341775-6072208</t>
        </is>
      </c>
      <c r="C7729" s="3" t="inlineStr">
        <is>
          <t>Autodist</t>
        </is>
      </c>
    </row>
    <row collapsed="false" customFormat="false" customHeight="false" hidden="false" ht="12.1" outlineLevel="0" r="7730">
      <c r="A7730" s="3" t="s">
        <f>=HYPERLINK("https://mp39851918.megaplan.ua/deals/133513/card/","22877")</f>
      </c>
      <c r="B7730" s="3" t="inlineStr">
        <is>
          <t>114-7024742-7125813</t>
        </is>
      </c>
      <c r="C7730" s="3" t="inlineStr">
        <is>
          <t>TuckerRocky</t>
        </is>
      </c>
    </row>
    <row collapsed="false" customFormat="false" customHeight="false" hidden="false" ht="12.1" outlineLevel="0" r="7731">
      <c r="A7731" s="3" t="s">
        <f>=HYPERLINK("https://mp39851918.megaplan.ua/deals/133515/card/","22878")</f>
      </c>
      <c r="B7731" s="3" t="inlineStr">
        <is>
          <t>111-5023327-3882609</t>
        </is>
      </c>
      <c r="C7731" s="3" t="inlineStr">
        <is>
          <t>RockyMountain</t>
        </is>
      </c>
    </row>
    <row collapsed="false" customFormat="false" customHeight="false" hidden="false" ht="12.1" outlineLevel="0" r="7732">
      <c r="A7732" s="3" t="s">
        <f>=HYPERLINK("https://mp39851918.megaplan.ua/deals/133518/card/","22879")</f>
      </c>
      <c r="B7732" s="3" t="inlineStr">
        <is>
          <t>113-8985536-5570633</t>
        </is>
      </c>
      <c r="C7732" s="3" t="inlineStr">
        <is>
          <t>Autodist</t>
        </is>
      </c>
    </row>
    <row collapsed="false" customFormat="false" customHeight="false" hidden="false" ht="12.1" outlineLevel="0" r="7733">
      <c r="A7733" s="3" t="s">
        <f>=HYPERLINK("https://mp39851918.megaplan.ua/deals/133521/card/","22880")</f>
      </c>
      <c r="B7733" s="3" t="inlineStr">
        <is>
          <t>112-8082395-6484235</t>
        </is>
      </c>
      <c r="C7733" s="3" t="inlineStr">
        <is>
          <t>RockyMountain</t>
        </is>
      </c>
    </row>
    <row collapsed="false" customFormat="false" customHeight="false" hidden="false" ht="12.1" outlineLevel="0" r="7734">
      <c r="A7734" s="3" t="s">
        <f>=HYPERLINK("https://mp39851918.megaplan.ua/deals/133527/card/","22881")</f>
      </c>
      <c r="B7734" s="3" t="inlineStr">
        <is>
          <t>113-2626793-0873051</t>
        </is>
      </c>
      <c r="C7734" s="3" t="inlineStr">
        <is>
          <t>PartsUnlimited</t>
        </is>
      </c>
    </row>
    <row collapsed="false" customFormat="false" customHeight="false" hidden="false" ht="12.1" outlineLevel="0" r="7735">
      <c r="A7735" s="3" t="s">
        <f>=HYPERLINK("https://mp39851918.megaplan.ua/deals/133528/card/","22882")</f>
      </c>
      <c r="B7735" s="3" t="inlineStr">
        <is>
          <t>112-8216542-9827462</t>
        </is>
      </c>
      <c r="C7735" s="3" t="inlineStr">
        <is>
          <t>RockyMountain</t>
        </is>
      </c>
    </row>
    <row collapsed="false" customFormat="false" customHeight="false" hidden="false" ht="12.1" outlineLevel="0" r="7736">
      <c r="A7736" s="3" t="s">
        <f>=HYPERLINK("https://mp39851918.megaplan.ua/deals/133534/card/","22883")</f>
      </c>
      <c r="B7736" s="3" t="inlineStr">
        <is>
          <t>113-9832781-6404258</t>
        </is>
      </c>
      <c r="C7736" s="3" t="inlineStr">
        <is>
          <t>RockyMountain</t>
        </is>
      </c>
    </row>
    <row collapsed="false" customFormat="false" customHeight="false" hidden="false" ht="12.1" outlineLevel="0" r="7737">
      <c r="A7737" s="3" t="s">
        <f>=HYPERLINK("https://mp39851918.megaplan.ua/deals/133537/card/","22884")</f>
      </c>
      <c r="B7737" s="3" t="inlineStr">
        <is>
          <t>112-6752094-2953826</t>
        </is>
      </c>
      <c r="C7737" s="3" t="inlineStr">
        <is>
          <t>PartsUnlimited</t>
        </is>
      </c>
    </row>
    <row collapsed="false" customFormat="false" customHeight="false" hidden="false" ht="12.1" outlineLevel="0" r="7738">
      <c r="A7738" s="3" t="s">
        <f>=HYPERLINK("https://mp39851918.megaplan.ua/deals/133538/card/","22885")</f>
      </c>
      <c r="B7738" s="3" t="inlineStr">
        <is>
          <t>112-5164076-0609041</t>
        </is>
      </c>
      <c r="C7738" s="3" t="inlineStr">
        <is>
          <t>PartsUnlimited</t>
        </is>
      </c>
    </row>
    <row collapsed="false" customFormat="false" customHeight="false" hidden="false" ht="12.1" outlineLevel="0" r="7739">
      <c r="A7739" s="3" t="s">
        <f>=HYPERLINK("https://mp39851918.megaplan.ua/deals/133553/card/","22886")</f>
      </c>
      <c r="B7739" s="3" t="inlineStr">
        <is>
          <t>112-8100783-5342625</t>
        </is>
      </c>
      <c r="C7739" s="3" t="inlineStr">
        <is>
          <t>Autodist</t>
        </is>
      </c>
    </row>
    <row collapsed="false" customFormat="false" customHeight="false" hidden="false" ht="12.1" outlineLevel="0" r="7740">
      <c r="A7740" s="3" t="s">
        <f>=HYPERLINK("https://mp39851918.megaplan.ua/deals/133559/card/","22887")</f>
      </c>
      <c r="B7740" s="3" t="inlineStr">
        <is>
          <t>111-8852638-6282616</t>
        </is>
      </c>
      <c r="C7740" s="3" t="inlineStr">
        <is>
          <t>PartsUnlimited</t>
        </is>
      </c>
    </row>
    <row collapsed="false" customFormat="false" customHeight="false" hidden="false" ht="12.1" outlineLevel="0" r="7741">
      <c r="A7741" s="3" t="s">
        <f>=HYPERLINK("https://mp39851918.megaplan.ua/deals/133560/card/","22888")</f>
      </c>
      <c r="B7741" s="3" t="inlineStr">
        <is>
          <t>112-9019251-7505021</t>
        </is>
      </c>
      <c r="C7741" s="3" t="inlineStr">
        <is>
          <t>TuckerRocky</t>
        </is>
      </c>
    </row>
    <row collapsed="false" customFormat="false" customHeight="false" hidden="false" ht="12.1" outlineLevel="0" r="7742">
      <c r="A7742" s="3" t="s">
        <f>=HYPERLINK("https://mp39851918.megaplan.ua/deals/133565/card/","22889")</f>
      </c>
      <c r="B7742" s="3" t="inlineStr">
        <is>
          <t>114-2625657-3347401</t>
        </is>
      </c>
      <c r="C7742" s="3" t="inlineStr">
        <is>
          <t>Autodist</t>
        </is>
      </c>
    </row>
    <row collapsed="false" customFormat="false" customHeight="false" hidden="false" ht="12.1" outlineLevel="0" r="7743">
      <c r="A7743" s="3" t="s">
        <f>=HYPERLINK("https://mp39851918.megaplan.ua/deals/133570/card/","22890")</f>
      </c>
      <c r="B7743" s="3" t="inlineStr">
        <is>
          <t>111-4494551-8706602</t>
        </is>
      </c>
      <c r="C7743" s="3" t="inlineStr">
        <is>
          <t>RockyMountain</t>
        </is>
      </c>
    </row>
    <row collapsed="false" customFormat="false" customHeight="false" hidden="false" ht="12.1" outlineLevel="0" r="7744">
      <c r="A7744" s="3" t="s">
        <f>=HYPERLINK("https://mp39851918.megaplan.ua/deals/133571/card/","22891")</f>
      </c>
      <c r="B7744" s="3" t="inlineStr">
        <is>
          <t>113-9451498-9929806</t>
        </is>
      </c>
      <c r="C7744" s="3" t="inlineStr">
        <is>
          <t>Autodist</t>
        </is>
      </c>
    </row>
    <row collapsed="false" customFormat="false" customHeight="false" hidden="false" ht="12.1" outlineLevel="0" r="7745">
      <c r="A7745" s="3" t="s">
        <f>=HYPERLINK("https://mp39851918.megaplan.ua/deals/133576/card/","22892")</f>
      </c>
      <c r="B7745" s="3" t="inlineStr">
        <is>
          <t>114-8463220-0821863</t>
        </is>
      </c>
      <c r="C7745" s="3" t="inlineStr">
        <is>
          <t>PartsUnlimited</t>
        </is>
      </c>
    </row>
    <row collapsed="false" customFormat="false" customHeight="false" hidden="false" ht="12.1" outlineLevel="0" r="7746">
      <c r="A7746" s="3" t="s">
        <f>=HYPERLINK("https://mp39851918.megaplan.ua/deals/133603/card/","22895")</f>
      </c>
      <c r="B7746" s="3" t="inlineStr">
        <is>
          <t>113-1835383-4925827</t>
        </is>
      </c>
      <c r="C7746" s="3" t="inlineStr">
        <is>
          <t>Autodist</t>
        </is>
      </c>
    </row>
    <row collapsed="false" customFormat="false" customHeight="false" hidden="false" ht="12.1" outlineLevel="0" r="7747">
      <c r="A7747" s="3" t="s">
        <f>=HYPERLINK("https://mp39851918.megaplan.ua/deals/133604/card/","22896")</f>
      </c>
      <c r="B7747" s="3" t="inlineStr">
        <is>
          <t>113-8098645-2211463</t>
        </is>
      </c>
      <c r="C7747" s="3" t="inlineStr">
        <is>
          <t>Autodist</t>
        </is>
      </c>
    </row>
    <row collapsed="false" customFormat="false" customHeight="false" hidden="false" ht="12.1" outlineLevel="0" r="7748">
      <c r="A7748" s="3" t="s">
        <f>=HYPERLINK("https://mp39851918.megaplan.ua/deals/133605/card/","22897")</f>
      </c>
      <c r="B7748" s="3" t="inlineStr">
        <is>
          <t>114-2169652-2393059</t>
        </is>
      </c>
      <c r="C7748" s="3" t="inlineStr">
        <is>
          <t>RockyMountain</t>
        </is>
      </c>
    </row>
    <row collapsed="false" customFormat="false" customHeight="false" hidden="false" ht="12.1" outlineLevel="0" r="7749">
      <c r="A7749" s="3" t="s">
        <f>=HYPERLINK("https://mp39851918.megaplan.ua/deals/133609/card/","22898")</f>
      </c>
      <c r="B7749" s="3" t="inlineStr">
        <is>
          <t>112-5844855-1515445</t>
        </is>
      </c>
      <c r="C7749" s="3" t="inlineStr">
        <is>
          <t>RockyMountain</t>
        </is>
      </c>
    </row>
    <row collapsed="false" customFormat="false" customHeight="false" hidden="false" ht="12.1" outlineLevel="0" r="7750">
      <c r="A7750" s="3" t="s">
        <f>=HYPERLINK("https://mp39851918.megaplan.ua/deals/133616/card/","22899")</f>
      </c>
      <c r="B7750" s="3" t="inlineStr">
        <is>
          <t>112-8591858-5824241</t>
        </is>
      </c>
      <c r="C7750" s="3" t="inlineStr">
        <is>
          <t>Autodist</t>
        </is>
      </c>
    </row>
    <row collapsed="false" customFormat="false" customHeight="false" hidden="false" ht="12.1" outlineLevel="0" r="7751">
      <c r="A7751" s="3" t="s">
        <f>=HYPERLINK("https://mp39851918.megaplan.ua/deals/133626/card/","22900")</f>
      </c>
      <c r="B7751" s="3" t="inlineStr">
        <is>
          <t>112-4077364-9793068</t>
        </is>
      </c>
      <c r="C7751" s="3" t="inlineStr">
        <is>
          <t>Autodist</t>
        </is>
      </c>
    </row>
    <row collapsed="false" customFormat="false" customHeight="false" hidden="false" ht="12.1" outlineLevel="0" r="7752">
      <c r="A7752" s="3" t="s">
        <f>=HYPERLINK("https://mp39851918.megaplan.ua/deals/133633/card/","22901")</f>
      </c>
      <c r="B7752" s="3" t="inlineStr">
        <is>
          <t>114-5072801-6925059</t>
        </is>
      </c>
      <c r="C7752" s="3" t="inlineStr">
        <is>
          <t>RockyMountain</t>
        </is>
      </c>
    </row>
    <row collapsed="false" customFormat="false" customHeight="false" hidden="false" ht="12.1" outlineLevel="0" r="7753">
      <c r="A7753" s="3" t="s">
        <f>=HYPERLINK("https://mp39851918.megaplan.ua/deals/133639/card/","22903")</f>
      </c>
      <c r="B7753" s="3" t="inlineStr">
        <is>
          <t>114-2801927-9781850</t>
        </is>
      </c>
      <c r="C7753" s="3" t="inlineStr">
        <is>
          <t>Autodist</t>
        </is>
      </c>
    </row>
    <row collapsed="false" customFormat="false" customHeight="false" hidden="false" ht="12.1" outlineLevel="0" r="7754">
      <c r="A7754" s="3" t="s">
        <f>=HYPERLINK("https://mp39851918.megaplan.ua/deals/133658/card/","22905")</f>
      </c>
      <c r="B7754" s="3" t="inlineStr">
        <is>
          <t>112-9117114-4806634</t>
        </is>
      </c>
      <c r="C7754" s="3" t="inlineStr">
        <is>
          <t>PartsUnlimited</t>
        </is>
      </c>
    </row>
    <row collapsed="false" customFormat="false" customHeight="false" hidden="false" ht="12.1" outlineLevel="0" r="7755">
      <c r="A7755" s="3" t="s">
        <f>=HYPERLINK("https://mp39851918.megaplan.ua/deals/133661/card/","22906")</f>
      </c>
      <c r="B7755" s="3" t="inlineStr">
        <is>
          <t>114-4787566-2088219</t>
        </is>
      </c>
      <c r="C7755" s="3" t="inlineStr">
        <is>
          <t>RockyMountain</t>
        </is>
      </c>
    </row>
    <row collapsed="false" customFormat="false" customHeight="false" hidden="false" ht="12.1" outlineLevel="0" r="7756">
      <c r="A7756" s="3" t="s">
        <f>=HYPERLINK("https://mp39851918.megaplan.ua/deals/133666/card/","22907")</f>
      </c>
      <c r="B7756" s="3" t="inlineStr">
        <is>
          <t>113-1276841-2444251</t>
        </is>
      </c>
      <c r="C7756" s="3" t="inlineStr">
        <is>
          <t>Autodist</t>
        </is>
      </c>
    </row>
    <row collapsed="false" customFormat="false" customHeight="false" hidden="false" ht="12.1" outlineLevel="0" r="7757">
      <c r="A7757" s="3" t="s">
        <f>=HYPERLINK("https://mp39851918.megaplan.ua/deals/133669/card/","22908")</f>
      </c>
      <c r="B7757" s="3" t="inlineStr">
        <is>
          <t>114-7295848-9163436</t>
        </is>
      </c>
      <c r="C7757" s="3" t="inlineStr">
        <is>
          <t>Autodist</t>
        </is>
      </c>
    </row>
    <row collapsed="false" customFormat="false" customHeight="false" hidden="false" ht="12.1" outlineLevel="0" r="7758">
      <c r="A7758" s="3" t="s">
        <f>=HYPERLINK("https://mp39851918.megaplan.ua/deals/133682/card/","22909")</f>
      </c>
      <c r="B7758" s="3" t="inlineStr">
        <is>
          <t>113-3613870-6847404</t>
        </is>
      </c>
      <c r="C7758" s="3" t="inlineStr">
        <is>
          <t>RockyMountain</t>
        </is>
      </c>
    </row>
    <row collapsed="false" customFormat="false" customHeight="false" hidden="false" ht="12.1" outlineLevel="0" r="7759">
      <c r="A7759" s="3" t="s">
        <f>=HYPERLINK("https://mp39851918.megaplan.ua/deals/133709/card/","22913")</f>
      </c>
      <c r="B7759" s="3" t="inlineStr">
        <is>
          <t>114-8575697-8331435</t>
        </is>
      </c>
      <c r="C7759" s="3" t="inlineStr">
        <is>
          <t>RockyMountain</t>
        </is>
      </c>
    </row>
    <row collapsed="false" customFormat="false" customHeight="false" hidden="false" ht="12.1" outlineLevel="0" r="7760">
      <c r="A7760" s="3" t="s">
        <f>=HYPERLINK("https://mp39851918.megaplan.ua/deals/133718/card/","22914")</f>
      </c>
      <c r="B7760" s="3" t="inlineStr">
        <is>
          <t>114-6491469-0991442</t>
        </is>
      </c>
      <c r="C7760" s="3" t="inlineStr">
        <is>
          <t>Autodist</t>
        </is>
      </c>
    </row>
    <row collapsed="false" customFormat="false" customHeight="false" hidden="false" ht="12.1" outlineLevel="0" r="7761">
      <c r="A7761" s="3" t="s">
        <f>=HYPERLINK("https://mp39851918.megaplan.ua/deals/133730/card/","22915")</f>
      </c>
      <c r="B7761" s="3" t="inlineStr">
        <is>
          <t>112-8051343-8847410</t>
        </is>
      </c>
      <c r="C7761" s="3" t="inlineStr">
        <is>
          <t>PartsUnlimited</t>
        </is>
      </c>
    </row>
    <row collapsed="false" customFormat="false" customHeight="false" hidden="false" ht="12.1" outlineLevel="0" r="7762">
      <c r="A7762" s="3" t="s">
        <f>=HYPERLINK("https://mp39851918.megaplan.ua/deals/133732/card/","22916")</f>
      </c>
      <c r="B7762" s="3" t="inlineStr">
        <is>
          <t>111-3418937-8917802</t>
        </is>
      </c>
      <c r="C7762" s="3" t="inlineStr">
        <is>
          <t>TuckerRocky</t>
        </is>
      </c>
    </row>
    <row collapsed="false" customFormat="false" customHeight="false" hidden="false" ht="12.1" outlineLevel="0" r="7763">
      <c r="A7763" s="3" t="s">
        <f>=HYPERLINK("https://mp39851918.megaplan.ua/deals/133733/card/","22917")</f>
      </c>
      <c r="B7763" s="3" t="inlineStr">
        <is>
          <t>114-0876102-5540200</t>
        </is>
      </c>
      <c r="C7763" s="3" t="inlineStr">
        <is>
          <t>Autodist</t>
        </is>
      </c>
    </row>
    <row collapsed="false" customFormat="false" customHeight="false" hidden="false" ht="12.1" outlineLevel="0" r="7764">
      <c r="A7764" s="3" t="s">
        <f>=HYPERLINK("https://mp39851918.megaplan.ua/deals/133735/card/","22918")</f>
      </c>
      <c r="B7764" s="3" t="inlineStr">
        <is>
          <t>114-8179419-7849835</t>
        </is>
      </c>
      <c r="C7764" s="3" t="inlineStr">
        <is>
          <t>Autodist</t>
        </is>
      </c>
    </row>
    <row collapsed="false" customFormat="false" customHeight="false" hidden="false" ht="12.1" outlineLevel="0" r="7765">
      <c r="A7765" s="3" t="s">
        <f>=HYPERLINK("https://mp39851918.megaplan.ua/deals/133736/card/","22919")</f>
      </c>
      <c r="B7765" s="3" t="inlineStr">
        <is>
          <t>114-9294049-0804222</t>
        </is>
      </c>
      <c r="C7765" s="3" t="inlineStr">
        <is>
          <t>RockyMountain</t>
        </is>
      </c>
    </row>
    <row collapsed="false" customFormat="false" customHeight="false" hidden="false" ht="12.1" outlineLevel="0" r="7766">
      <c r="A7766" s="3" t="s">
        <f>=HYPERLINK("https://mp39851918.megaplan.ua/deals/133747/card/","22921")</f>
      </c>
      <c r="B7766" s="3" t="inlineStr">
        <is>
          <t>114-0063355-6669826</t>
        </is>
      </c>
      <c r="C7766" s="3" t="inlineStr">
        <is>
          <t>RockyMountain</t>
        </is>
      </c>
    </row>
    <row collapsed="false" customFormat="false" customHeight="false" hidden="false" ht="12.1" outlineLevel="0" r="7767">
      <c r="A7767" s="3" t="s">
        <f>=HYPERLINK("https://mp39851918.megaplan.ua/deals/133748/card/","22922")</f>
      </c>
      <c r="B7767" s="3" t="inlineStr">
        <is>
          <t>111-8719315-2557850</t>
        </is>
      </c>
      <c r="C7767" s="3" t="inlineStr">
        <is>
          <t>Autodist</t>
        </is>
      </c>
    </row>
    <row collapsed="false" customFormat="false" customHeight="false" hidden="false" ht="12.1" outlineLevel="0" r="7768">
      <c r="A7768" s="3" t="s">
        <f>=HYPERLINK("https://mp39851918.megaplan.ua/deals/133760/card/","22924")</f>
      </c>
      <c r="B7768" s="3" t="inlineStr">
        <is>
          <t>113-3025986-9833000</t>
        </is>
      </c>
      <c r="C7768" s="3" t="inlineStr">
        <is>
          <t>RockyMountain</t>
        </is>
      </c>
    </row>
    <row collapsed="false" customFormat="false" customHeight="false" hidden="false" ht="12.1" outlineLevel="0" r="7769">
      <c r="A7769" s="3" t="s">
        <f>=HYPERLINK("https://mp39851918.megaplan.ua/deals/133762/card/","22925")</f>
      </c>
      <c r="B7769" s="3" t="inlineStr">
        <is>
          <t>111-7359141-6679438</t>
        </is>
      </c>
      <c r="C7769" s="3" t="inlineStr">
        <is>
          <t>RockyMountain</t>
        </is>
      </c>
    </row>
    <row collapsed="false" customFormat="false" customHeight="false" hidden="false" ht="12.1" outlineLevel="0" r="7770">
      <c r="A7770" s="3" t="s">
        <f>=HYPERLINK("https://mp39851918.megaplan.ua/deals/133763/card/","22926")</f>
      </c>
      <c r="B7770" s="3" t="inlineStr">
        <is>
          <t>112-9316510-4415419</t>
        </is>
      </c>
      <c r="C7770" s="3" t="inlineStr">
        <is>
          <t>RockyMountain</t>
        </is>
      </c>
    </row>
    <row collapsed="false" customFormat="false" customHeight="false" hidden="false" ht="12.1" outlineLevel="0" r="7771">
      <c r="A7771" s="3" t="s">
        <f>=HYPERLINK("https://mp39851918.megaplan.ua/deals/133769/card/","22927")</f>
      </c>
      <c r="B7771" s="3" t="inlineStr">
        <is>
          <t>113-8422931-1721053</t>
        </is>
      </c>
      <c r="C7771" s="3" t="inlineStr">
        <is>
          <t>PartsUnlimited</t>
        </is>
      </c>
    </row>
    <row collapsed="false" customFormat="false" customHeight="false" hidden="false" ht="12.1" outlineLevel="0" r="7772">
      <c r="A7772" s="3" t="s">
        <f>=HYPERLINK("https://mp39851918.megaplan.ua/deals/133770/card/","22928")</f>
      </c>
      <c r="B7772" s="3" t="inlineStr">
        <is>
          <t>113-3304821-8686621</t>
        </is>
      </c>
      <c r="C7772" s="3" t="inlineStr">
        <is>
          <t>Autodist</t>
        </is>
      </c>
    </row>
    <row collapsed="false" customFormat="false" customHeight="false" hidden="false" ht="12.1" outlineLevel="0" r="7773">
      <c r="A7773" s="3" t="s">
        <f>=HYPERLINK("https://mp39851918.megaplan.ua/deals/133771/card/","22929")</f>
      </c>
      <c r="B7773" s="3" t="inlineStr">
        <is>
          <t>112-2356216-6368208</t>
        </is>
      </c>
      <c r="C7773" s="3" t="inlineStr">
        <is>
          <t>Autodist</t>
        </is>
      </c>
    </row>
    <row collapsed="false" customFormat="false" customHeight="false" hidden="false" ht="12.1" outlineLevel="0" r="7774">
      <c r="A7774" s="3" t="s">
        <f>=HYPERLINK("https://mp39851918.megaplan.ua/deals/133776/card/","22930")</f>
      </c>
      <c r="B7774" s="3" t="inlineStr">
        <is>
          <t>114-4482325-8790636</t>
        </is>
      </c>
      <c r="C7774" s="3" t="inlineStr">
        <is>
          <t>Autodist</t>
        </is>
      </c>
    </row>
    <row collapsed="false" customFormat="false" customHeight="false" hidden="false" ht="12.1" outlineLevel="0" r="7775">
      <c r="A7775" s="3" t="s">
        <f>=HYPERLINK("https://mp39851918.megaplan.ua/deals/133783/card/","22932")</f>
      </c>
      <c r="B7775" s="3" t="inlineStr">
        <is>
          <t>112-0095163-9507464</t>
        </is>
      </c>
      <c r="C7775" s="3" t="inlineStr">
        <is>
          <t>RockyMountain</t>
        </is>
      </c>
    </row>
    <row collapsed="false" customFormat="false" customHeight="false" hidden="false" ht="12.1" outlineLevel="0" r="7776">
      <c r="A7776" s="3" t="s">
        <f>=HYPERLINK("https://mp39851918.megaplan.ua/deals/133784/card/","22933")</f>
      </c>
      <c r="B7776" s="3" t="inlineStr">
        <is>
          <t>111-9920875-9353051</t>
        </is>
      </c>
      <c r="C7776" s="3" t="inlineStr">
        <is>
          <t>RockyMountain</t>
        </is>
      </c>
    </row>
    <row collapsed="false" customFormat="false" customHeight="false" hidden="false" ht="12.1" outlineLevel="0" r="7777">
      <c r="A7777" s="3" t="s">
        <f>=HYPERLINK("https://mp39851918.megaplan.ua/deals/133785/card/","22934")</f>
      </c>
      <c r="B7777" s="3" t="inlineStr">
        <is>
          <t>112-6089530-2576259</t>
        </is>
      </c>
      <c r="C7777" s="3" t="inlineStr">
        <is>
          <t>RockyMountain</t>
        </is>
      </c>
    </row>
    <row collapsed="false" customFormat="false" customHeight="false" hidden="false" ht="12.1" outlineLevel="0" r="7778">
      <c r="A7778" s="3" t="s">
        <f>=HYPERLINK("https://mp39851918.megaplan.ua/deals/133792/card/","22935")</f>
      </c>
      <c r="B7778" s="3" t="inlineStr">
        <is>
          <t>114-1735459-0994634</t>
        </is>
      </c>
      <c r="C7778" s="3" t="inlineStr">
        <is>
          <t>PartsUnlimited</t>
        </is>
      </c>
    </row>
    <row collapsed="false" customFormat="false" customHeight="false" hidden="false" ht="12.1" outlineLevel="0" r="7779">
      <c r="A7779" s="3" t="s">
        <f>=HYPERLINK("https://mp39851918.megaplan.ua/deals/133796/card/","22936")</f>
      </c>
      <c r="B7779" s="3" t="inlineStr">
        <is>
          <t>111-4238212-3856220</t>
        </is>
      </c>
      <c r="C7779" s="3" t="inlineStr">
        <is>
          <t>RockyMountain</t>
        </is>
      </c>
    </row>
    <row collapsed="false" customFormat="false" customHeight="false" hidden="false" ht="12.1" outlineLevel="0" r="7780">
      <c r="A7780" s="3" t="s">
        <f>=HYPERLINK("https://mp39851918.megaplan.ua/deals/133801/card/","22937")</f>
      </c>
      <c r="B7780" s="3" t="inlineStr">
        <is>
          <t>111-0799251-0554614</t>
        </is>
      </c>
      <c r="C7780" s="3" t="inlineStr">
        <is>
          <t>Autodist</t>
        </is>
      </c>
    </row>
    <row collapsed="false" customFormat="false" customHeight="false" hidden="false" ht="12.1" outlineLevel="0" r="7781">
      <c r="A7781" s="3" t="s">
        <f>=HYPERLINK("https://mp39851918.megaplan.ua/deals/133809/card/","22938")</f>
      </c>
      <c r="B7781" s="3" t="inlineStr">
        <is>
          <t>111-8408822-4623400</t>
        </is>
      </c>
      <c r="C7781" s="3" t="inlineStr">
        <is>
          <t>RockyMountain</t>
        </is>
      </c>
    </row>
    <row collapsed="false" customFormat="false" customHeight="false" hidden="false" ht="12.1" outlineLevel="0" r="7782">
      <c r="A7782" s="3" t="s">
        <f>=HYPERLINK("https://mp39851918.megaplan.ua/deals/133813/card/","22939")</f>
      </c>
      <c r="B7782" s="3" t="inlineStr">
        <is>
          <t>112-1676915-1437806</t>
        </is>
      </c>
      <c r="C7782" s="3" t="inlineStr">
        <is>
          <t>RockyMountain</t>
        </is>
      </c>
    </row>
    <row collapsed="false" customFormat="false" customHeight="false" hidden="false" ht="12.1" outlineLevel="0" r="7783">
      <c r="A7783" s="3" t="s">
        <f>=HYPERLINK("https://mp39851918.megaplan.ua/deals/133822/card/","22941")</f>
      </c>
      <c r="B7783" s="3" t="inlineStr">
        <is>
          <t>114-1791203-4697810</t>
        </is>
      </c>
      <c r="C7783" s="3" t="inlineStr">
        <is>
          <t>RockyMountain</t>
        </is>
      </c>
    </row>
    <row collapsed="false" customFormat="false" customHeight="false" hidden="false" ht="12.1" outlineLevel="0" r="7784">
      <c r="A7784" s="3" t="s">
        <f>=HYPERLINK("https://mp39851918.megaplan.ua/deals/133823/card/","22942")</f>
      </c>
      <c r="B7784" s="3" t="inlineStr">
        <is>
          <t>114-0876580-5506631</t>
        </is>
      </c>
      <c r="C7784" s="3" t="inlineStr">
        <is>
          <t>Autodist</t>
        </is>
      </c>
    </row>
    <row collapsed="false" customFormat="false" customHeight="false" hidden="false" ht="12.1" outlineLevel="0" r="7785">
      <c r="A7785" s="3" t="s">
        <f>=HYPERLINK("https://mp39851918.megaplan.ua/deals/133825/card/","22943")</f>
      </c>
      <c r="B7785" s="3" t="inlineStr">
        <is>
          <t>113-4230078-2154668</t>
        </is>
      </c>
      <c r="C7785" s="3" t="inlineStr">
        <is>
          <t>Autodist</t>
        </is>
      </c>
    </row>
    <row collapsed="false" customFormat="false" customHeight="false" hidden="false" ht="12.1" outlineLevel="0" r="7786">
      <c r="A7786" s="3" t="s">
        <f>=HYPERLINK("https://mp39851918.megaplan.ua/deals/133835/card/","22946")</f>
      </c>
      <c r="B7786" s="3" t="inlineStr">
        <is>
          <t>114-2508807-7923427</t>
        </is>
      </c>
      <c r="C7786" s="3" t="inlineStr">
        <is>
          <t>PartsUnlimited</t>
        </is>
      </c>
    </row>
    <row collapsed="false" customFormat="false" customHeight="false" hidden="false" ht="12.1" outlineLevel="0" r="7787">
      <c r="A7787" s="3" t="s">
        <f>=HYPERLINK("https://mp39851918.megaplan.ua/deals/133846/card/","22947")</f>
      </c>
      <c r="B7787" s="3" t="inlineStr">
        <is>
          <t>114-7967540-7717015</t>
        </is>
      </c>
      <c r="C7787" s="3" t="inlineStr">
        <is>
          <t>PartsUnlimited</t>
        </is>
      </c>
    </row>
    <row collapsed="false" customFormat="false" customHeight="false" hidden="false" ht="12.1" outlineLevel="0" r="7788">
      <c r="A7788" s="3" t="s">
        <f>=HYPERLINK("https://mp39851918.megaplan.ua/deals/133847/card/","22948")</f>
      </c>
      <c r="B7788" s="3" t="inlineStr">
        <is>
          <t>111-2057995-2061033</t>
        </is>
      </c>
      <c r="C7788" s="3" t="inlineStr">
        <is>
          <t>TuckerRocky</t>
        </is>
      </c>
    </row>
    <row collapsed="false" customFormat="false" customHeight="false" hidden="false" ht="12.1" outlineLevel="0" r="7789">
      <c r="A7789" s="3" t="s">
        <f>=HYPERLINK("https://mp39851918.megaplan.ua/deals/133857/card/","22949")</f>
      </c>
      <c r="B7789" s="3" t="inlineStr">
        <is>
          <t>113-6483392-7294607</t>
        </is>
      </c>
      <c r="C7789" s="3" t="inlineStr">
        <is>
          <t>Autodist</t>
        </is>
      </c>
    </row>
    <row collapsed="false" customFormat="false" customHeight="false" hidden="false" ht="12.1" outlineLevel="0" r="7790">
      <c r="A7790" s="3" t="s">
        <f>=HYPERLINK("https://mp39851918.megaplan.ua/deals/133883/card/","22952")</f>
      </c>
      <c r="B7790" s="3" t="inlineStr">
        <is>
          <t>113-0974246-2693037</t>
        </is>
      </c>
      <c r="C7790" s="3" t="inlineStr">
        <is>
          <t>RockyMountain</t>
        </is>
      </c>
    </row>
    <row collapsed="false" customFormat="false" customHeight="false" hidden="false" ht="12.1" outlineLevel="0" r="7791">
      <c r="A7791" s="3" t="s">
        <f>=HYPERLINK("https://mp39851918.megaplan.ua/deals/133891/card/","22953")</f>
      </c>
      <c r="B7791" s="3" t="inlineStr">
        <is>
          <t>114-4694612-5137855</t>
        </is>
      </c>
      <c r="C7791" s="3" t="inlineStr">
        <is>
          <t>PartsUnlimited</t>
        </is>
      </c>
    </row>
    <row collapsed="false" customFormat="false" customHeight="false" hidden="false" ht="12.1" outlineLevel="0" r="7792">
      <c r="A7792" s="3" t="s">
        <f>=HYPERLINK("https://mp39851918.megaplan.ua/deals/133896/card/","22954")</f>
      </c>
      <c r="B7792" s="3" t="inlineStr">
        <is>
          <t>113-6076039-9764251</t>
        </is>
      </c>
      <c r="C7792" s="3" t="inlineStr">
        <is>
          <t>RockyMountain</t>
        </is>
      </c>
    </row>
    <row collapsed="false" customFormat="false" customHeight="false" hidden="false" ht="12.1" outlineLevel="0" r="7793">
      <c r="A7793" s="3" t="s">
        <f>=HYPERLINK("https://mp39851918.megaplan.ua/deals/133897/card/","22955")</f>
      </c>
      <c r="B7793" s="3" t="inlineStr">
        <is>
          <t>111-0196266-3062661</t>
        </is>
      </c>
      <c r="C7793" s="3" t="inlineStr">
        <is>
          <t>PartsUnlimited</t>
        </is>
      </c>
    </row>
    <row collapsed="false" customFormat="false" customHeight="false" hidden="false" ht="12.1" outlineLevel="0" r="7794">
      <c r="A7794" s="3" t="s">
        <f>=HYPERLINK("https://mp39851918.megaplan.ua/deals/133901/card/","22956")</f>
      </c>
      <c r="B7794" s="3" t="inlineStr">
        <is>
          <t>112-9609075-2066601</t>
        </is>
      </c>
      <c r="C7794" s="3" t="inlineStr">
        <is>
          <t>TuckerRocky</t>
        </is>
      </c>
    </row>
    <row collapsed="false" customFormat="false" customHeight="false" hidden="false" ht="12.1" outlineLevel="0" r="7795">
      <c r="A7795" s="3" t="s">
        <f>=HYPERLINK("https://mp39851918.megaplan.ua/deals/133902/card/","22957")</f>
      </c>
      <c r="B7795" s="3" t="inlineStr">
        <is>
          <t>111-1658644-0764251</t>
        </is>
      </c>
      <c r="C7795" s="3" t="inlineStr">
        <is>
          <t>TuckerRocky</t>
        </is>
      </c>
    </row>
    <row collapsed="false" customFormat="false" customHeight="false" hidden="false" ht="12.1" outlineLevel="0" r="7796">
      <c r="A7796" s="3" t="s">
        <f>=HYPERLINK("https://mp39851918.megaplan.ua/deals/133921/card/","22959")</f>
      </c>
      <c r="B7796" s="3" t="inlineStr">
        <is>
          <t>113-0796402-0813017</t>
        </is>
      </c>
      <c r="C7796" s="3" t="inlineStr">
        <is>
          <t>RockyMountain</t>
        </is>
      </c>
    </row>
    <row collapsed="false" customFormat="false" customHeight="false" hidden="false" ht="12.1" outlineLevel="0" r="7797">
      <c r="A7797" s="3" t="s">
        <f>=HYPERLINK("https://mp39851918.megaplan.ua/deals/133922/card/","22960")</f>
      </c>
      <c r="B7797" s="3" t="inlineStr">
        <is>
          <t>114-5211770-0938618</t>
        </is>
      </c>
      <c r="C7797" s="3" t="inlineStr">
        <is>
          <t>RockyMountain</t>
        </is>
      </c>
    </row>
    <row collapsed="false" customFormat="false" customHeight="false" hidden="false" ht="12.1" outlineLevel="0" r="7798">
      <c r="A7798" s="3" t="s">
        <f>=HYPERLINK("https://mp39851918.megaplan.ua/deals/133925/card/","22961")</f>
      </c>
      <c r="B7798" s="3" t="inlineStr">
        <is>
          <t>113-1514951-7589022</t>
        </is>
      </c>
      <c r="C7798" s="3" t="inlineStr">
        <is>
          <t>PartsUnlimited</t>
        </is>
      </c>
    </row>
    <row collapsed="false" customFormat="false" customHeight="false" hidden="false" ht="12.1" outlineLevel="0" r="7799">
      <c r="A7799" s="3" t="s">
        <f>=HYPERLINK("https://mp39851918.megaplan.ua/deals/133926/card/","22962")</f>
      </c>
      <c r="B7799" s="3" t="inlineStr">
        <is>
          <t>112-7785194-2469812</t>
        </is>
      </c>
      <c r="C7799" s="3" t="inlineStr">
        <is>
          <t>Autodist</t>
        </is>
      </c>
    </row>
    <row collapsed="false" customFormat="false" customHeight="false" hidden="false" ht="12.1" outlineLevel="0" r="7800">
      <c r="A7800" s="3" t="s">
        <f>=HYPERLINK("https://mp39851918.megaplan.ua/deals/133927/card/","22963")</f>
      </c>
      <c r="B7800" s="3" t="inlineStr">
        <is>
          <t>113-7739092-5960261</t>
        </is>
      </c>
      <c r="C7800" s="3" t="inlineStr">
        <is>
          <t>TuckerRocky</t>
        </is>
      </c>
    </row>
    <row collapsed="false" customFormat="false" customHeight="false" hidden="false" ht="12.1" outlineLevel="0" r="7801">
      <c r="A7801" s="3" t="s">
        <f>=HYPERLINK("https://mp39851918.megaplan.ua/deals/133935/card/","22964")</f>
      </c>
      <c r="B7801" s="3" t="inlineStr">
        <is>
          <t>111-3487293-7125844</t>
        </is>
      </c>
      <c r="C7801" s="3" t="inlineStr">
        <is>
          <t>TuckerRocky</t>
        </is>
      </c>
    </row>
    <row collapsed="false" customFormat="false" customHeight="false" hidden="false" ht="12.1" outlineLevel="0" r="7802">
      <c r="A7802" s="3" t="s">
        <f>=HYPERLINK("https://mp39851918.megaplan.ua/deals/133962/card/","22966")</f>
      </c>
      <c r="B7802" s="3" t="inlineStr">
        <is>
          <t>113-0801992-5042606</t>
        </is>
      </c>
      <c r="C7802" s="3" t="inlineStr">
        <is>
          <t>RockyMountain</t>
        </is>
      </c>
    </row>
    <row collapsed="false" customFormat="false" customHeight="false" hidden="false" ht="12.1" outlineLevel="0" r="7803">
      <c r="A7803" s="3" t="s">
        <f>=HYPERLINK("https://mp39851918.megaplan.ua/deals/133973/card/","22967")</f>
      </c>
      <c r="B7803" s="3" t="inlineStr">
        <is>
          <t>112-9546559-9303461</t>
        </is>
      </c>
      <c r="C7803" s="3" t="inlineStr">
        <is>
          <t>TuckerRocky</t>
        </is>
      </c>
    </row>
    <row collapsed="false" customFormat="false" customHeight="false" hidden="false" ht="12.1" outlineLevel="0" r="7804">
      <c r="A7804" s="3" t="s">
        <f>=HYPERLINK("https://mp39851918.megaplan.ua/deals/133979/card/","22968")</f>
      </c>
      <c r="B7804" s="3" t="inlineStr">
        <is>
          <t>114-1573677-0597006</t>
        </is>
      </c>
      <c r="C7804" s="3" t="inlineStr">
        <is>
          <t>RockyMountain</t>
        </is>
      </c>
    </row>
    <row collapsed="false" customFormat="false" customHeight="false" hidden="false" ht="12.1" outlineLevel="0" r="7805">
      <c r="A7805" s="3" t="s">
        <f>=HYPERLINK("https://mp39851918.megaplan.ua/deals/133980/card/","22969")</f>
      </c>
      <c r="B7805" s="3" t="inlineStr">
        <is>
          <t>112-3305231-9613027</t>
        </is>
      </c>
      <c r="C7805" s="3" t="inlineStr">
        <is>
          <t>Autodist</t>
        </is>
      </c>
    </row>
    <row collapsed="false" customFormat="false" customHeight="false" hidden="false" ht="12.1" outlineLevel="0" r="7806">
      <c r="A7806" s="3" t="s">
        <f>=HYPERLINK("https://mp39851918.megaplan.ua/deals/133987/card/","22971")</f>
      </c>
      <c r="B7806" s="3" t="inlineStr">
        <is>
          <t>113-5636927-1108213</t>
        </is>
      </c>
      <c r="C7806" s="3" t="inlineStr">
        <is>
          <t>TuckerRocky</t>
        </is>
      </c>
    </row>
    <row collapsed="false" customFormat="false" customHeight="false" hidden="false" ht="12.1" outlineLevel="0" r="7807">
      <c r="A7807" s="3" t="s">
        <f>=HYPERLINK("https://mp39851918.megaplan.ua/deals/133997/card/","22974")</f>
      </c>
      <c r="B7807" s="3" t="inlineStr">
        <is>
          <t>112-6221599-0668212</t>
        </is>
      </c>
      <c r="C7807" s="3" t="inlineStr">
        <is>
          <t>RockyMountain</t>
        </is>
      </c>
    </row>
    <row collapsed="false" customFormat="false" customHeight="false" hidden="false" ht="12.1" outlineLevel="0" r="7808">
      <c r="A7808" s="3" t="s">
        <f>=HYPERLINK("https://mp39851918.megaplan.ua/deals/134001/card/","22975")</f>
      </c>
      <c r="B7808" s="3" t="inlineStr">
        <is>
          <t>111-7259073-6261813</t>
        </is>
      </c>
      <c r="C7808" s="3" t="inlineStr">
        <is>
          <t>Autodist</t>
        </is>
      </c>
    </row>
    <row collapsed="false" customFormat="false" customHeight="false" hidden="false" ht="12.1" outlineLevel="0" r="7809">
      <c r="A7809" s="3" t="s">
        <f>=HYPERLINK("https://mp39851918.megaplan.ua/deals/134002/card/","22976")</f>
      </c>
      <c r="B7809" s="3" t="inlineStr">
        <is>
          <t>113-3890092-3286649</t>
        </is>
      </c>
      <c r="C7809" s="3" t="inlineStr">
        <is>
          <t>Autodist</t>
        </is>
      </c>
    </row>
    <row collapsed="false" customFormat="false" customHeight="false" hidden="false" ht="12.1" outlineLevel="0" r="7810">
      <c r="A7810" s="3" t="s">
        <f>=HYPERLINK("https://mp39851918.megaplan.ua/deals/134018/card/","22978")</f>
      </c>
      <c r="B7810" s="3" t="inlineStr">
        <is>
          <t>112-1422984-2505047</t>
        </is>
      </c>
      <c r="C7810" s="3" t="inlineStr">
        <is>
          <t>RockyMountain</t>
        </is>
      </c>
    </row>
    <row collapsed="false" customFormat="false" customHeight="false" hidden="false" ht="12.1" outlineLevel="0" r="7811">
      <c r="A7811" s="3" t="s">
        <f>=HYPERLINK("https://mp39851918.megaplan.ua/deals/134029/card/","22980")</f>
      </c>
      <c r="B7811" s="3" t="inlineStr">
        <is>
          <t>111-8343089-0406637</t>
        </is>
      </c>
      <c r="C7811" s="3" t="inlineStr">
        <is>
          <t>Autodist</t>
        </is>
      </c>
    </row>
    <row collapsed="false" customFormat="false" customHeight="false" hidden="false" ht="12.1" outlineLevel="0" r="7812">
      <c r="A7812" s="3" t="s">
        <f>=HYPERLINK("https://mp39851918.megaplan.ua/deals/134040/card/","22982")</f>
      </c>
      <c r="B7812" s="3" t="inlineStr">
        <is>
          <t>111-1353813-0509827</t>
        </is>
      </c>
      <c r="C7812" s="3" t="inlineStr">
        <is>
          <t>RockyMountain</t>
        </is>
      </c>
    </row>
    <row collapsed="false" customFormat="false" customHeight="false" hidden="false" ht="12.1" outlineLevel="0" r="7813">
      <c r="A7813" s="3" t="s">
        <f>=HYPERLINK("https://mp39851918.megaplan.ua/deals/134041/card/","22983")</f>
      </c>
      <c r="B7813" s="3" t="inlineStr">
        <is>
          <t>112-0084082-8224256</t>
        </is>
      </c>
      <c r="C7813" s="3" t="inlineStr">
        <is>
          <t>RockyMountain</t>
        </is>
      </c>
    </row>
    <row collapsed="false" customFormat="false" customHeight="false" hidden="false" ht="12.1" outlineLevel="0" r="7814">
      <c r="A7814" s="3" t="s">
        <f>=HYPERLINK("https://mp39851918.megaplan.ua/deals/134042/card/","22984")</f>
      </c>
      <c r="B7814" s="3" t="inlineStr">
        <is>
          <t>114-0999162-6757867</t>
        </is>
      </c>
      <c r="C7814" s="3" t="inlineStr">
        <is>
          <t>RockyMountain</t>
        </is>
      </c>
    </row>
    <row collapsed="false" customFormat="false" customHeight="false" hidden="false" ht="12.1" outlineLevel="0" r="7815">
      <c r="A7815" s="3" t="s">
        <f>=HYPERLINK("https://mp39851918.megaplan.ua/deals/134049/card/","22985")</f>
      </c>
      <c r="B7815" s="3" t="inlineStr">
        <is>
          <t>114-8816255-9074663</t>
        </is>
      </c>
      <c r="C7815" s="3" t="inlineStr">
        <is>
          <t>TuckerRocky</t>
        </is>
      </c>
    </row>
    <row collapsed="false" customFormat="false" customHeight="false" hidden="false" ht="12.1" outlineLevel="0" r="7816">
      <c r="A7816" s="3" t="s">
        <f>=HYPERLINK("https://mp39851918.megaplan.ua/deals/134055/card/","22986")</f>
      </c>
      <c r="B7816" s="3" t="inlineStr">
        <is>
          <t>113-3710513-3053820</t>
        </is>
      </c>
      <c r="C7816" s="3" t="inlineStr">
        <is>
          <t>Autodist</t>
        </is>
      </c>
    </row>
    <row collapsed="false" customFormat="false" customHeight="false" hidden="false" ht="12.1" outlineLevel="0" r="7817">
      <c r="A7817" s="3" t="s">
        <f>=HYPERLINK("https://mp39851918.megaplan.ua/deals/134056/card/","22987")</f>
      </c>
      <c r="B7817" s="3" t="inlineStr">
        <is>
          <t>112-5046487-8205838</t>
        </is>
      </c>
      <c r="C7817" s="3" t="inlineStr">
        <is>
          <t>Autodist</t>
        </is>
      </c>
    </row>
    <row collapsed="false" customFormat="false" customHeight="false" hidden="false" ht="12.1" outlineLevel="0" r="7818">
      <c r="A7818" s="3" t="s">
        <f>=HYPERLINK("https://mp39851918.megaplan.ua/deals/134058/card/","22988")</f>
      </c>
      <c r="B7818" s="3" t="inlineStr">
        <is>
          <t>112-5752360-8769005</t>
        </is>
      </c>
      <c r="C7818" s="3" t="inlineStr">
        <is>
          <t>PartsUnlimited</t>
        </is>
      </c>
    </row>
    <row collapsed="false" customFormat="false" customHeight="false" hidden="false" ht="12.1" outlineLevel="0" r="7819">
      <c r="A7819" s="3" t="s">
        <f>=HYPERLINK("https://mp39851918.megaplan.ua/deals/134065/card/","22989")</f>
      </c>
      <c r="B7819" s="3" t="inlineStr">
        <is>
          <t>114-2805510-7537840</t>
        </is>
      </c>
      <c r="C7819" s="3" t="inlineStr">
        <is>
          <t>RockyMountain</t>
        </is>
      </c>
    </row>
    <row collapsed="false" customFormat="false" customHeight="false" hidden="false" ht="12.1" outlineLevel="0" r="7820">
      <c r="A7820" s="3" t="s">
        <f>=HYPERLINK("https://mp39851918.megaplan.ua/deals/134090/card/","22991")</f>
      </c>
      <c r="B7820" s="3" t="inlineStr">
        <is>
          <t>112-9296145-7873041</t>
        </is>
      </c>
      <c r="C7820" s="3" t="inlineStr">
        <is>
          <t>PartsUnlimited</t>
        </is>
      </c>
    </row>
    <row collapsed="false" customFormat="false" customHeight="false" hidden="false" ht="12.1" outlineLevel="0" r="7821">
      <c r="A7821" s="3" t="s">
        <f>=HYPERLINK("https://mp39851918.megaplan.ua/deals/134109/card/","22993")</f>
      </c>
      <c r="B7821" s="3" t="inlineStr">
        <is>
          <t>114-5160244-0777823</t>
        </is>
      </c>
      <c r="C7821" s="3" t="inlineStr">
        <is>
          <t>RockyMountain</t>
        </is>
      </c>
    </row>
    <row collapsed="false" customFormat="false" customHeight="false" hidden="false" ht="12.1" outlineLevel="0" r="7822">
      <c r="A7822" s="3" t="s">
        <f>=HYPERLINK("https://mp39851918.megaplan.ua/deals/134111/card/","22994")</f>
      </c>
      <c r="B7822" s="3" t="inlineStr">
        <is>
          <t>112-0295013-3070632</t>
        </is>
      </c>
      <c r="C7822" s="3" t="inlineStr">
        <is>
          <t>PartsUnlimited</t>
        </is>
      </c>
    </row>
    <row collapsed="false" customFormat="false" customHeight="false" hidden="false" ht="12.1" outlineLevel="0" r="7823">
      <c r="A7823" s="3" t="s">
        <f>=HYPERLINK("https://mp39851918.megaplan.ua/deals/134112/card/","22995")</f>
      </c>
      <c r="B7823" s="3" t="inlineStr">
        <is>
          <t>114-4784685-7517842</t>
        </is>
      </c>
      <c r="C7823" s="3" t="inlineStr">
        <is>
          <t>Autodist</t>
        </is>
      </c>
    </row>
    <row collapsed="false" customFormat="false" customHeight="false" hidden="false" ht="12.1" outlineLevel="0" r="7824">
      <c r="A7824" s="3" t="s">
        <f>=HYPERLINK("https://mp39851918.megaplan.ua/deals/134116/card/","22996")</f>
      </c>
      <c r="B7824" s="3" t="inlineStr">
        <is>
          <t>113-6159100-5015448</t>
        </is>
      </c>
      <c r="C7824" s="3" t="inlineStr">
        <is>
          <t>Autodist</t>
        </is>
      </c>
    </row>
    <row collapsed="false" customFormat="false" customHeight="false" hidden="false" ht="12.1" outlineLevel="0" r="7825">
      <c r="A7825" s="3" t="s">
        <f>=HYPERLINK("https://mp39851918.megaplan.ua/deals/134120/card/","22997")</f>
      </c>
      <c r="B7825" s="3" t="inlineStr">
        <is>
          <t>114-8926402-7662610</t>
        </is>
      </c>
      <c r="C7825" s="3" t="inlineStr">
        <is>
          <t>RockyMountain</t>
        </is>
      </c>
    </row>
    <row collapsed="false" customFormat="false" customHeight="false" hidden="false" ht="12.1" outlineLevel="0" r="7826">
      <c r="A7826" s="3" t="s">
        <f>=HYPERLINK("https://mp39851918.megaplan.ua/deals/134124/card/","22998")</f>
      </c>
      <c r="B7826" s="3" t="inlineStr">
        <is>
          <t>114-5340979-5932249</t>
        </is>
      </c>
      <c r="C7826" s="3" t="inlineStr">
        <is>
          <t>Autodist</t>
        </is>
      </c>
    </row>
    <row collapsed="false" customFormat="false" customHeight="false" hidden="false" ht="12.1" outlineLevel="0" r="7827">
      <c r="A7827" s="3" t="s">
        <f>=HYPERLINK("https://mp39851918.megaplan.ua/deals/134127/card/","22999")</f>
      </c>
      <c r="B7827" s="3" t="inlineStr">
        <is>
          <t>111-4404080-5809037</t>
        </is>
      </c>
      <c r="C7827" s="3" t="inlineStr">
        <is>
          <t>RockyMountain</t>
        </is>
      </c>
    </row>
    <row collapsed="false" customFormat="false" customHeight="false" hidden="false" ht="12.1" outlineLevel="0" r="7828">
      <c r="A7828" s="3" t="s">
        <f>=HYPERLINK("https://mp39851918.megaplan.ua/deals/134134/card/","23000")</f>
      </c>
      <c r="B7828" s="3" t="inlineStr">
        <is>
          <t>113-2472269-1124229</t>
        </is>
      </c>
      <c r="C7828" s="3" t="inlineStr">
        <is>
          <t>RockyMountain</t>
        </is>
      </c>
    </row>
    <row collapsed="false" customFormat="false" customHeight="false" hidden="false" ht="12.1" outlineLevel="0" r="7829">
      <c r="A7829" s="3" t="s">
        <f>=HYPERLINK("https://mp39851918.megaplan.ua/deals/134135/card/","23001")</f>
      </c>
      <c r="B7829" s="3" t="inlineStr">
        <is>
          <t>111-6029139-8025808</t>
        </is>
      </c>
      <c r="C7829" s="3" t="inlineStr">
        <is>
          <t>TuckerRocky</t>
        </is>
      </c>
    </row>
    <row collapsed="false" customFormat="false" customHeight="false" hidden="false" ht="12.1" outlineLevel="0" r="7830">
      <c r="A7830" s="3" t="s">
        <f>=HYPERLINK("https://mp39851918.megaplan.ua/deals/134147/card/","23002")</f>
      </c>
      <c r="B7830" s="3" t="inlineStr">
        <is>
          <t>112-9817295-0925022</t>
        </is>
      </c>
      <c r="C7830" s="3" t="inlineStr">
        <is>
          <t>TuckerRocky</t>
        </is>
      </c>
    </row>
    <row collapsed="false" customFormat="false" customHeight="false" hidden="false" ht="12.1" outlineLevel="0" r="7831">
      <c r="A7831" s="3" t="s">
        <f>=HYPERLINK("https://mp39851918.megaplan.ua/deals/134148/card/","23003")</f>
      </c>
      <c r="B7831" s="3" t="inlineStr">
        <is>
          <t>113-2350174-3134609</t>
        </is>
      </c>
      <c r="C7831" s="3" t="inlineStr">
        <is>
          <t>TuckerRocky</t>
        </is>
      </c>
    </row>
    <row collapsed="false" customFormat="false" customHeight="false" hidden="false" ht="12.1" outlineLevel="0" r="7832">
      <c r="A7832" s="3" t="s">
        <f>=HYPERLINK("https://mp39851918.megaplan.ua/deals/134149/card/","23004")</f>
      </c>
      <c r="B7832" s="3" t="inlineStr">
        <is>
          <t>113-9899288-4433063</t>
        </is>
      </c>
      <c r="C7832" s="3" t="inlineStr">
        <is>
          <t>RockyMountain</t>
        </is>
      </c>
    </row>
    <row collapsed="false" customFormat="false" customHeight="false" hidden="false" ht="12.1" outlineLevel="0" r="7833">
      <c r="A7833" s="3" t="s">
        <f>=HYPERLINK("https://mp39851918.megaplan.ua/deals/134152/card/","23005")</f>
      </c>
      <c r="B7833" s="3" t="inlineStr">
        <is>
          <t>113-4354121-6647465</t>
        </is>
      </c>
      <c r="C7833" s="3" t="inlineStr">
        <is>
          <t>RockyMountain</t>
        </is>
      </c>
    </row>
    <row collapsed="false" customFormat="false" customHeight="false" hidden="false" ht="12.1" outlineLevel="0" r="7834">
      <c r="A7834" s="3" t="s">
        <f>=HYPERLINK("https://mp39851918.megaplan.ua/deals/134155/card/","23006")</f>
      </c>
      <c r="B7834" s="3" t="inlineStr">
        <is>
          <t>112-6755704-1534652</t>
        </is>
      </c>
      <c r="C7834" s="3" t="inlineStr">
        <is>
          <t>RockyMountain</t>
        </is>
      </c>
    </row>
    <row collapsed="false" customFormat="false" customHeight="false" hidden="false" ht="12.1" outlineLevel="0" r="7835">
      <c r="A7835" s="3" t="s">
        <f>=HYPERLINK("https://mp39851918.megaplan.ua/deals/134156/card/","23007")</f>
      </c>
      <c r="B7835" s="3" t="inlineStr">
        <is>
          <t>111-1375180-4803448</t>
        </is>
      </c>
      <c r="C7835" s="3" t="inlineStr">
        <is>
          <t>RockyMountain</t>
        </is>
      </c>
    </row>
    <row collapsed="false" customFormat="false" customHeight="false" hidden="false" ht="12.1" outlineLevel="0" r="7836">
      <c r="A7836" s="3" t="s">
        <f>=HYPERLINK("https://mp39851918.megaplan.ua/deals/134160/card/","23008")</f>
      </c>
      <c r="B7836" s="3" t="inlineStr">
        <is>
          <t>112-5674233-0749809</t>
        </is>
      </c>
      <c r="C7836" s="3" t="inlineStr">
        <is>
          <t>TuckerRocky</t>
        </is>
      </c>
    </row>
    <row collapsed="false" customFormat="false" customHeight="false" hidden="false" ht="12.1" outlineLevel="0" r="7837">
      <c r="A7837" s="3" t="s">
        <f>=HYPERLINK("https://mp39851918.megaplan.ua/deals/134161/card/","23009")</f>
      </c>
      <c r="B7837" s="3" t="inlineStr">
        <is>
          <t>113-1843098-0308226</t>
        </is>
      </c>
      <c r="C7837" s="3" t="inlineStr">
        <is>
          <t>RockyMountain</t>
        </is>
      </c>
    </row>
    <row collapsed="false" customFormat="false" customHeight="false" hidden="false" ht="12.1" outlineLevel="0" r="7838">
      <c r="A7838" s="3" t="s">
        <f>=HYPERLINK("https://mp39851918.megaplan.ua/deals/134163/card/","23010")</f>
      </c>
      <c r="B7838" s="3" t="inlineStr">
        <is>
          <t>114-8023790-3279457</t>
        </is>
      </c>
      <c r="C7838" s="3" t="inlineStr">
        <is>
          <t>TuckerRocky</t>
        </is>
      </c>
    </row>
    <row collapsed="false" customFormat="false" customHeight="false" hidden="false" ht="12.1" outlineLevel="0" r="7839">
      <c r="A7839" s="3" t="s">
        <f>=HYPERLINK("https://mp39851918.megaplan.ua/deals/134173/card/","23012")</f>
      </c>
      <c r="B7839" s="3" t="inlineStr">
        <is>
          <t>112-4690466-0411440</t>
        </is>
      </c>
      <c r="C7839" s="3" t="inlineStr">
        <is>
          <t>TuckerRocky</t>
        </is>
      </c>
    </row>
    <row collapsed="false" customFormat="false" customHeight="false" hidden="false" ht="12.1" outlineLevel="0" r="7840">
      <c r="A7840" s="3" t="s">
        <f>=HYPERLINK("https://mp39851918.megaplan.ua/deals/134180/card/","23013")</f>
      </c>
      <c r="B7840" s="3" t="inlineStr">
        <is>
          <t>112-8516386-6334608</t>
        </is>
      </c>
      <c r="C7840" s="3" t="inlineStr">
        <is>
          <t>RockyMountain</t>
        </is>
      </c>
    </row>
    <row collapsed="false" customFormat="false" customHeight="false" hidden="false" ht="12.1" outlineLevel="0" r="7841">
      <c r="A7841" s="3" t="s">
        <f>=HYPERLINK("https://mp39851918.megaplan.ua/deals/134213/card/","23014")</f>
      </c>
      <c r="B7841" s="3" t="inlineStr">
        <is>
          <t>112-7122792-1199448</t>
        </is>
      </c>
      <c r="C7841" s="3" t="inlineStr">
        <is>
          <t>Autodist</t>
        </is>
      </c>
    </row>
    <row collapsed="false" customFormat="false" customHeight="false" hidden="false" ht="12.1" outlineLevel="0" r="7842">
      <c r="A7842" s="3" t="s">
        <f>=HYPERLINK("https://mp39851918.megaplan.ua/deals/134236/card/","23015")</f>
      </c>
      <c r="B7842" s="3" t="inlineStr">
        <is>
          <t>112-5932643-1191468</t>
        </is>
      </c>
      <c r="C7842" s="3" t="inlineStr">
        <is>
          <t>PartsUnlimited</t>
        </is>
      </c>
    </row>
    <row collapsed="false" customFormat="false" customHeight="false" hidden="false" ht="12.1" outlineLevel="0" r="7843">
      <c r="A7843" s="3" t="s">
        <f>=HYPERLINK("https://mp39851918.megaplan.ua/deals/134239/card/","23016")</f>
      </c>
      <c r="B7843" s="3" t="inlineStr">
        <is>
          <t>113-0460855-0989819</t>
        </is>
      </c>
      <c r="C7843" s="3" t="inlineStr">
        <is>
          <t>Autodist</t>
        </is>
      </c>
    </row>
    <row collapsed="false" customFormat="false" customHeight="false" hidden="false" ht="12.1" outlineLevel="0" r="7844">
      <c r="A7844" s="3" t="s">
        <f>=HYPERLINK("https://mp39851918.megaplan.ua/deals/134240/card/","23017")</f>
      </c>
      <c r="B7844" s="3" t="inlineStr">
        <is>
          <t>113-9785617-5141855</t>
        </is>
      </c>
      <c r="C7844" s="3" t="inlineStr">
        <is>
          <t>RockyMountain</t>
        </is>
      </c>
    </row>
    <row collapsed="false" customFormat="false" customHeight="false" hidden="false" ht="12.1" outlineLevel="0" r="7845">
      <c r="A7845" s="3" t="s">
        <f>=HYPERLINK("https://mp39851918.megaplan.ua/deals/134241/card/","23018")</f>
      </c>
      <c r="B7845" s="3" t="inlineStr">
        <is>
          <t>112-7578056-8377807</t>
        </is>
      </c>
      <c r="C7845" s="3" t="inlineStr">
        <is>
          <t>Autodist</t>
        </is>
      </c>
    </row>
    <row collapsed="false" customFormat="false" customHeight="false" hidden="false" ht="12.1" outlineLevel="0" r="7846">
      <c r="A7846" s="3" t="s">
        <f>=HYPERLINK("https://mp39851918.megaplan.ua/deals/134246/card/","23019")</f>
      </c>
      <c r="B7846" s="3" t="inlineStr">
        <is>
          <t>112-0538682-9667433</t>
        </is>
      </c>
      <c r="C7846" s="3" t="inlineStr">
        <is>
          <t>RockyMountain</t>
        </is>
      </c>
    </row>
    <row collapsed="false" customFormat="false" customHeight="false" hidden="false" ht="12.1" outlineLevel="0" r="7847">
      <c r="A7847" s="3" t="s">
        <f>=HYPERLINK("https://mp39851918.megaplan.ua/deals/134260/card/","23020")</f>
      </c>
      <c r="B7847" s="3" t="inlineStr">
        <is>
          <t>111-0797134-9878652</t>
        </is>
      </c>
      <c r="C7847" s="3" t="inlineStr">
        <is>
          <t>RockyMountain</t>
        </is>
      </c>
    </row>
    <row collapsed="false" customFormat="false" customHeight="false" hidden="false" ht="12.1" outlineLevel="0" r="7848">
      <c r="A7848" s="3" t="s">
        <f>=HYPERLINK("https://mp39851918.megaplan.ua/deals/134261/card/","23021")</f>
      </c>
      <c r="B7848" s="3" t="inlineStr">
        <is>
          <t>114-1856351-4836220</t>
        </is>
      </c>
      <c r="C7848" s="3" t="inlineStr">
        <is>
          <t>PartsUnlimited</t>
        </is>
      </c>
    </row>
    <row collapsed="false" customFormat="false" customHeight="false" hidden="false" ht="12.1" outlineLevel="0" r="7849">
      <c r="A7849" s="3" t="s">
        <f>=HYPERLINK("https://mp39851918.megaplan.ua/deals/134265/card/","23022")</f>
      </c>
      <c r="B7849" s="3" t="inlineStr">
        <is>
          <t>113-7783257-3284234</t>
        </is>
      </c>
      <c r="C7849" s="3" t="inlineStr">
        <is>
          <t>PartsUnlimited</t>
        </is>
      </c>
    </row>
    <row collapsed="false" customFormat="false" customHeight="false" hidden="false" ht="12.1" outlineLevel="0" r="7850">
      <c r="A7850" s="3" t="s">
        <f>=HYPERLINK("https://mp39851918.megaplan.ua/deals/134267/card/","23023")</f>
      </c>
      <c r="B7850" s="3" t="inlineStr">
        <is>
          <t>113-3349406-4739426</t>
        </is>
      </c>
      <c r="C7850" s="3" t="inlineStr">
        <is>
          <t>TuckerRocky</t>
        </is>
      </c>
    </row>
    <row collapsed="false" customFormat="false" customHeight="false" hidden="false" ht="12.1" outlineLevel="0" r="7851">
      <c r="A7851" s="3" t="s">
        <f>=HYPERLINK("https://mp39851918.megaplan.ua/deals/134279/card/","23024")</f>
      </c>
      <c r="B7851" s="3" t="inlineStr">
        <is>
          <t>112-5802458-1745836</t>
        </is>
      </c>
      <c r="C7851" s="3" t="inlineStr">
        <is>
          <t>RockyMountain</t>
        </is>
      </c>
    </row>
    <row collapsed="false" customFormat="false" customHeight="false" hidden="false" ht="12.1" outlineLevel="0" r="7852">
      <c r="A7852" s="3" t="s">
        <f>=HYPERLINK("https://mp39851918.megaplan.ua/deals/134292/card/","23026")</f>
      </c>
      <c r="B7852" s="3" t="inlineStr">
        <is>
          <t>112-2653175-5674601</t>
        </is>
      </c>
      <c r="C7852" s="3" t="inlineStr">
        <is>
          <t>RockyMountain</t>
        </is>
      </c>
    </row>
    <row collapsed="false" customFormat="false" customHeight="false" hidden="false" ht="12.1" outlineLevel="0" r="7853">
      <c r="A7853" s="3" t="s">
        <f>=HYPERLINK("https://mp39851918.megaplan.ua/deals/134294/card/","23027")</f>
      </c>
      <c r="B7853" s="3" t="inlineStr">
        <is>
          <t>111-5198232-1042638</t>
        </is>
      </c>
      <c r="C7853" s="3" t="inlineStr">
        <is>
          <t>Autodist</t>
        </is>
      </c>
    </row>
    <row collapsed="false" customFormat="false" customHeight="false" hidden="false" ht="12.1" outlineLevel="0" r="7854">
      <c r="A7854" s="3" t="s">
        <f>=HYPERLINK("https://mp39851918.megaplan.ua/deals/134298/card/","23028")</f>
      </c>
      <c r="B7854" s="3" t="inlineStr">
        <is>
          <t>113-5840750-8669005</t>
        </is>
      </c>
      <c r="C7854" s="3" t="inlineStr">
        <is>
          <t>PartsUnlimited</t>
        </is>
      </c>
    </row>
    <row collapsed="false" customFormat="false" customHeight="false" hidden="false" ht="12.1" outlineLevel="0" r="7855">
      <c r="A7855" s="3" t="s">
        <f>=HYPERLINK("https://mp39851918.megaplan.ua/deals/134299/card/","23029")</f>
      </c>
      <c r="B7855" s="3" t="inlineStr">
        <is>
          <t>113-7759919-1705869</t>
        </is>
      </c>
      <c r="C7855" s="3" t="inlineStr">
        <is>
          <t>TuckerRocky</t>
        </is>
      </c>
    </row>
    <row collapsed="false" customFormat="false" customHeight="false" hidden="false" ht="12.1" outlineLevel="0" r="7856">
      <c r="A7856" s="3" t="s">
        <f>=HYPERLINK("https://mp39851918.megaplan.ua/deals/134300/card/","23030")</f>
      </c>
      <c r="B7856" s="3" t="inlineStr">
        <is>
          <t>114-1600377-6046655</t>
        </is>
      </c>
      <c r="C7856" s="3" t="inlineStr">
        <is>
          <t>Autodist</t>
        </is>
      </c>
    </row>
    <row collapsed="false" customFormat="false" customHeight="false" hidden="false" ht="12.1" outlineLevel="0" r="7857">
      <c r="A7857" s="3" t="s">
        <f>=HYPERLINK("https://mp39851918.megaplan.ua/deals/134304/card/","23031")</f>
      </c>
      <c r="B7857" s="3" t="inlineStr">
        <is>
          <t>113-0446490-8309065</t>
        </is>
      </c>
      <c r="C7857" s="3" t="inlineStr">
        <is>
          <t>RockyMountain</t>
        </is>
      </c>
    </row>
    <row collapsed="false" customFormat="false" customHeight="false" hidden="false" ht="12.1" outlineLevel="0" r="7858">
      <c r="A7858" s="3" t="s">
        <f>=HYPERLINK("https://mp39851918.megaplan.ua/deals/134307/card/","23032")</f>
      </c>
      <c r="B7858" s="3" t="inlineStr">
        <is>
          <t>111-6267587-1122604</t>
        </is>
      </c>
      <c r="C7858" s="3" t="inlineStr">
        <is>
          <t>Autodist</t>
        </is>
      </c>
    </row>
    <row collapsed="false" customFormat="false" customHeight="false" hidden="false" ht="12.1" outlineLevel="0" r="7859">
      <c r="A7859" s="3" t="s">
        <f>=HYPERLINK("https://mp39851918.megaplan.ua/deals/134318/card/","23034")</f>
      </c>
      <c r="B7859" s="3" t="inlineStr">
        <is>
          <t>113-9550204-6476216</t>
        </is>
      </c>
      <c r="C7859" s="3" t="inlineStr">
        <is>
          <t>PartsUnlimited</t>
        </is>
      </c>
    </row>
    <row collapsed="false" customFormat="false" customHeight="false" hidden="false" ht="12.1" outlineLevel="0" r="7860">
      <c r="A7860" s="3" t="s">
        <f>=HYPERLINK("https://mp39851918.megaplan.ua/deals/134322/card/","23035")</f>
      </c>
      <c r="B7860" s="3" t="inlineStr">
        <is>
          <t>113-4234147-3158630</t>
        </is>
      </c>
      <c r="C7860" s="3" t="inlineStr">
        <is>
          <t>Autodist</t>
        </is>
      </c>
    </row>
    <row collapsed="false" customFormat="false" customHeight="false" hidden="false" ht="12.1" outlineLevel="0" r="7861">
      <c r="A7861" s="3" t="s">
        <f>=HYPERLINK("https://mp39851918.megaplan.ua/deals/134340/card/","23041")</f>
      </c>
      <c r="B7861" s="3" t="inlineStr">
        <is>
          <t>112-7205341-0094644</t>
        </is>
      </c>
      <c r="C7861" s="3" t="inlineStr">
        <is>
          <t>RockyMountain</t>
        </is>
      </c>
    </row>
    <row collapsed="false" customFormat="false" customHeight="false" hidden="false" ht="12.1" outlineLevel="0" r="7862">
      <c r="A7862" s="3" t="s">
        <f>=HYPERLINK("https://mp39851918.megaplan.ua/deals/134341/card/","23042")</f>
      </c>
      <c r="B7862" s="3" t="inlineStr">
        <is>
          <t>113-8899986-4093067</t>
        </is>
      </c>
      <c r="C7862" s="3" t="inlineStr">
        <is>
          <t>PartsUnlimited</t>
        </is>
      </c>
    </row>
    <row collapsed="false" customFormat="false" customHeight="false" hidden="false" ht="12.1" outlineLevel="0" r="7863">
      <c r="A7863" s="3" t="s">
        <f>=HYPERLINK("https://mp39851918.megaplan.ua/deals/134356/card/","23045")</f>
      </c>
      <c r="B7863" s="3" t="inlineStr">
        <is>
          <t>114-7447994-3381850</t>
        </is>
      </c>
      <c r="C7863" s="3" t="inlineStr">
        <is>
          <t>Autodist</t>
        </is>
      </c>
    </row>
    <row collapsed="false" customFormat="false" customHeight="false" hidden="false" ht="12.1" outlineLevel="0" r="7864">
      <c r="A7864" s="3" t="s">
        <f>=HYPERLINK("https://mp39851918.megaplan.ua/deals/134358/card/","23046")</f>
      </c>
      <c r="B7864" s="3" t="inlineStr">
        <is>
          <t>111-5843524-7277844</t>
        </is>
      </c>
      <c r="C7864" s="3" t="inlineStr">
        <is>
          <t>PartsUnlimited</t>
        </is>
      </c>
    </row>
    <row collapsed="false" customFormat="false" customHeight="false" hidden="false" ht="12.1" outlineLevel="0" r="7865">
      <c r="A7865" s="3" t="s">
        <f>=HYPERLINK("https://mp39851918.megaplan.ua/deals/134370/card/","23047")</f>
      </c>
      <c r="B7865" s="3" t="inlineStr">
        <is>
          <t>114-5668573-2121029</t>
        </is>
      </c>
      <c r="C7865" s="3" t="inlineStr">
        <is>
          <t>Autodist</t>
        </is>
      </c>
    </row>
    <row collapsed="false" customFormat="false" customHeight="false" hidden="false" ht="12.1" outlineLevel="0" r="7866">
      <c r="A7866" s="3" t="s">
        <f>=HYPERLINK("https://mp39851918.megaplan.ua/deals/134377/card/","23048")</f>
      </c>
      <c r="B7866" s="3" t="inlineStr">
        <is>
          <t>112-0615455-5563457</t>
        </is>
      </c>
      <c r="C7866" s="3" t="inlineStr">
        <is>
          <t>PartsUnlimited</t>
        </is>
      </c>
    </row>
    <row collapsed="false" customFormat="false" customHeight="false" hidden="false" ht="12.1" outlineLevel="0" r="7867">
      <c r="A7867" s="3" t="s">
        <f>=HYPERLINK("https://mp39851918.megaplan.ua/deals/134388/card/","23050")</f>
      </c>
      <c r="B7867" s="3" t="inlineStr">
        <is>
          <t>114-9280111-4809853</t>
        </is>
      </c>
      <c r="C7867" s="3" t="inlineStr">
        <is>
          <t>RockyMountain</t>
        </is>
      </c>
    </row>
    <row collapsed="false" customFormat="false" customHeight="false" hidden="false" ht="12.1" outlineLevel="0" r="7868">
      <c r="A7868" s="3" t="s">
        <f>=HYPERLINK("https://mp39851918.megaplan.ua/deals/134391/card/","23051")</f>
      </c>
      <c r="B7868" s="3" t="inlineStr">
        <is>
          <t>113-4851962-5831412</t>
        </is>
      </c>
      <c r="C7868" s="3" t="inlineStr">
        <is>
          <t>RockyMountain</t>
        </is>
      </c>
    </row>
    <row collapsed="false" customFormat="false" customHeight="false" hidden="false" ht="12.1" outlineLevel="0" r="7869">
      <c r="A7869" s="3" t="s">
        <f>=HYPERLINK("https://mp39851918.megaplan.ua/deals/134395/card/","23052")</f>
      </c>
      <c r="B7869" s="3" t="inlineStr">
        <is>
          <t>113-3784992-2292266</t>
        </is>
      </c>
      <c r="C7869" s="3" t="inlineStr">
        <is>
          <t>Autodist</t>
        </is>
      </c>
    </row>
    <row collapsed="false" customFormat="false" customHeight="false" hidden="false" ht="12.1" outlineLevel="0" r="7870">
      <c r="A7870" s="3" t="s">
        <f>=HYPERLINK("https://mp39851918.megaplan.ua/deals/134398/card/","23053")</f>
      </c>
      <c r="B7870" s="3" t="inlineStr">
        <is>
          <t>111-7020024-4345802</t>
        </is>
      </c>
      <c r="C7870" s="3" t="inlineStr">
        <is>
          <t>Autodist</t>
        </is>
      </c>
    </row>
    <row collapsed="false" customFormat="false" customHeight="false" hidden="false" ht="12.1" outlineLevel="0" r="7871">
      <c r="A7871" s="3" t="s">
        <f>=HYPERLINK("https://mp39851918.megaplan.ua/deals/134399/card/","23054")</f>
      </c>
      <c r="B7871" s="3" t="inlineStr">
        <is>
          <t>112-9465866-5000227</t>
        </is>
      </c>
      <c r="C7871" s="3" t="inlineStr">
        <is>
          <t>RockyMountain</t>
        </is>
      </c>
    </row>
    <row collapsed="false" customFormat="false" customHeight="false" hidden="false" ht="12.1" outlineLevel="0" r="7872">
      <c r="A7872" s="3" t="s">
        <f>=HYPERLINK("https://mp39851918.megaplan.ua/deals/134400/card/","23055")</f>
      </c>
      <c r="B7872" s="3" t="inlineStr">
        <is>
          <t>114-1302102-5779452</t>
        </is>
      </c>
      <c r="C7872" s="3" t="inlineStr">
        <is>
          <t>RockyMountain</t>
        </is>
      </c>
    </row>
    <row collapsed="false" customFormat="false" customHeight="false" hidden="false" ht="12.1" outlineLevel="0" r="7873">
      <c r="A7873" s="3" t="s">
        <f>=HYPERLINK("https://mp39851918.megaplan.ua/deals/134409/card/","23059")</f>
      </c>
      <c r="B7873" s="3" t="inlineStr">
        <is>
          <t>111-0638871-6752230</t>
        </is>
      </c>
      <c r="C7873" s="3" t="inlineStr">
        <is>
          <t>RockyMountain</t>
        </is>
      </c>
    </row>
    <row collapsed="false" customFormat="false" customHeight="false" hidden="false" ht="12.1" outlineLevel="0" r="7874">
      <c r="A7874" s="3" t="s">
        <f>=HYPERLINK("https://mp39851918.megaplan.ua/deals/134415/card/","23061")</f>
      </c>
      <c r="B7874" s="3" t="inlineStr">
        <is>
          <t>112-7503396-3098653</t>
        </is>
      </c>
      <c r="C7874" s="3" t="inlineStr">
        <is>
          <t>RockyMountain</t>
        </is>
      </c>
    </row>
    <row collapsed="false" customFormat="false" customHeight="false" hidden="false" ht="12.1" outlineLevel="0" r="7875">
      <c r="A7875" s="3" t="s">
        <f>=HYPERLINK("https://mp39851918.megaplan.ua/deals/134417/card/","23062")</f>
      </c>
      <c r="B7875" s="3" t="inlineStr">
        <is>
          <t>113-6767095-8900245</t>
        </is>
      </c>
      <c r="C7875" s="3" t="inlineStr">
        <is>
          <t>RockyMountain</t>
        </is>
      </c>
    </row>
    <row collapsed="false" customFormat="false" customHeight="false" hidden="false" ht="12.1" outlineLevel="0" r="7876">
      <c r="A7876" s="3" t="s">
        <f>=HYPERLINK("https://mp39851918.megaplan.ua/deals/134421/card/","23063")</f>
      </c>
      <c r="B7876" s="3" t="inlineStr">
        <is>
          <t>111-7006808-4094669</t>
        </is>
      </c>
      <c r="C7876" s="3" t="inlineStr">
        <is>
          <t>RockyMountain</t>
        </is>
      </c>
    </row>
    <row collapsed="false" customFormat="false" customHeight="false" hidden="false" ht="12.1" outlineLevel="0" r="7877">
      <c r="A7877" s="3" t="s">
        <f>=HYPERLINK("https://mp39851918.megaplan.ua/deals/134433/card/","23064")</f>
      </c>
      <c r="B7877" s="3" t="inlineStr">
        <is>
          <t>114-8604187-6238620</t>
        </is>
      </c>
      <c r="C7877" s="3" t="inlineStr">
        <is>
          <t>TuckerRocky</t>
        </is>
      </c>
    </row>
    <row collapsed="false" customFormat="false" customHeight="false" hidden="false" ht="12.1" outlineLevel="0" r="7878">
      <c r="A7878" s="3" t="s">
        <f>=HYPERLINK("https://mp39851918.megaplan.ua/deals/134435/card/","23066")</f>
      </c>
      <c r="B7878" s="3" t="inlineStr">
        <is>
          <t>112-8433984-1331442</t>
        </is>
      </c>
      <c r="C7878" s="3" t="inlineStr">
        <is>
          <t>TuckerRocky</t>
        </is>
      </c>
    </row>
    <row collapsed="false" customFormat="false" customHeight="false" hidden="false" ht="12.1" outlineLevel="0" r="7879">
      <c r="A7879" s="3" t="s">
        <f>=HYPERLINK("https://mp39851918.megaplan.ua/deals/134437/card/","23067")</f>
      </c>
      <c r="B7879" s="3" t="inlineStr">
        <is>
          <t>114-5739036-7792256</t>
        </is>
      </c>
      <c r="C7879" s="3" t="inlineStr">
        <is>
          <t>TuckerRocky</t>
        </is>
      </c>
    </row>
    <row collapsed="false" customFormat="false" customHeight="false" hidden="false" ht="12.1" outlineLevel="0" r="7880">
      <c r="A7880" s="3" t="s">
        <f>=HYPERLINK("https://mp39851918.megaplan.ua/deals/134439/card/","23068")</f>
      </c>
      <c r="B7880" s="3" t="inlineStr">
        <is>
          <t>114-2422877-6050646</t>
        </is>
      </c>
      <c r="C7880" s="3" t="inlineStr">
        <is>
          <t>TuckerRocky</t>
        </is>
      </c>
    </row>
    <row collapsed="false" customFormat="false" customHeight="false" hidden="false" ht="12.1" outlineLevel="0" r="7881">
      <c r="A7881" s="3" t="s">
        <f>=HYPERLINK("https://mp39851918.megaplan.ua/deals/134440/card/","23069")</f>
      </c>
      <c r="B7881" s="3" t="inlineStr">
        <is>
          <t>112-3532546-3784267</t>
        </is>
      </c>
      <c r="C7881" s="3" t="inlineStr">
        <is>
          <t>TuckerRocky</t>
        </is>
      </c>
    </row>
    <row collapsed="false" customFormat="false" customHeight="false" hidden="false" ht="12.1" outlineLevel="0" r="7882">
      <c r="A7882" s="3" t="s">
        <f>=HYPERLINK("https://mp39851918.megaplan.ua/deals/134448/card/","23070")</f>
      </c>
      <c r="B7882" s="3" t="inlineStr">
        <is>
          <t>112-4235307-4909829</t>
        </is>
      </c>
      <c r="C7882" s="3" t="inlineStr">
        <is>
          <t>TuckerRocky</t>
        </is>
      </c>
    </row>
    <row collapsed="false" customFormat="false" customHeight="false" hidden="false" ht="12.1" outlineLevel="0" r="7883">
      <c r="A7883" s="3" t="s">
        <f>=HYPERLINK("https://mp39851918.megaplan.ua/deals/134452/card/","23071")</f>
      </c>
      <c r="B7883" s="3" t="inlineStr">
        <is>
          <t>111-9411606-6445803</t>
        </is>
      </c>
      <c r="C7883" s="3" t="inlineStr">
        <is>
          <t>RockyMountain</t>
        </is>
      </c>
    </row>
    <row collapsed="false" customFormat="false" customHeight="false" hidden="false" ht="12.1" outlineLevel="0" r="7884">
      <c r="A7884" s="3" t="s">
        <f>=HYPERLINK("https://mp39851918.megaplan.ua/deals/134454/card/","23072")</f>
      </c>
      <c r="B7884" s="3" t="inlineStr">
        <is>
          <t>113-4946399-2037039</t>
        </is>
      </c>
      <c r="C7884" s="3" t="inlineStr">
        <is>
          <t>PartsUnlimited</t>
        </is>
      </c>
    </row>
    <row collapsed="false" customFormat="false" customHeight="false" hidden="false" ht="12.1" outlineLevel="0" r="7885">
      <c r="A7885" s="3" t="s">
        <f>=HYPERLINK("https://mp39851918.megaplan.ua/deals/134455/card/","23073")</f>
      </c>
      <c r="B7885" s="3" t="inlineStr">
        <is>
          <t>113-2205061-9257842</t>
        </is>
      </c>
      <c r="C7885" s="3" t="inlineStr">
        <is>
          <t>RockyMountain</t>
        </is>
      </c>
    </row>
    <row collapsed="false" customFormat="false" customHeight="false" hidden="false" ht="12.1" outlineLevel="0" r="7886">
      <c r="A7886" s="3" t="s">
        <f>=HYPERLINK("https://mp39851918.megaplan.ua/deals/134457/card/","23074")</f>
      </c>
      <c r="B7886" s="3" t="inlineStr">
        <is>
          <t>114-4459332-6242658</t>
        </is>
      </c>
      <c r="C7886" s="3" t="inlineStr">
        <is>
          <t>TuckerRocky</t>
        </is>
      </c>
    </row>
    <row collapsed="false" customFormat="false" customHeight="false" hidden="false" ht="12.1" outlineLevel="0" r="7887">
      <c r="A7887" s="3" t="s">
        <f>=HYPERLINK("https://mp39851918.megaplan.ua/deals/134460/card/","23075")</f>
      </c>
      <c r="B7887" s="3" t="inlineStr">
        <is>
          <t>112-3317747-8836255</t>
        </is>
      </c>
      <c r="C7887" s="3" t="inlineStr">
        <is>
          <t>RockyMountain</t>
        </is>
      </c>
    </row>
    <row collapsed="false" customFormat="false" customHeight="false" hidden="false" ht="12.1" outlineLevel="0" r="7888">
      <c r="A7888" s="3" t="s">
        <f>=HYPERLINK("https://mp39851918.megaplan.ua/deals/134469/card/","23077")</f>
      </c>
      <c r="B7888" s="3" t="inlineStr">
        <is>
          <t>111-2718396-8485867</t>
        </is>
      </c>
      <c r="C7888" s="3" t="inlineStr">
        <is>
          <t>Autodist</t>
        </is>
      </c>
    </row>
    <row collapsed="false" customFormat="false" customHeight="false" hidden="false" ht="12.1" outlineLevel="0" r="7889">
      <c r="A7889" s="3" t="s">
        <f>=HYPERLINK("https://mp39851918.megaplan.ua/deals/134476/card/","23078")</f>
      </c>
      <c r="B7889" s="3" t="inlineStr">
        <is>
          <t>113-4858873-7873045</t>
        </is>
      </c>
      <c r="C7889" s="3" t="inlineStr">
        <is>
          <t>Autodist</t>
        </is>
      </c>
    </row>
    <row collapsed="false" customFormat="false" customHeight="false" hidden="false" ht="12.1" outlineLevel="0" r="7890">
      <c r="A7890" s="3" t="s">
        <f>=HYPERLINK("https://mp39851918.megaplan.ua/deals/134478/card/","23079")</f>
      </c>
      <c r="B7890" s="3" t="inlineStr">
        <is>
          <t>112-7447097-8705055</t>
        </is>
      </c>
      <c r="C7890" s="3" t="inlineStr">
        <is>
          <t>Autodist</t>
        </is>
      </c>
    </row>
    <row collapsed="false" customFormat="false" customHeight="false" hidden="false" ht="12.1" outlineLevel="0" r="7891">
      <c r="A7891" s="3" t="s">
        <f>=HYPERLINK("https://mp39851918.megaplan.ua/deals/134487/card/","23080")</f>
      </c>
      <c r="B7891" s="3" t="inlineStr">
        <is>
          <t>114-1284886-6258638</t>
        </is>
      </c>
      <c r="C7891" s="3" t="inlineStr">
        <is>
          <t>Autodist</t>
        </is>
      </c>
    </row>
    <row collapsed="false" customFormat="false" customHeight="false" hidden="false" ht="12.1" outlineLevel="0" r="7892">
      <c r="A7892" s="3" t="s">
        <f>=HYPERLINK("https://mp39851918.megaplan.ua/deals/134488/card/","23081")</f>
      </c>
      <c r="B7892" s="3" t="inlineStr">
        <is>
          <t>111-4514104-3253058</t>
        </is>
      </c>
      <c r="C7892" s="3" t="inlineStr">
        <is>
          <t>Autodist</t>
        </is>
      </c>
    </row>
    <row collapsed="false" customFormat="false" customHeight="false" hidden="false" ht="12.1" outlineLevel="0" r="7893">
      <c r="A7893" s="3" t="s">
        <f>=HYPERLINK("https://mp39851918.megaplan.ua/deals/134494/card/","23082")</f>
      </c>
      <c r="B7893" s="3" t="inlineStr">
        <is>
          <t>111-4585372-0581840</t>
        </is>
      </c>
      <c r="C7893" s="3" t="inlineStr">
        <is>
          <t>RockyMountain</t>
        </is>
      </c>
    </row>
    <row collapsed="false" customFormat="false" customHeight="false" hidden="false" ht="12.1" outlineLevel="0" r="7894">
      <c r="A7894" s="3" t="s">
        <f>=HYPERLINK("https://mp39851918.megaplan.ua/deals/134498/card/","23083")</f>
      </c>
      <c r="B7894" s="3" t="inlineStr">
        <is>
          <t>112-9644480-9150663</t>
        </is>
      </c>
      <c r="C7894" s="3" t="inlineStr">
        <is>
          <t>RockyMountain</t>
        </is>
      </c>
    </row>
    <row collapsed="false" customFormat="false" customHeight="false" hidden="false" ht="12.1" outlineLevel="0" r="7895">
      <c r="A7895" s="3" t="s">
        <f>=HYPERLINK("https://mp39851918.megaplan.ua/deals/134499/card/","23084")</f>
      </c>
      <c r="B7895" s="3" t="inlineStr">
        <is>
          <t>113-5840005-2086662</t>
        </is>
      </c>
      <c r="C7895" s="3" t="inlineStr">
        <is>
          <t>TuckerRocky</t>
        </is>
      </c>
    </row>
    <row collapsed="false" customFormat="false" customHeight="false" hidden="false" ht="12.1" outlineLevel="0" r="7896">
      <c r="A7896" s="3" t="s">
        <f>=HYPERLINK("https://mp39851918.megaplan.ua/deals/134500/card/","23085")</f>
      </c>
      <c r="B7896" s="3" t="inlineStr">
        <is>
          <t>114-9262856-0385807</t>
        </is>
      </c>
      <c r="C7896" s="3" t="inlineStr">
        <is>
          <t>Autodist</t>
        </is>
      </c>
    </row>
    <row collapsed="false" customFormat="false" customHeight="false" hidden="false" ht="12.1" outlineLevel="0" r="7897">
      <c r="A7897" s="3" t="s">
        <f>=HYPERLINK("https://mp39851918.megaplan.ua/deals/134502/card/","23086")</f>
      </c>
      <c r="B7897" s="3" t="inlineStr">
        <is>
          <t>111-1815500-2905066</t>
        </is>
      </c>
      <c r="C7897" s="3" t="inlineStr">
        <is>
          <t>Autodist</t>
        </is>
      </c>
    </row>
    <row collapsed="false" customFormat="false" customHeight="false" hidden="false" ht="12.1" outlineLevel="0" r="7898">
      <c r="A7898" s="3" t="s">
        <f>=HYPERLINK("https://mp39851918.megaplan.ua/deals/134503/card/","23087")</f>
      </c>
      <c r="B7898" s="3" t="inlineStr">
        <is>
          <t>113-0287309-2880267</t>
        </is>
      </c>
      <c r="C7898" s="3" t="inlineStr">
        <is>
          <t>Autodist</t>
        </is>
      </c>
    </row>
    <row collapsed="false" customFormat="false" customHeight="false" hidden="false" ht="12.1" outlineLevel="0" r="7899">
      <c r="A7899" s="3" t="s">
        <f>=HYPERLINK("https://mp39851918.megaplan.ua/deals/134522/card/","23088")</f>
      </c>
      <c r="B7899" s="3" t="inlineStr">
        <is>
          <t>112-7078542-7009822</t>
        </is>
      </c>
      <c r="C7899" s="3" t="inlineStr">
        <is>
          <t>PartsUnlimited</t>
        </is>
      </c>
    </row>
    <row collapsed="false" customFormat="false" customHeight="false" hidden="false" ht="12.1" outlineLevel="0" r="7900">
      <c r="A7900" s="3" t="s">
        <f>=HYPERLINK("https://mp39851918.megaplan.ua/deals/134531/card/","23089")</f>
      </c>
      <c r="B7900" s="3" t="inlineStr">
        <is>
          <t>113-3613315-5297051</t>
        </is>
      </c>
      <c r="C7900" s="3" t="inlineStr">
        <is>
          <t>Autodist</t>
        </is>
      </c>
    </row>
    <row collapsed="false" customFormat="false" customHeight="false" hidden="false" ht="12.1" outlineLevel="0" r="7901">
      <c r="A7901" s="3" t="s">
        <f>=HYPERLINK("https://mp39851918.megaplan.ua/deals/134536/card/","23090")</f>
      </c>
      <c r="B7901" s="3" t="inlineStr">
        <is>
          <t>114-2673367-5823460</t>
        </is>
      </c>
      <c r="C7901" s="3" t="inlineStr">
        <is>
          <t>PartsUnlimited</t>
        </is>
      </c>
    </row>
    <row collapsed="false" customFormat="false" customHeight="false" hidden="false" ht="12.1" outlineLevel="0" r="7902">
      <c r="A7902" s="3" t="s">
        <f>=HYPERLINK("https://mp39851918.megaplan.ua/deals/134545/card/","23091")</f>
      </c>
      <c r="B7902" s="3" t="inlineStr">
        <is>
          <t>112-6113861-8949034</t>
        </is>
      </c>
      <c r="C7902" s="3" t="inlineStr">
        <is>
          <t>RockyMountain</t>
        </is>
      </c>
    </row>
    <row collapsed="false" customFormat="false" customHeight="false" hidden="false" ht="12.1" outlineLevel="0" r="7903">
      <c r="A7903" s="3" t="s">
        <f>=HYPERLINK("https://mp39851918.megaplan.ua/deals/134557/card/","23092")</f>
      </c>
      <c r="B7903" s="3" t="inlineStr">
        <is>
          <t>114-6492562-8177058</t>
        </is>
      </c>
      <c r="C7903" s="3" t="inlineStr">
        <is>
          <t>PartsUnlimited</t>
        </is>
      </c>
    </row>
    <row collapsed="false" customFormat="false" customHeight="false" hidden="false" ht="12.1" outlineLevel="0" r="7904">
      <c r="A7904" s="3" t="s">
        <f>=HYPERLINK("https://mp39851918.megaplan.ua/deals/134567/card/","23093")</f>
      </c>
      <c r="B7904" s="3" t="inlineStr">
        <is>
          <t>112-8296334-0309027</t>
        </is>
      </c>
      <c r="C7904" s="3" t="inlineStr">
        <is>
          <t>Autodist</t>
        </is>
      </c>
    </row>
    <row collapsed="false" customFormat="false" customHeight="false" hidden="false" ht="12.1" outlineLevel="0" r="7905">
      <c r="A7905" s="3" t="s">
        <f>=HYPERLINK("https://mp39851918.megaplan.ua/deals/134584/card/","23095")</f>
      </c>
      <c r="B7905" s="3" t="inlineStr">
        <is>
          <t>112-7728457-1939422</t>
        </is>
      </c>
      <c r="C7905" s="3" t="inlineStr">
        <is>
          <t>RockyMountain</t>
        </is>
      </c>
    </row>
    <row collapsed="false" customFormat="false" customHeight="false" hidden="false" ht="12.1" outlineLevel="0" r="7906">
      <c r="A7906" s="3" t="s">
        <f>=HYPERLINK("https://mp39851918.megaplan.ua/deals/134599/card/","23096")</f>
      </c>
      <c r="B7906" s="3" t="inlineStr">
        <is>
          <t>111-3583620-1759454</t>
        </is>
      </c>
      <c r="C7906" s="3" t="inlineStr">
        <is>
          <t>Autodist</t>
        </is>
      </c>
    </row>
    <row collapsed="false" customFormat="false" customHeight="false" hidden="false" ht="12.1" outlineLevel="0" r="7907">
      <c r="A7907" s="3" t="s">
        <f>=HYPERLINK("https://mp39851918.megaplan.ua/deals/134602/card/","23097")</f>
      </c>
      <c r="B7907" s="3" t="inlineStr">
        <is>
          <t>112-5176144-8257013</t>
        </is>
      </c>
      <c r="C7907" s="3" t="inlineStr">
        <is>
          <t>TuckerRocky</t>
        </is>
      </c>
    </row>
    <row collapsed="false" customFormat="false" customHeight="false" hidden="false" ht="12.1" outlineLevel="0" r="7908">
      <c r="A7908" s="3" t="s">
        <f>=HYPERLINK("https://mp39851918.megaplan.ua/deals/134603/card/","23098")</f>
      </c>
      <c r="B7908" s="3" t="inlineStr">
        <is>
          <t>114-7983688-5248234</t>
        </is>
      </c>
      <c r="C7908" s="3" t="inlineStr">
        <is>
          <t>RockyMountain</t>
        </is>
      </c>
    </row>
    <row collapsed="false" customFormat="false" customHeight="false" hidden="false" ht="12.1" outlineLevel="0" r="7909">
      <c r="A7909" s="3" t="s">
        <f>=HYPERLINK("https://mp39851918.megaplan.ua/deals/134616/card/","23099")</f>
      </c>
      <c r="B7909" s="3" t="inlineStr">
        <is>
          <t>111-6245471-1465833</t>
        </is>
      </c>
      <c r="C7909" s="3" t="inlineStr">
        <is>
          <t>RockyMountain</t>
        </is>
      </c>
    </row>
    <row collapsed="false" customFormat="false" customHeight="false" hidden="false" ht="12.1" outlineLevel="0" r="7910">
      <c r="A7910" s="3" t="s">
        <f>=HYPERLINK("https://mp39851918.megaplan.ua/deals/134618/card/","23100")</f>
      </c>
      <c r="B7910" s="3" t="inlineStr">
        <is>
          <t>112-4612027-2512232</t>
        </is>
      </c>
      <c r="C7910" s="3" t="inlineStr">
        <is>
          <t>PartsUnlimited</t>
        </is>
      </c>
    </row>
    <row collapsed="false" customFormat="false" customHeight="false" hidden="false" ht="12.1" outlineLevel="0" r="7911">
      <c r="A7911" s="3" t="s">
        <f>=HYPERLINK("https://mp39851918.megaplan.ua/deals/134621/card/","23101")</f>
      </c>
      <c r="B7911" s="3" t="inlineStr">
        <is>
          <t>114-8050297-5804253</t>
        </is>
      </c>
      <c r="C7911" s="3" t="inlineStr">
        <is>
          <t>Autodist</t>
        </is>
      </c>
    </row>
    <row collapsed="false" customFormat="false" customHeight="false" hidden="false" ht="12.1" outlineLevel="0" r="7912">
      <c r="A7912" s="3" t="s">
        <f>=HYPERLINK("https://mp39851918.megaplan.ua/deals/134622/card/","23102")</f>
      </c>
      <c r="B7912" s="3" t="inlineStr">
        <is>
          <t>114-4125340-2701028</t>
        </is>
      </c>
      <c r="C7912" s="3" t="inlineStr">
        <is>
          <t>TuckerRocky</t>
        </is>
      </c>
    </row>
    <row collapsed="false" customFormat="false" customHeight="false" hidden="false" ht="12.1" outlineLevel="0" r="7913">
      <c r="A7913" s="3" t="s">
        <f>=HYPERLINK("https://mp39851918.megaplan.ua/deals/134629/card/","23103")</f>
      </c>
      <c r="B7913" s="3" t="inlineStr">
        <is>
          <t>111-4604518-7505030</t>
        </is>
      </c>
      <c r="C7913" s="3" t="inlineStr">
        <is>
          <t>Autodist</t>
        </is>
      </c>
    </row>
    <row collapsed="false" customFormat="false" customHeight="false" hidden="false" ht="12.1" outlineLevel="0" r="7914">
      <c r="A7914" s="3" t="s">
        <f>=HYPERLINK("https://mp39851918.megaplan.ua/deals/134631/card/","23105")</f>
      </c>
      <c r="B7914" s="3" t="inlineStr">
        <is>
          <t>114-8077588-2413009</t>
        </is>
      </c>
      <c r="C7914" s="3" t="inlineStr">
        <is>
          <t>RockyMountain</t>
        </is>
      </c>
    </row>
    <row collapsed="false" customFormat="false" customHeight="false" hidden="false" ht="12.1" outlineLevel="0" r="7915">
      <c r="A7915" s="3" t="s">
        <f>=HYPERLINK("https://mp39851918.megaplan.ua/deals/134635/card/","23106")</f>
      </c>
      <c r="B7915" s="3" t="inlineStr">
        <is>
          <t>112-5187248-4383413</t>
        </is>
      </c>
      <c r="C7915" s="3" t="inlineStr">
        <is>
          <t>Autodist</t>
        </is>
      </c>
    </row>
    <row collapsed="false" customFormat="false" customHeight="false" hidden="false" ht="12.1" outlineLevel="0" r="7916">
      <c r="A7916" s="3" t="s">
        <f>=HYPERLINK("https://mp39851918.megaplan.ua/deals/134645/card/","23107")</f>
      </c>
      <c r="B7916" s="3" t="inlineStr">
        <is>
          <t>114-2110362-0393059</t>
        </is>
      </c>
      <c r="C7916" s="3" t="inlineStr">
        <is>
          <t>Autodist</t>
        </is>
      </c>
    </row>
    <row collapsed="false" customFormat="false" customHeight="false" hidden="false" ht="12.1" outlineLevel="0" r="7917">
      <c r="A7917" s="3" t="s">
        <f>=HYPERLINK("https://mp39851918.megaplan.ua/deals/134651/card/","23108")</f>
      </c>
      <c r="B7917" s="3" t="inlineStr">
        <is>
          <t>113-3919267-4057866</t>
        </is>
      </c>
      <c r="C7917" s="3" t="inlineStr">
        <is>
          <t>PartsUnlimited</t>
        </is>
      </c>
    </row>
    <row collapsed="false" customFormat="false" customHeight="false" hidden="false" ht="12.1" outlineLevel="0" r="7918">
      <c r="A7918" s="3" t="s">
        <f>=HYPERLINK("https://mp39851918.megaplan.ua/deals/134657/card/","23109")</f>
      </c>
      <c r="B7918" s="3" t="inlineStr">
        <is>
          <t>111-4578065-2753829</t>
        </is>
      </c>
      <c r="C7918" s="3" t="inlineStr">
        <is>
          <t>PartsUnlimited</t>
        </is>
      </c>
    </row>
    <row collapsed="false" customFormat="false" customHeight="false" hidden="false" ht="12.1" outlineLevel="0" r="7919">
      <c r="A7919" s="3" t="s">
        <f>=HYPERLINK("https://mp39851918.megaplan.ua/deals/134658/card/","23110")</f>
      </c>
      <c r="B7919" s="3" t="inlineStr">
        <is>
          <t>112-3643499-4707400</t>
        </is>
      </c>
      <c r="C7919" s="3" t="inlineStr">
        <is>
          <t>RockyMountain</t>
        </is>
      </c>
    </row>
    <row collapsed="false" customFormat="false" customHeight="false" hidden="false" ht="12.1" outlineLevel="0" r="7920">
      <c r="A7920" s="3" t="s">
        <f>=HYPERLINK("https://mp39851918.megaplan.ua/deals/134663/card/","23111")</f>
      </c>
      <c r="B7920" s="3" t="inlineStr">
        <is>
          <t>111-1507478-7257805</t>
        </is>
      </c>
      <c r="C7920" s="3" t="inlineStr">
        <is>
          <t>RockyMountain</t>
        </is>
      </c>
    </row>
    <row collapsed="false" customFormat="false" customHeight="false" hidden="false" ht="12.1" outlineLevel="0" r="7921">
      <c r="A7921" s="3" t="s">
        <f>=HYPERLINK("https://mp39851918.megaplan.ua/deals/134673/card/","23112")</f>
      </c>
      <c r="B7921" s="3" t="inlineStr">
        <is>
          <t>112-6061589-2573035</t>
        </is>
      </c>
      <c r="C7921" s="3" t="inlineStr">
        <is>
          <t>Autodist</t>
        </is>
      </c>
    </row>
    <row collapsed="false" customFormat="false" customHeight="false" hidden="false" ht="12.1" outlineLevel="0" r="7922">
      <c r="A7922" s="3" t="s">
        <f>=HYPERLINK("https://mp39851918.megaplan.ua/deals/134682/card/","23114")</f>
      </c>
      <c r="B7922" s="3" t="inlineStr">
        <is>
          <t>112-5929644-1434609</t>
        </is>
      </c>
      <c r="C7922" s="3" t="inlineStr">
        <is>
          <t>PartsUnlimited</t>
        </is>
      </c>
    </row>
    <row collapsed="false" customFormat="false" customHeight="false" hidden="false" ht="12.1" outlineLevel="0" r="7923">
      <c r="A7923" s="3" t="s">
        <f>=HYPERLINK("https://mp39851918.megaplan.ua/deals/134690/card/","23115")</f>
      </c>
      <c r="B7923" s="3" t="inlineStr">
        <is>
          <t>112-7967150-6162661</t>
        </is>
      </c>
      <c r="C7923" s="3" t="inlineStr">
        <is>
          <t>RockyMountain</t>
        </is>
      </c>
    </row>
    <row collapsed="false" customFormat="false" customHeight="false" hidden="false" ht="12.1" outlineLevel="0" r="7924">
      <c r="A7924" s="3" t="s">
        <f>=HYPERLINK("https://mp39851918.megaplan.ua/deals/134691/card/","23116")</f>
      </c>
      <c r="B7924" s="3" t="inlineStr">
        <is>
          <t>113-3423458-1317805</t>
        </is>
      </c>
      <c r="C7924" s="3" t="inlineStr">
        <is>
          <t>RockyMountain</t>
        </is>
      </c>
    </row>
    <row collapsed="false" customFormat="false" customHeight="false" hidden="false" ht="12.1" outlineLevel="0" r="7925">
      <c r="A7925" s="3" t="s">
        <f>=HYPERLINK("https://mp39851918.megaplan.ua/deals/134700/card/","23117")</f>
      </c>
      <c r="B7925" s="3" t="inlineStr">
        <is>
          <t>112-8354100-2376205</t>
        </is>
      </c>
      <c r="C7925" s="3" t="inlineStr">
        <is>
          <t>RockyMountain</t>
        </is>
      </c>
    </row>
    <row collapsed="false" customFormat="false" customHeight="false" hidden="false" ht="12.1" outlineLevel="0" r="7926">
      <c r="A7926" s="3" t="s">
        <f>=HYPERLINK("https://mp39851918.megaplan.ua/deals/134701/card/","23118")</f>
      </c>
      <c r="B7926" s="3" t="inlineStr">
        <is>
          <t>113-2302894-9315445</t>
        </is>
      </c>
      <c r="C7926" s="3" t="inlineStr">
        <is>
          <t>RockyMountain</t>
        </is>
      </c>
    </row>
    <row collapsed="false" customFormat="false" customHeight="false" hidden="false" ht="12.1" outlineLevel="0" r="7927">
      <c r="A7927" s="3" t="s">
        <f>=HYPERLINK("https://mp39851918.megaplan.ua/deals/134707/card/","23120")</f>
      </c>
      <c r="B7927" s="3" t="inlineStr">
        <is>
          <t>113-6838896-0323453</t>
        </is>
      </c>
      <c r="C7927" s="3" t="inlineStr">
        <is>
          <t>Autodist</t>
        </is>
      </c>
    </row>
    <row collapsed="false" customFormat="false" customHeight="false" hidden="false" ht="12.1" outlineLevel="0" r="7928">
      <c r="A7928" s="3" t="s">
        <f>=HYPERLINK("https://mp39851918.megaplan.ua/deals/134717/card/","23121")</f>
      </c>
      <c r="B7928" s="3" t="inlineStr">
        <is>
          <t>113-1506598-6213840</t>
        </is>
      </c>
      <c r="C7928" s="3" t="inlineStr">
        <is>
          <t>RockyMountain</t>
        </is>
      </c>
    </row>
    <row collapsed="false" customFormat="false" customHeight="false" hidden="false" ht="12.1" outlineLevel="0" r="7929">
      <c r="A7929" s="3" t="s">
        <f>=HYPERLINK("https://mp39851918.megaplan.ua/deals/134725/card/","23123")</f>
      </c>
      <c r="B7929" s="3" t="inlineStr">
        <is>
          <t>112-6438799-6669832</t>
        </is>
      </c>
      <c r="C7929" s="3" t="inlineStr">
        <is>
          <t>RockyMountain</t>
        </is>
      </c>
    </row>
    <row collapsed="false" customFormat="false" customHeight="false" hidden="false" ht="12.1" outlineLevel="0" r="7930">
      <c r="A7930" s="3" t="s">
        <f>=HYPERLINK("https://mp39851918.megaplan.ua/deals/134727/card/","23124")</f>
      </c>
      <c r="B7930" s="3" t="inlineStr">
        <is>
          <t>113-8630527-7716209</t>
        </is>
      </c>
      <c r="C7930" s="3" t="inlineStr">
        <is>
          <t>RockyMountain</t>
        </is>
      </c>
    </row>
    <row collapsed="false" customFormat="false" customHeight="false" hidden="false" ht="12.1" outlineLevel="0" r="7931">
      <c r="A7931" s="3" t="s">
        <f>=HYPERLINK("https://mp39851918.megaplan.ua/deals/134732/card/","23126")</f>
      </c>
      <c r="B7931" s="3" t="inlineStr">
        <is>
          <t>114-9375398-0576204</t>
        </is>
      </c>
      <c r="C7931" s="3" t="inlineStr">
        <is>
          <t>RockyMountain</t>
        </is>
      </c>
    </row>
    <row collapsed="false" customFormat="false" customHeight="false" hidden="false" ht="12.1" outlineLevel="0" r="7932">
      <c r="A7932" s="3" t="s">
        <f>=HYPERLINK("https://mp39851918.megaplan.ua/deals/134737/card/","23127")</f>
      </c>
      <c r="B7932" s="3" t="inlineStr">
        <is>
          <t>112-1937787-1627449</t>
        </is>
      </c>
      <c r="C7932" s="3" t="inlineStr">
        <is>
          <t>RockyMountain</t>
        </is>
      </c>
    </row>
    <row collapsed="false" customFormat="false" customHeight="false" hidden="false" ht="12.1" outlineLevel="0" r="7933">
      <c r="A7933" s="3" t="s">
        <f>=HYPERLINK("https://mp39851918.megaplan.ua/deals/134740/card/","23129")</f>
      </c>
      <c r="B7933" s="3" t="inlineStr">
        <is>
          <t>114-7984897-6236226</t>
        </is>
      </c>
      <c r="C7933" s="3" t="inlineStr">
        <is>
          <t>RockyMountain</t>
        </is>
      </c>
    </row>
    <row collapsed="false" customFormat="false" customHeight="false" hidden="false" ht="12.1" outlineLevel="0" r="7934">
      <c r="A7934" s="3" t="s">
        <f>=HYPERLINK("https://mp39851918.megaplan.ua/deals/134742/card/","23130")</f>
      </c>
      <c r="B7934" s="3" t="inlineStr">
        <is>
          <t>112-9535978-1400238</t>
        </is>
      </c>
      <c r="C7934" s="3" t="inlineStr">
        <is>
          <t>RockyMountain</t>
        </is>
      </c>
    </row>
    <row collapsed="false" customFormat="false" customHeight="false" hidden="false" ht="12.1" outlineLevel="0" r="7935">
      <c r="A7935" s="3" t="s">
        <f>=HYPERLINK("https://mp39851918.megaplan.ua/deals/134745/card/","23131")</f>
      </c>
      <c r="B7935" s="3" t="inlineStr">
        <is>
          <t>114-9629455-4329865</t>
        </is>
      </c>
      <c r="C7935" s="3" t="inlineStr">
        <is>
          <t>TuckerRocky</t>
        </is>
      </c>
    </row>
    <row collapsed="false" customFormat="false" customHeight="false" hidden="false" ht="12.1" outlineLevel="0" r="7936">
      <c r="A7936" s="3" t="s">
        <f>=HYPERLINK("https://mp39851918.megaplan.ua/deals/134747/card/","23132")</f>
      </c>
      <c r="B7936" s="3" t="inlineStr">
        <is>
          <t>113-7601776-6791406</t>
        </is>
      </c>
      <c r="C7936" s="3" t="inlineStr">
        <is>
          <t>RockyMountain</t>
        </is>
      </c>
    </row>
    <row collapsed="false" customFormat="false" customHeight="false" hidden="false" ht="12.1" outlineLevel="0" r="7937">
      <c r="A7937" s="3" t="s">
        <f>=HYPERLINK("https://mp39851918.megaplan.ua/deals/134749/card/","23133")</f>
      </c>
      <c r="B7937" s="3" t="inlineStr">
        <is>
          <t>112-3328559-0411460</t>
        </is>
      </c>
      <c r="C7937" s="3" t="inlineStr">
        <is>
          <t>PartsUnlimited</t>
        </is>
      </c>
    </row>
    <row collapsed="false" customFormat="false" customHeight="false" hidden="false" ht="12.1" outlineLevel="0" r="7938">
      <c r="A7938" s="3" t="s">
        <f>=HYPERLINK("https://mp39851918.megaplan.ua/deals/134952/card/","23134")</f>
      </c>
      <c r="B7938" s="3" t="inlineStr">
        <is>
          <t>113-9987694-5161857</t>
        </is>
      </c>
      <c r="C7938" s="3" t="inlineStr">
        <is>
          <t>Autodist</t>
        </is>
      </c>
    </row>
    <row collapsed="false" customFormat="false" customHeight="false" hidden="false" ht="12.1" outlineLevel="0" r="7939">
      <c r="A7939" s="3" t="s">
        <f>=HYPERLINK("https://mp39851918.megaplan.ua/deals/134954/card/","23135")</f>
      </c>
      <c r="B7939" s="3" t="inlineStr">
        <is>
          <t>112-7447097-8705055</t>
        </is>
      </c>
      <c r="C7939" s="3" t="inlineStr">
        <is>
          <t>Autodist</t>
        </is>
      </c>
    </row>
    <row collapsed="false" customFormat="false" customHeight="false" hidden="false" ht="12.1" outlineLevel="0" r="7940">
      <c r="A7940" s="3" t="s">
        <f>=HYPERLINK("https://mp39851918.megaplan.ua/deals/134966/card/","23140")</f>
      </c>
      <c r="B7940" s="3" t="inlineStr">
        <is>
          <t>111-1239773-3270649</t>
        </is>
      </c>
      <c r="C7940" s="3" t="inlineStr">
        <is>
          <t>TuckerRocky</t>
        </is>
      </c>
    </row>
    <row collapsed="false" customFormat="false" customHeight="false" hidden="false" ht="12.1" outlineLevel="0" r="7941">
      <c r="A7941" s="3" t="s">
        <f>=HYPERLINK("https://mp39851918.megaplan.ua/deals/134969/card/","23141")</f>
      </c>
      <c r="B7941" s="3" t="inlineStr">
        <is>
          <t>114-6918088-6988237</t>
        </is>
      </c>
      <c r="C7941" s="3" t="inlineStr">
        <is>
          <t>Autodist</t>
        </is>
      </c>
    </row>
    <row collapsed="false" customFormat="false" customHeight="false" hidden="false" ht="12.1" outlineLevel="0" r="7942">
      <c r="A7942" s="3" t="s">
        <f>=HYPERLINK("https://mp39851918.megaplan.ua/deals/134972/card/","23142")</f>
      </c>
      <c r="B7942" s="3" t="inlineStr">
        <is>
          <t>112-5541946-9538660</t>
        </is>
      </c>
      <c r="C7942" s="3" t="inlineStr">
        <is>
          <t>Autodist</t>
        </is>
      </c>
    </row>
    <row collapsed="false" customFormat="false" customHeight="false" hidden="false" ht="12.1" outlineLevel="0" r="7943">
      <c r="A7943" s="3" t="s">
        <f>=HYPERLINK("https://mp39851918.megaplan.ua/deals/134974/card/","23143")</f>
      </c>
      <c r="B7943" s="3" t="inlineStr">
        <is>
          <t>113-6912330-1147409</t>
        </is>
      </c>
      <c r="C7943" s="3" t="inlineStr">
        <is>
          <t>RockyMountain</t>
        </is>
      </c>
    </row>
    <row collapsed="false" customFormat="false" customHeight="false" hidden="false" ht="12.1" outlineLevel="0" r="7944">
      <c r="A7944" s="3" t="s">
        <f>=HYPERLINK("https://mp39851918.megaplan.ua/deals/134975/card/","23144")</f>
      </c>
      <c r="B7944" s="3" t="inlineStr">
        <is>
          <t>111-8194325-1901040</t>
        </is>
      </c>
      <c r="C7944" s="3" t="inlineStr">
        <is>
          <t>TuckerRocky</t>
        </is>
      </c>
    </row>
    <row collapsed="false" customFormat="false" customHeight="false" hidden="false" ht="12.1" outlineLevel="0" r="7945">
      <c r="A7945" s="3" t="s">
        <f>=HYPERLINK("https://mp39851918.megaplan.ua/deals/134982/card/","23145")</f>
      </c>
      <c r="B7945" s="3" t="inlineStr">
        <is>
          <t>112-6342279-3344207</t>
        </is>
      </c>
      <c r="C7945" s="3" t="inlineStr">
        <is>
          <t>RockyMountain</t>
        </is>
      </c>
    </row>
    <row collapsed="false" customFormat="false" customHeight="false" hidden="false" ht="12.1" outlineLevel="0" r="7946">
      <c r="A7946" s="3" t="s">
        <f>=HYPERLINK("https://mp39851918.megaplan.ua/deals/134983/card/","23146")</f>
      </c>
      <c r="B7946" s="3" t="inlineStr">
        <is>
          <t>112-6541039-9322626</t>
        </is>
      </c>
      <c r="C7946" s="3" t="inlineStr">
        <is>
          <t>Autodist</t>
        </is>
      </c>
    </row>
    <row collapsed="false" customFormat="false" customHeight="false" hidden="false" ht="12.1" outlineLevel="0" r="7947">
      <c r="A7947" s="3" t="s">
        <f>=HYPERLINK("https://mp39851918.megaplan.ua/deals/134987/card/","23147")</f>
      </c>
      <c r="B7947" s="3" t="inlineStr">
        <is>
          <t>113-1502182-9713826</t>
        </is>
      </c>
      <c r="C7947" s="3" t="inlineStr">
        <is>
          <t>Autodist</t>
        </is>
      </c>
    </row>
    <row collapsed="false" customFormat="false" customHeight="false" hidden="false" ht="12.1" outlineLevel="0" r="7948">
      <c r="A7948" s="3" t="s">
        <f>=HYPERLINK("https://mp39851918.megaplan.ua/deals/134988/card/","23148")</f>
      </c>
      <c r="B7948" s="3" t="inlineStr">
        <is>
          <t>114-7540188-8888215</t>
        </is>
      </c>
      <c r="C7948" s="3" t="inlineStr">
        <is>
          <t>Autodist</t>
        </is>
      </c>
    </row>
    <row collapsed="false" customFormat="false" customHeight="false" hidden="false" ht="12.1" outlineLevel="0" r="7949">
      <c r="A7949" s="3" t="s">
        <f>=HYPERLINK("https://mp39851918.megaplan.ua/deals/134990/card/","23149")</f>
      </c>
      <c r="B7949" s="3" t="inlineStr">
        <is>
          <t>114-4193833-7827415</t>
        </is>
      </c>
      <c r="C7949" s="3" t="inlineStr">
        <is>
          <t>RockyMountain</t>
        </is>
      </c>
    </row>
    <row collapsed="false" customFormat="false" customHeight="false" hidden="false" ht="12.1" outlineLevel="0" r="7950">
      <c r="A7950" s="3" t="s">
        <f>=HYPERLINK("https://mp39851918.megaplan.ua/deals/134994/card/","23150")</f>
      </c>
      <c r="B7950" s="3" t="inlineStr">
        <is>
          <t>113-1447459-6349050</t>
        </is>
      </c>
      <c r="C7950" s="3" t="inlineStr">
        <is>
          <t>Autodist</t>
        </is>
      </c>
    </row>
    <row collapsed="false" customFormat="false" customHeight="false" hidden="false" ht="12.1" outlineLevel="0" r="7951">
      <c r="A7951" s="3" t="s">
        <f>=HYPERLINK("https://mp39851918.megaplan.ua/deals/134995/card/","23151")</f>
      </c>
      <c r="B7951" s="3" t="inlineStr">
        <is>
          <t>113-6907240-7785034</t>
        </is>
      </c>
      <c r="C7951" s="3" t="inlineStr">
        <is>
          <t>TuckerRocky</t>
        </is>
      </c>
    </row>
    <row collapsed="false" customFormat="false" customHeight="false" hidden="false" ht="12.1" outlineLevel="0" r="7952">
      <c r="A7952" s="3" t="s">
        <f>=HYPERLINK("https://mp39851918.megaplan.ua/deals/134996/card/","23152")</f>
      </c>
      <c r="B7952" s="3" t="inlineStr">
        <is>
          <t>114-1321331-2934643</t>
        </is>
      </c>
      <c r="C7952" s="3" t="inlineStr">
        <is>
          <t>Autodist</t>
        </is>
      </c>
    </row>
    <row collapsed="false" customFormat="false" customHeight="false" hidden="false" ht="12.1" outlineLevel="0" r="7953">
      <c r="A7953" s="3" t="s">
        <f>=HYPERLINK("https://mp39851918.megaplan.ua/deals/134998/card/","23153")</f>
      </c>
      <c r="B7953" s="3" t="inlineStr">
        <is>
          <t>111-3510557-0365068</t>
        </is>
      </c>
      <c r="C7953" s="3" t="inlineStr">
        <is>
          <t>Autodist</t>
        </is>
      </c>
    </row>
    <row collapsed="false" customFormat="false" customHeight="false" hidden="false" ht="12.1" outlineLevel="0" r="7954">
      <c r="A7954" s="3" t="s">
        <f>=HYPERLINK("https://mp39851918.megaplan.ua/deals/134999/card/","23154")</f>
      </c>
      <c r="B7954" s="3" t="inlineStr">
        <is>
          <t>113-0331458-8451453</t>
        </is>
      </c>
      <c r="C7954" s="3" t="inlineStr">
        <is>
          <t>Autodist</t>
        </is>
      </c>
    </row>
    <row collapsed="false" customFormat="false" customHeight="false" hidden="false" ht="12.1" outlineLevel="0" r="7955">
      <c r="A7955" s="3" t="s">
        <f>=HYPERLINK("https://mp39851918.megaplan.ua/deals/135001/card/","23155")</f>
      </c>
      <c r="B7955" s="3" t="inlineStr">
        <is>
          <t>111-3032518-0217022</t>
        </is>
      </c>
      <c r="C7955" s="3" t="inlineStr">
        <is>
          <t>RockyMountain</t>
        </is>
      </c>
    </row>
    <row collapsed="false" customFormat="false" customHeight="false" hidden="false" ht="12.1" outlineLevel="0" r="7956">
      <c r="A7956" s="3" t="s">
        <f>=HYPERLINK("https://mp39851918.megaplan.ua/deals/135003/card/","23156")</f>
      </c>
      <c r="B7956" s="3" t="inlineStr">
        <is>
          <t>113-1032682-2853846</t>
        </is>
      </c>
      <c r="C7956" s="3" t="inlineStr">
        <is>
          <t>RockyMountain</t>
        </is>
      </c>
    </row>
    <row collapsed="false" customFormat="false" customHeight="false" hidden="false" ht="12.1" outlineLevel="0" r="7957">
      <c r="A7957" s="3" t="s">
        <f>=HYPERLINK("https://mp39851918.megaplan.ua/deals/135007/card/","23157")</f>
      </c>
      <c r="B7957" s="3" t="inlineStr">
        <is>
          <t>112-1161216-3810646</t>
        </is>
      </c>
      <c r="C7957" s="3" t="inlineStr">
        <is>
          <t>PartsUnlimited</t>
        </is>
      </c>
    </row>
    <row collapsed="false" customFormat="false" customHeight="false" hidden="false" ht="12.1" outlineLevel="0" r="7958">
      <c r="A7958" s="3" t="s">
        <f>=HYPERLINK("https://mp39851918.megaplan.ua/deals/135009/card/","23158")</f>
      </c>
      <c r="B7958" s="3" t="inlineStr">
        <is>
          <t>114-1390791-9312246</t>
        </is>
      </c>
      <c r="C7958" s="3" t="inlineStr">
        <is>
          <t>PartsUnlimited</t>
        </is>
      </c>
    </row>
    <row collapsed="false" customFormat="false" customHeight="false" hidden="false" ht="12.1" outlineLevel="0" r="7959">
      <c r="A7959" s="3" t="s">
        <f>=HYPERLINK("https://mp39851918.megaplan.ua/deals/135010/card/","23159")</f>
      </c>
      <c r="B7959" s="3" t="inlineStr">
        <is>
          <t>111-4657440-3325826</t>
        </is>
      </c>
      <c r="C7959" s="3" t="inlineStr">
        <is>
          <t>RockyMountain</t>
        </is>
      </c>
    </row>
    <row collapsed="false" customFormat="false" customHeight="false" hidden="false" ht="12.1" outlineLevel="0" r="7960">
      <c r="A7960" s="3" t="s">
        <f>=HYPERLINK("https://mp39851918.megaplan.ua/deals/135011/card/","23160")</f>
      </c>
      <c r="B7960" s="3" t="inlineStr">
        <is>
          <t>112-2212280-5200203</t>
        </is>
      </c>
      <c r="C7960" s="3" t="inlineStr">
        <is>
          <t>RockyMountain</t>
        </is>
      </c>
    </row>
    <row collapsed="false" customFormat="false" customHeight="false" hidden="false" ht="12.1" outlineLevel="0" r="7961">
      <c r="A7961" s="3" t="s">
        <f>=HYPERLINK("https://mp39851918.megaplan.ua/deals/135013/card/","23161")</f>
      </c>
      <c r="B7961" s="3" t="inlineStr">
        <is>
          <t>113-8307250-6443453</t>
        </is>
      </c>
      <c r="C7961" s="3" t="inlineStr">
        <is>
          <t>RockyMountain</t>
        </is>
      </c>
    </row>
    <row collapsed="false" customFormat="false" customHeight="false" hidden="false" ht="12.1" outlineLevel="0" r="7962">
      <c r="A7962" s="3" t="s">
        <f>=HYPERLINK("https://mp39851918.megaplan.ua/deals/135014/card/","23162")</f>
      </c>
      <c r="B7962" s="3" t="inlineStr">
        <is>
          <t>113-7977588-6437069</t>
        </is>
      </c>
      <c r="C7962" s="3" t="inlineStr">
        <is>
          <t>RockyMountain</t>
        </is>
      </c>
    </row>
    <row collapsed="false" customFormat="false" customHeight="false" hidden="false" ht="12.1" outlineLevel="0" r="7963">
      <c r="A7963" s="3" t="s">
        <f>=HYPERLINK("https://mp39851918.megaplan.ua/deals/135020/card/","23163")</f>
      </c>
      <c r="B7963" s="3" t="inlineStr">
        <is>
          <t>111-8707598-4961043</t>
        </is>
      </c>
      <c r="C7963" s="3" t="inlineStr">
        <is>
          <t>Autodist</t>
        </is>
      </c>
    </row>
    <row collapsed="false" customFormat="false" customHeight="false" hidden="false" ht="12.1" outlineLevel="0" r="7964">
      <c r="A7964" s="3" t="s">
        <f>=HYPERLINK("https://mp39851918.megaplan.ua/deals/135021/card/","23164")</f>
      </c>
      <c r="B7964" s="3" t="inlineStr">
        <is>
          <t>112-5301831-5815412</t>
        </is>
      </c>
      <c r="C7964" s="3" t="inlineStr">
        <is>
          <t>RockyMountain</t>
        </is>
      </c>
    </row>
    <row collapsed="false" customFormat="false" customHeight="false" hidden="false" ht="12.1" outlineLevel="0" r="7965">
      <c r="A7965" s="3" t="s">
        <f>=HYPERLINK("https://mp39851918.megaplan.ua/deals/135023/card/","23165")</f>
      </c>
      <c r="B7965" s="3" t="inlineStr">
        <is>
          <t>112-4445959-8310641</t>
        </is>
      </c>
      <c r="C7965" s="3" t="inlineStr">
        <is>
          <t>RockyMountain</t>
        </is>
      </c>
    </row>
    <row collapsed="false" customFormat="false" customHeight="false" hidden="false" ht="12.1" outlineLevel="0" r="7966">
      <c r="A7966" s="3" t="s">
        <f>=HYPERLINK("https://mp39851918.megaplan.ua/deals/135024/card/","23166")</f>
      </c>
      <c r="B7966" s="3" t="inlineStr">
        <is>
          <t>112-2614737-7811429</t>
        </is>
      </c>
      <c r="C7966" s="3" t="inlineStr">
        <is>
          <t>RockyMountain</t>
        </is>
      </c>
    </row>
    <row collapsed="false" customFormat="false" customHeight="false" hidden="false" ht="12.1" outlineLevel="0" r="7967">
      <c r="A7967" s="3" t="s">
        <f>=HYPERLINK("https://mp39851918.megaplan.ua/deals/135028/card/","23167")</f>
      </c>
      <c r="B7967" s="3" t="inlineStr">
        <is>
          <t>112-7735764-3927441</t>
        </is>
      </c>
      <c r="C7967" s="3" t="inlineStr">
        <is>
          <t>PartsUnlimited</t>
        </is>
      </c>
    </row>
    <row collapsed="false" customFormat="false" customHeight="false" hidden="false" ht="12.1" outlineLevel="0" r="7968">
      <c r="A7968" s="3" t="s">
        <f>=HYPERLINK("https://mp39851918.megaplan.ua/deals/135029/card/","23168")</f>
      </c>
      <c r="B7968" s="3" t="inlineStr">
        <is>
          <t>114-5709029-2541859</t>
        </is>
      </c>
      <c r="C7968" s="3" t="inlineStr">
        <is>
          <t>TuckerRocky</t>
        </is>
      </c>
    </row>
    <row collapsed="false" customFormat="false" customHeight="false" hidden="false" ht="12.1" outlineLevel="0" r="7969">
      <c r="A7969" s="3" t="s">
        <f>=HYPERLINK("https://mp39851918.megaplan.ua/deals/135045/card/","23169")</f>
      </c>
      <c r="B7969" s="3" t="inlineStr">
        <is>
          <t>112-5269849-2688235</t>
        </is>
      </c>
      <c r="C7969" s="3" t="inlineStr">
        <is>
          <t>PartsUnlimited</t>
        </is>
      </c>
    </row>
    <row collapsed="false" customFormat="false" customHeight="false" hidden="false" ht="12.1" outlineLevel="0" r="7970">
      <c r="A7970" s="3" t="s">
        <f>=HYPERLINK("https://mp39851918.megaplan.ua/deals/135048/card/","23171")</f>
      </c>
      <c r="B7970" s="3" t="inlineStr">
        <is>
          <t>112-9923087-0045067</t>
        </is>
      </c>
      <c r="C7970" s="3" t="inlineStr">
        <is>
          <t>Autodist</t>
        </is>
      </c>
    </row>
    <row collapsed="false" customFormat="false" customHeight="false" hidden="false" ht="12.1" outlineLevel="0" r="7971">
      <c r="A7971" s="3" t="s">
        <f>=HYPERLINK("https://mp39851918.megaplan.ua/deals/135051/card/","23172")</f>
      </c>
      <c r="B7971" s="3" t="inlineStr">
        <is>
          <t>111-3845284-1048229</t>
        </is>
      </c>
      <c r="C7971" s="3" t="inlineStr">
        <is>
          <t>PartsUnlimited</t>
        </is>
      </c>
    </row>
    <row collapsed="false" customFormat="false" customHeight="false" hidden="false" ht="12.1" outlineLevel="0" r="7972">
      <c r="A7972" s="3" t="s">
        <f>=HYPERLINK("https://mp39851918.megaplan.ua/deals/135055/card/","23173")</f>
      </c>
      <c r="B7972" s="3" t="inlineStr">
        <is>
          <t>111-8769244-1449056</t>
        </is>
      </c>
      <c r="C7972" s="3" t="inlineStr">
        <is>
          <t>PartsUnlimited</t>
        </is>
      </c>
    </row>
    <row collapsed="false" customFormat="false" customHeight="false" hidden="false" ht="12.1" outlineLevel="0" r="7973">
      <c r="A7973" s="3" t="s">
        <f>=HYPERLINK("https://mp39851918.megaplan.ua/deals/135056/card/","23174")</f>
      </c>
      <c r="B7973" s="3" t="inlineStr">
        <is>
          <t>113-8828708-6392203</t>
        </is>
      </c>
      <c r="C7973" s="3" t="inlineStr">
        <is>
          <t>Autodist</t>
        </is>
      </c>
    </row>
    <row collapsed="false" customFormat="false" customHeight="false" hidden="false" ht="12.1" outlineLevel="0" r="7974">
      <c r="A7974" s="3" t="s">
        <f>=HYPERLINK("https://mp39851918.megaplan.ua/deals/135059/card/","23175")</f>
      </c>
      <c r="B7974" s="3" t="inlineStr">
        <is>
          <t>112-3409543-6205026</t>
        </is>
      </c>
      <c r="C7974" s="3" t="inlineStr">
        <is>
          <t>TuckerRocky</t>
        </is>
      </c>
    </row>
    <row collapsed="false" customFormat="false" customHeight="false" hidden="false" ht="12.1" outlineLevel="0" r="7975">
      <c r="A7975" s="3" t="s">
        <f>=HYPERLINK("https://mp39851918.megaplan.ua/deals/135068/card/","23176")</f>
      </c>
      <c r="B7975" s="3" t="inlineStr">
        <is>
          <t>114-6686076-5152261</t>
        </is>
      </c>
      <c r="C7975" s="3" t="inlineStr">
        <is>
          <t>PartsUnlimited</t>
        </is>
      </c>
    </row>
    <row collapsed="false" customFormat="false" customHeight="false" hidden="false" ht="12.1" outlineLevel="0" r="7976">
      <c r="A7976" s="3" t="s">
        <f>=HYPERLINK("https://mp39851918.megaplan.ua/deals/135069/card/","23177")</f>
      </c>
      <c r="B7976" s="3" t="inlineStr">
        <is>
          <t>111-2795855-5642665</t>
        </is>
      </c>
      <c r="C7976" s="3" t="inlineStr">
        <is>
          <t>PartsUnlimited</t>
        </is>
      </c>
    </row>
    <row collapsed="false" customFormat="false" customHeight="false" hidden="false" ht="12.1" outlineLevel="0" r="7977">
      <c r="A7977" s="3" t="s">
        <f>=HYPERLINK("https://mp39851918.megaplan.ua/deals/135070/card/","23178")</f>
      </c>
      <c r="B7977" s="3" t="inlineStr">
        <is>
          <t>114-5719405-0669851</t>
        </is>
      </c>
      <c r="C7977" s="3" t="inlineStr">
        <is>
          <t>RockyMountain</t>
        </is>
      </c>
    </row>
    <row collapsed="false" customFormat="false" customHeight="false" hidden="false" ht="12.1" outlineLevel="0" r="7978">
      <c r="A7978" s="3" t="s">
        <f>=HYPERLINK("https://mp39851918.megaplan.ua/deals/135072/card/","23179")</f>
      </c>
      <c r="B7978" s="3" t="inlineStr">
        <is>
          <t>113-4841961-2321848</t>
        </is>
      </c>
      <c r="C7978" s="3" t="inlineStr">
        <is>
          <t>PartsUnlimited</t>
        </is>
      </c>
    </row>
    <row collapsed="false" customFormat="false" customHeight="false" hidden="false" ht="12.1" outlineLevel="0" r="7979">
      <c r="A7979" s="3" t="s">
        <f>=HYPERLINK("https://mp39851918.megaplan.ua/deals/135073/card/","23180")</f>
      </c>
      <c r="B7979" s="3" t="inlineStr">
        <is>
          <t>114-9274335-3917013</t>
        </is>
      </c>
      <c r="C7979" s="3" t="inlineStr">
        <is>
          <t>RockyMountain</t>
        </is>
      </c>
    </row>
    <row collapsed="false" customFormat="false" customHeight="false" hidden="false" ht="12.1" outlineLevel="0" r="7980">
      <c r="A7980" s="3" t="s">
        <f>=HYPERLINK("https://mp39851918.megaplan.ua/deals/135077/card/","23181")</f>
      </c>
      <c r="B7980" s="3" t="inlineStr">
        <is>
          <t>114-9416140-3497857</t>
        </is>
      </c>
      <c r="C7980" s="3" t="inlineStr">
        <is>
          <t>RockyMountain</t>
        </is>
      </c>
    </row>
    <row collapsed="false" customFormat="false" customHeight="false" hidden="false" ht="12.1" outlineLevel="0" r="7981">
      <c r="A7981" s="3" t="s">
        <f>=HYPERLINK("https://mp39851918.megaplan.ua/deals/135079/card/","23182")</f>
      </c>
      <c r="B7981" s="3" t="inlineStr">
        <is>
          <t>112-3563659-3973055</t>
        </is>
      </c>
      <c r="C7981" s="3" t="inlineStr">
        <is>
          <t>RockyMountain</t>
        </is>
      </c>
    </row>
    <row collapsed="false" customFormat="false" customHeight="false" hidden="false" ht="12.1" outlineLevel="0" r="7982">
      <c r="A7982" s="3" t="s">
        <f>=HYPERLINK("https://mp39851918.megaplan.ua/deals/135080/card/","23183")</f>
      </c>
      <c r="B7982" s="3" t="inlineStr">
        <is>
          <t>114-6970614-7683436</t>
        </is>
      </c>
      <c r="C7982" s="3" t="inlineStr">
        <is>
          <t>PartsUnlimited</t>
        </is>
      </c>
    </row>
    <row collapsed="false" customFormat="false" customHeight="false" hidden="false" ht="12.1" outlineLevel="0" r="7983">
      <c r="A7983" s="3" t="s">
        <f>=HYPERLINK("https://mp39851918.megaplan.ua/deals/135082/card/","23184")</f>
      </c>
      <c r="B7983" s="3" t="inlineStr">
        <is>
          <t>113-2603568-0399405</t>
        </is>
      </c>
      <c r="C7983" s="3" t="inlineStr">
        <is>
          <t>Autodist</t>
        </is>
      </c>
    </row>
    <row collapsed="false" customFormat="false" customHeight="false" hidden="false" ht="12.1" outlineLevel="0" r="7984">
      <c r="A7984" s="3" t="s">
        <f>=HYPERLINK("https://mp39851918.megaplan.ua/deals/135083/card/","23185")</f>
      </c>
      <c r="B7984" s="3" t="inlineStr">
        <is>
          <t>112-0431629-1401044</t>
        </is>
      </c>
      <c r="C7984" s="3" t="inlineStr">
        <is>
          <t>TuckerRocky</t>
        </is>
      </c>
    </row>
    <row collapsed="false" customFormat="false" customHeight="false" hidden="false" ht="12.1" outlineLevel="0" r="7985">
      <c r="A7985" s="3" t="s">
        <f>=HYPERLINK("https://mp39851918.megaplan.ua/deals/135084/card/","23186")</f>
      </c>
      <c r="B7985" s="3" t="inlineStr">
        <is>
          <t>112-1586894-3362622</t>
        </is>
      </c>
      <c r="C7985" s="3" t="inlineStr">
        <is>
          <t>PartsUnlimited</t>
        </is>
      </c>
    </row>
    <row collapsed="false" customFormat="false" customHeight="false" hidden="false" ht="12.1" outlineLevel="0" r="7986">
      <c r="A7986" s="3" t="s">
        <f>=HYPERLINK("https://mp39851918.megaplan.ua/deals/135087/card/","23187")</f>
      </c>
      <c r="B7986" s="3" t="inlineStr">
        <is>
          <t>111-1876758-5297819</t>
        </is>
      </c>
      <c r="C7986" s="3" t="inlineStr">
        <is>
          <t>Autodist</t>
        </is>
      </c>
    </row>
    <row collapsed="false" customFormat="false" customHeight="false" hidden="false" ht="12.1" outlineLevel="0" r="7987">
      <c r="A7987" s="3" t="s">
        <f>=HYPERLINK("https://mp39851918.megaplan.ua/deals/135088/card/","23188")</f>
      </c>
      <c r="B7987" s="3" t="inlineStr">
        <is>
          <t>111-5806565-8949858</t>
        </is>
      </c>
      <c r="C7987" s="3" t="inlineStr">
        <is>
          <t>PartsUnlimited</t>
        </is>
      </c>
    </row>
    <row collapsed="false" customFormat="false" customHeight="false" hidden="false" ht="12.1" outlineLevel="0" r="7988">
      <c r="A7988" s="3" t="s">
        <f>=HYPERLINK("https://mp39851918.megaplan.ua/deals/135092/card/","23189")</f>
      </c>
      <c r="B7988" s="3" t="inlineStr">
        <is>
          <t>113-9693623-4425828</t>
        </is>
      </c>
      <c r="C7988" s="3" t="inlineStr">
        <is>
          <t>TuckerRocky</t>
        </is>
      </c>
    </row>
    <row collapsed="false" customFormat="false" customHeight="false" hidden="false" ht="12.1" outlineLevel="0" r="7989">
      <c r="A7989" s="3" t="s">
        <f>=HYPERLINK("https://mp39851918.megaplan.ua/deals/135095/card/","23190")</f>
      </c>
      <c r="B7989" s="3" t="inlineStr">
        <is>
          <t>114-0164416-7174614</t>
        </is>
      </c>
      <c r="C7989" s="3" t="inlineStr">
        <is>
          <t>PartsUnlimited</t>
        </is>
      </c>
    </row>
    <row collapsed="false" customFormat="false" customHeight="false" hidden="false" ht="12.1" outlineLevel="0" r="7990">
      <c r="A7990" s="3" t="s">
        <f>=HYPERLINK("https://mp39851918.megaplan.ua/deals/135097/card/","23191")</f>
      </c>
      <c r="B7990" s="3" t="inlineStr">
        <is>
          <t>112-6418846-1292252</t>
        </is>
      </c>
      <c r="C7990" s="3" t="inlineStr">
        <is>
          <t>TuckerRocky</t>
        </is>
      </c>
    </row>
    <row collapsed="false" customFormat="false" customHeight="false" hidden="false" ht="12.1" outlineLevel="0" r="7991">
      <c r="A7991" s="3" t="s">
        <f>=HYPERLINK("https://mp39851918.megaplan.ua/deals/135112/card/","23192")</f>
      </c>
      <c r="B7991" s="3" t="inlineStr">
        <is>
          <t>114-3450894-8435449</t>
        </is>
      </c>
      <c r="C7991" s="3" t="inlineStr">
        <is>
          <t>RockyMountain</t>
        </is>
      </c>
    </row>
    <row collapsed="false" customFormat="false" customHeight="false" hidden="false" ht="12.1" outlineLevel="0" r="7992">
      <c r="A7992" s="3" t="s">
        <f>=HYPERLINK("https://mp39851918.megaplan.ua/deals/135117/card/","23193")</f>
      </c>
      <c r="B7992" s="3" t="inlineStr">
        <is>
          <t>111-0406162-5387451</t>
        </is>
      </c>
      <c r="C7992" s="3" t="inlineStr">
        <is>
          <t>Autodist</t>
        </is>
      </c>
    </row>
    <row collapsed="false" customFormat="false" customHeight="false" hidden="false" ht="12.1" outlineLevel="0" r="7993">
      <c r="A7993" s="3" t="s">
        <f>=HYPERLINK("https://mp39851918.megaplan.ua/deals/135128/card/","23194")</f>
      </c>
      <c r="B7993" s="3" t="inlineStr">
        <is>
          <t>114-7405813-6356233</t>
        </is>
      </c>
      <c r="C7993" s="3" t="inlineStr">
        <is>
          <t>RockyMountain</t>
        </is>
      </c>
    </row>
    <row collapsed="false" customFormat="false" customHeight="false" hidden="false" ht="12.1" outlineLevel="0" r="7994">
      <c r="A7994" s="3" t="s">
        <f>=HYPERLINK("https://mp39851918.megaplan.ua/deals/135131/card/","23195")</f>
      </c>
      <c r="B7994" s="3" t="inlineStr">
        <is>
          <t>111-9011794-0733855</t>
        </is>
      </c>
      <c r="C7994" s="3" t="inlineStr">
        <is>
          <t>RockyMountain</t>
        </is>
      </c>
    </row>
    <row collapsed="false" customFormat="false" customHeight="false" hidden="false" ht="12.1" outlineLevel="0" r="7995">
      <c r="A7995" s="3" t="s">
        <f>=HYPERLINK("https://mp39851918.megaplan.ua/deals/135135/card/","23196")</f>
      </c>
      <c r="B7995" s="3" t="inlineStr">
        <is>
          <t>114-8883231-7985823</t>
        </is>
      </c>
      <c r="C7995" s="3" t="inlineStr">
        <is>
          <t>RockyMountain</t>
        </is>
      </c>
    </row>
    <row collapsed="false" customFormat="false" customHeight="false" hidden="false" ht="12.1" outlineLevel="0" r="7996">
      <c r="A7996" s="3" t="s">
        <f>=HYPERLINK("https://mp39851918.megaplan.ua/deals/135139/card/","23197")</f>
      </c>
      <c r="B7996" s="3" t="inlineStr">
        <is>
          <t>113-3534878-3429830</t>
        </is>
      </c>
      <c r="C7996" s="3" t="inlineStr">
        <is>
          <t>RockyMountain</t>
        </is>
      </c>
    </row>
    <row collapsed="false" customFormat="false" customHeight="false" hidden="false" ht="12.1" outlineLevel="0" r="7997">
      <c r="A7997" s="3" t="s">
        <f>=HYPERLINK("https://mp39851918.megaplan.ua/deals/135141/card/","23198")</f>
      </c>
      <c r="B7997" s="3" t="inlineStr">
        <is>
          <t>111-9711455-6121044</t>
        </is>
      </c>
      <c r="C7997" s="3" t="inlineStr">
        <is>
          <t>RockyMountain</t>
        </is>
      </c>
    </row>
    <row collapsed="false" customFormat="false" customHeight="false" hidden="false" ht="12.1" outlineLevel="0" r="7998">
      <c r="A7998" s="3" t="s">
        <f>=HYPERLINK("https://mp39851918.megaplan.ua/deals/135148/card/","23199")</f>
      </c>
      <c r="B7998" s="3" t="inlineStr">
        <is>
          <t>113-2740068-0772210</t>
        </is>
      </c>
      <c r="C7998" s="3" t="inlineStr">
        <is>
          <t>RockyMountain</t>
        </is>
      </c>
    </row>
    <row collapsed="false" customFormat="false" customHeight="false" hidden="false" ht="12.1" outlineLevel="0" r="7999">
      <c r="A7999" s="3" t="s">
        <f>=HYPERLINK("https://mp39851918.megaplan.ua/deals/135156/card/","23200")</f>
      </c>
      <c r="B7999" s="3" t="inlineStr">
        <is>
          <t>113-3834434-5974651</t>
        </is>
      </c>
      <c r="C7999" s="3" t="inlineStr">
        <is>
          <t>RockyMountain</t>
        </is>
      </c>
    </row>
    <row collapsed="false" customFormat="false" customHeight="false" hidden="false" ht="12.1" outlineLevel="0" r="8000">
      <c r="A8000" s="3" t="s">
        <f>=HYPERLINK("https://mp39851918.megaplan.ua/deals/135157/card/","23201")</f>
      </c>
      <c r="B8000" s="3" t="inlineStr">
        <is>
          <t>113-0702896-5367455</t>
        </is>
      </c>
      <c r="C8000" s="3" t="inlineStr">
        <is>
          <t>TuckerRocky</t>
        </is>
      </c>
    </row>
    <row collapsed="false" customFormat="false" customHeight="false" hidden="false" ht="12.1" outlineLevel="0" r="8001">
      <c r="A8001" s="3" t="s">
        <f>=HYPERLINK("https://mp39851918.megaplan.ua/deals/135158/card/","23202")</f>
      </c>
      <c r="B8001" s="3" t="inlineStr">
        <is>
          <t>111-7954363-6462661</t>
        </is>
      </c>
      <c r="C8001" s="3" t="inlineStr">
        <is>
          <t>TuckerRocky</t>
        </is>
      </c>
    </row>
    <row collapsed="false" customFormat="false" customHeight="false" hidden="false" ht="12.1" outlineLevel="0" r="8002">
      <c r="A8002" s="3" t="s">
        <f>=HYPERLINK("https://mp39851918.megaplan.ua/deals/135159/card/","23203")</f>
      </c>
      <c r="B8002" s="3" t="inlineStr">
        <is>
          <t>114-0864887-3666646</t>
        </is>
      </c>
      <c r="C8002" s="3" t="inlineStr">
        <is>
          <t>PartsUnlimited</t>
        </is>
      </c>
    </row>
    <row collapsed="false" customFormat="false" customHeight="false" hidden="false" ht="12.1" outlineLevel="0" r="8003">
      <c r="A8003" s="3" t="s">
        <f>=HYPERLINK("https://mp39851918.megaplan.ua/deals/135172/card/","23206")</f>
      </c>
      <c r="B8003" s="3" t="inlineStr">
        <is>
          <t>113-9724238-7050638</t>
        </is>
      </c>
      <c r="C8003" s="3" t="inlineStr">
        <is>
          <t>RockyMountain</t>
        </is>
      </c>
    </row>
    <row collapsed="false" customFormat="false" customHeight="false" hidden="false" ht="12.1" outlineLevel="0" r="8004">
      <c r="A8004" s="3" t="s">
        <f>=HYPERLINK("https://mp39851918.megaplan.ua/deals/135178/card/","23207")</f>
      </c>
      <c r="B8004" s="3" t="inlineStr">
        <is>
          <t>112-9829455-5337018</t>
        </is>
      </c>
      <c r="C8004" s="3" t="inlineStr">
        <is>
          <t>TuckerRocky</t>
        </is>
      </c>
    </row>
    <row collapsed="false" customFormat="false" customHeight="false" hidden="false" ht="12.1" outlineLevel="0" r="8005">
      <c r="A8005" s="3" t="s">
        <f>=HYPERLINK("https://mp39851918.megaplan.ua/deals/135182/card/","23209")</f>
      </c>
      <c r="B8005" s="3" t="inlineStr">
        <is>
          <t>114-5132750-8667404</t>
        </is>
      </c>
      <c r="C8005" s="3" t="inlineStr">
        <is>
          <t>Autodist</t>
        </is>
      </c>
    </row>
    <row collapsed="false" customFormat="false" customHeight="false" hidden="false" ht="12.1" outlineLevel="0" r="8006">
      <c r="A8006" s="3" t="s">
        <f>=HYPERLINK("https://mp39851918.megaplan.ua/deals/135183/card/","23210")</f>
      </c>
      <c r="B8006" s="3" t="inlineStr">
        <is>
          <t>113-1591168-4338629</t>
        </is>
      </c>
      <c r="C8006" s="3" t="inlineStr">
        <is>
          <t>Autodist</t>
        </is>
      </c>
    </row>
    <row collapsed="false" customFormat="false" customHeight="false" hidden="false" ht="12.1" outlineLevel="0" r="8007">
      <c r="A8007" s="3" t="s">
        <f>=HYPERLINK("https://mp39851918.megaplan.ua/deals/135184/card/","23211")</f>
      </c>
      <c r="B8007" s="3" t="inlineStr">
        <is>
          <t>111-0262396-6569044</t>
        </is>
      </c>
      <c r="C8007" s="3" t="inlineStr">
        <is>
          <t>Autodist</t>
        </is>
      </c>
    </row>
    <row collapsed="false" customFormat="false" customHeight="false" hidden="false" ht="12.1" outlineLevel="0" r="8008">
      <c r="A8008" s="3" t="s">
        <f>=HYPERLINK("https://mp39851918.megaplan.ua/deals/135185/card/","23212")</f>
      </c>
      <c r="B8008" s="3" t="inlineStr">
        <is>
          <t>112-3917154-1650617</t>
        </is>
      </c>
      <c r="C8008" s="3" t="inlineStr">
        <is>
          <t>Autodist</t>
        </is>
      </c>
    </row>
    <row collapsed="false" customFormat="false" customHeight="false" hidden="false" ht="12.1" outlineLevel="0" r="8009">
      <c r="A8009" s="3" t="s">
        <f>=HYPERLINK("https://mp39851918.megaplan.ua/deals/135189/card/","23213")</f>
      </c>
      <c r="B8009" s="3" t="inlineStr">
        <is>
          <t>113-1910961-7777822</t>
        </is>
      </c>
      <c r="C8009" s="3" t="inlineStr">
        <is>
          <t>RockyMountain</t>
        </is>
      </c>
    </row>
    <row collapsed="false" customFormat="false" customHeight="false" hidden="false" ht="12.1" outlineLevel="0" r="8010">
      <c r="A8010" s="3" t="s">
        <f>=HYPERLINK("https://mp39851918.megaplan.ua/deals/135190/card/","23214")</f>
      </c>
      <c r="B8010" s="3" t="inlineStr">
        <is>
          <t>114-0698212-8293812</t>
        </is>
      </c>
      <c r="C8010" s="3" t="inlineStr">
        <is>
          <t>RockyMountain</t>
        </is>
      </c>
    </row>
    <row collapsed="false" customFormat="false" customHeight="false" hidden="false" ht="12.1" outlineLevel="0" r="8011">
      <c r="A8011" s="3" t="s">
        <f>=HYPERLINK("https://mp39851918.megaplan.ua/deals/135191/card/","23215")</f>
      </c>
      <c r="B8011" s="3" t="inlineStr">
        <is>
          <t>113-3707769-5348239</t>
        </is>
      </c>
      <c r="C8011" s="3" t="inlineStr">
        <is>
          <t>TuckerRocky</t>
        </is>
      </c>
    </row>
    <row collapsed="false" customFormat="false" customHeight="false" hidden="false" ht="12.1" outlineLevel="0" r="8012">
      <c r="A8012" s="3" t="s">
        <f>=HYPERLINK("https://mp39851918.megaplan.ua/deals/135192/card/","23216")</f>
      </c>
      <c r="B8012" s="3" t="inlineStr">
        <is>
          <t>111-3015726-4536241</t>
        </is>
      </c>
      <c r="C8012" s="3" t="inlineStr">
        <is>
          <t>RockyMountain</t>
        </is>
      </c>
    </row>
    <row collapsed="false" customFormat="false" customHeight="false" hidden="false" ht="12.1" outlineLevel="0" r="8013">
      <c r="A8013" s="3" t="s">
        <f>=HYPERLINK("https://mp39851918.megaplan.ua/deals/135213/card/","23220")</f>
      </c>
      <c r="B8013" s="3" t="inlineStr">
        <is>
          <t>114-5509847-0038642</t>
        </is>
      </c>
      <c r="C8013" s="3" t="inlineStr">
        <is>
          <t>Autodist</t>
        </is>
      </c>
    </row>
    <row collapsed="false" customFormat="false" customHeight="false" hidden="false" ht="12.1" outlineLevel="0" r="8014">
      <c r="A8014" s="3" t="s">
        <f>=HYPERLINK("https://mp39851918.megaplan.ua/deals/135221/card/","23221")</f>
      </c>
      <c r="B8014" s="3" t="inlineStr">
        <is>
          <t>112-9128762-7077004</t>
        </is>
      </c>
      <c r="C8014" s="3" t="inlineStr">
        <is>
          <t>PartsUnlimited</t>
        </is>
      </c>
    </row>
    <row collapsed="false" customFormat="false" customHeight="false" hidden="false" ht="12.1" outlineLevel="0" r="8015">
      <c r="A8015" s="3" t="s">
        <f>=HYPERLINK("https://mp39851918.megaplan.ua/deals/135222/card/","23222")</f>
      </c>
      <c r="B8015" s="3" t="inlineStr">
        <is>
          <t>113-5265277-6329832</t>
        </is>
      </c>
      <c r="C8015" s="3" t="inlineStr">
        <is>
          <t>Autodist</t>
        </is>
      </c>
    </row>
    <row collapsed="false" customFormat="false" customHeight="false" hidden="false" ht="12.1" outlineLevel="0" r="8016">
      <c r="A8016" s="3" t="s">
        <f>=HYPERLINK("https://mp39851918.megaplan.ua/deals/135223/card/","23223")</f>
      </c>
      <c r="B8016" s="3" t="inlineStr">
        <is>
          <t>114-4591428-9960219</t>
        </is>
      </c>
      <c r="C8016" s="3" t="inlineStr">
        <is>
          <t>RockyMountain</t>
        </is>
      </c>
    </row>
    <row collapsed="false" customFormat="false" customHeight="false" hidden="false" ht="12.1" outlineLevel="0" r="8017">
      <c r="A8017" s="3" t="s">
        <f>=HYPERLINK("https://mp39851918.megaplan.ua/deals/135227/card/","23224")</f>
      </c>
      <c r="B8017" s="3" t="inlineStr">
        <is>
          <t>114-3120834-8586643</t>
        </is>
      </c>
      <c r="C8017" s="3" t="inlineStr">
        <is>
          <t>PartsUnlimited</t>
        </is>
      </c>
    </row>
    <row collapsed="false" customFormat="false" customHeight="false" hidden="false" ht="12.1" outlineLevel="0" r="8018">
      <c r="A8018" s="3" t="s">
        <f>=HYPERLINK("https://mp39851918.megaplan.ua/deals/135237/card/","23225")</f>
      </c>
      <c r="B8018" s="3" t="inlineStr">
        <is>
          <t>112-2703796-0987450</t>
        </is>
      </c>
      <c r="C8018" s="3" t="inlineStr">
        <is>
          <t>Autodist</t>
        </is>
      </c>
    </row>
    <row collapsed="false" customFormat="false" customHeight="false" hidden="false" ht="12.1" outlineLevel="0" r="8019">
      <c r="A8019" s="3" t="s">
        <f>=HYPERLINK("https://mp39851918.megaplan.ua/deals/135242/card/","23226")</f>
      </c>
      <c r="B8019" s="3" t="inlineStr">
        <is>
          <t>111-6897046-8275447</t>
        </is>
      </c>
      <c r="C8019" s="3" t="inlineStr">
        <is>
          <t>PartsUnlimited</t>
        </is>
      </c>
    </row>
    <row collapsed="false" customFormat="false" customHeight="false" hidden="false" ht="12.1" outlineLevel="0" r="8020">
      <c r="A8020" s="3" t="s">
        <f>=HYPERLINK("https://mp39851918.megaplan.ua/deals/135255/card/","23227")</f>
      </c>
      <c r="B8020" s="3" t="inlineStr">
        <is>
          <t>114-3111250-3447456</t>
        </is>
      </c>
      <c r="C8020" s="3" t="inlineStr">
        <is>
          <t>PartsUnlimited</t>
        </is>
      </c>
    </row>
    <row collapsed="false" customFormat="false" customHeight="false" hidden="false" ht="12.1" outlineLevel="0" r="8021">
      <c r="A8021" s="3" t="s">
        <f>=HYPERLINK("https://mp39851918.megaplan.ua/deals/135256/card/","23228")</f>
      </c>
      <c r="B8021" s="3" t="inlineStr">
        <is>
          <t>113-4996845-0145007</t>
        </is>
      </c>
      <c r="C8021" s="3" t="inlineStr">
        <is>
          <t>Autodist</t>
        </is>
      </c>
    </row>
    <row collapsed="false" customFormat="false" customHeight="false" hidden="false" ht="12.1" outlineLevel="0" r="8022">
      <c r="A8022" s="3" t="s">
        <f>=HYPERLINK("https://mp39851918.megaplan.ua/deals/135275/card/","23231")</f>
      </c>
      <c r="B8022" s="3" t="inlineStr">
        <is>
          <t>112-9779859-6400246</t>
        </is>
      </c>
      <c r="C8022" s="3" t="inlineStr">
        <is>
          <t>RockyMountain</t>
        </is>
      </c>
    </row>
    <row collapsed="false" customFormat="false" customHeight="false" hidden="false" ht="12.1" outlineLevel="0" r="8023">
      <c r="A8023" s="3" t="s">
        <f>=HYPERLINK("https://mp39851918.megaplan.ua/deals/135286/card/","23232")</f>
      </c>
      <c r="B8023" s="3" t="inlineStr">
        <is>
          <t>111-2800985-7022633</t>
        </is>
      </c>
      <c r="C8023" s="3" t="inlineStr">
        <is>
          <t>Autodist</t>
        </is>
      </c>
    </row>
    <row collapsed="false" customFormat="false" customHeight="false" hidden="false" ht="12.1" outlineLevel="0" r="8024">
      <c r="A8024" s="3" t="s">
        <f>=HYPERLINK("https://mp39851918.megaplan.ua/deals/135288/card/","23233")</f>
      </c>
      <c r="B8024" s="3" t="inlineStr">
        <is>
          <t>114-7155158-1033837</t>
        </is>
      </c>
      <c r="C8024" s="3" t="inlineStr">
        <is>
          <t>TuckerRocky</t>
        </is>
      </c>
    </row>
    <row collapsed="false" customFormat="false" customHeight="false" hidden="false" ht="12.1" outlineLevel="0" r="8025">
      <c r="A8025" s="3" t="s">
        <f>=HYPERLINK("https://mp39851918.megaplan.ua/deals/135306/card/","23234")</f>
      </c>
      <c r="B8025" s="3" t="inlineStr">
        <is>
          <t>112-8115215-6453062</t>
        </is>
      </c>
      <c r="C8025" s="3" t="inlineStr">
        <is>
          <t>RockyMountain</t>
        </is>
      </c>
    </row>
    <row collapsed="false" customFormat="false" customHeight="false" hidden="false" ht="12.1" outlineLevel="0" r="8026">
      <c r="A8026" s="3" t="s">
        <f>=HYPERLINK("https://mp39851918.megaplan.ua/deals/135313/card/","23236")</f>
      </c>
      <c r="B8026" s="3" t="inlineStr">
        <is>
          <t>111-2195060-8726660</t>
        </is>
      </c>
      <c r="C8026" s="3" t="inlineStr">
        <is>
          <t>Autodist</t>
        </is>
      </c>
    </row>
    <row collapsed="false" customFormat="false" customHeight="false" hidden="false" ht="12.1" outlineLevel="0" r="8027">
      <c r="A8027" s="3" t="s">
        <f>=HYPERLINK("https://mp39851918.megaplan.ua/deals/135319/card/","23237")</f>
      </c>
      <c r="B8027" s="3" t="inlineStr">
        <is>
          <t>114-1142839-7408218</t>
        </is>
      </c>
      <c r="C8027" s="3" t="inlineStr">
        <is>
          <t>Autodist</t>
        </is>
      </c>
    </row>
    <row collapsed="false" customFormat="false" customHeight="false" hidden="false" ht="12.1" outlineLevel="0" r="8028">
      <c r="A8028" s="3" t="s">
        <f>=HYPERLINK("https://mp39851918.megaplan.ua/deals/135323/card/","23239")</f>
      </c>
      <c r="B8028" s="3" t="inlineStr">
        <is>
          <t>111-0952071-2190660</t>
        </is>
      </c>
      <c r="C8028" s="3" t="inlineStr">
        <is>
          <t>RockyMountain</t>
        </is>
      </c>
    </row>
    <row collapsed="false" customFormat="false" customHeight="false" hidden="false" ht="12.1" outlineLevel="0" r="8029">
      <c r="A8029" s="3" t="s">
        <f>=HYPERLINK("https://mp39851918.megaplan.ua/deals/135324/card/","23240")</f>
      </c>
      <c r="B8029" s="3" t="inlineStr">
        <is>
          <t>112-7862458-1453034</t>
        </is>
      </c>
      <c r="C8029" s="3" t="inlineStr">
        <is>
          <t>RockyMountain</t>
        </is>
      </c>
    </row>
    <row collapsed="false" customFormat="false" customHeight="false" hidden="false" ht="12.1" outlineLevel="0" r="8030">
      <c r="A8030" s="3" t="s">
        <f>=HYPERLINK("https://mp39851918.megaplan.ua/deals/135328/card/","23241")</f>
      </c>
      <c r="B8030" s="3" t="inlineStr">
        <is>
          <t>111-3260324-6498664</t>
        </is>
      </c>
      <c r="C8030" s="3" t="inlineStr">
        <is>
          <t>RockyMountain</t>
        </is>
      </c>
    </row>
    <row collapsed="false" customFormat="false" customHeight="false" hidden="false" ht="12.1" outlineLevel="0" r="8031">
      <c r="A8031" s="3" t="s">
        <f>=HYPERLINK("https://mp39851918.megaplan.ua/deals/135336/card/","23242")</f>
      </c>
      <c r="B8031" s="3" t="inlineStr">
        <is>
          <t>114-0535367-1914660</t>
        </is>
      </c>
      <c r="C8031" s="3" t="inlineStr">
        <is>
          <t>Autodist</t>
        </is>
      </c>
    </row>
    <row collapsed="false" customFormat="false" customHeight="false" hidden="false" ht="12.1" outlineLevel="0" r="8032">
      <c r="A8032" s="3" t="s">
        <f>=HYPERLINK("https://mp39851918.megaplan.ua/deals/135338/card/","23243")</f>
      </c>
      <c r="B8032" s="3" t="inlineStr">
        <is>
          <t>111-3853250-2367443</t>
        </is>
      </c>
      <c r="C8032" s="3" t="inlineStr">
        <is>
          <t>RockyMountain</t>
        </is>
      </c>
    </row>
    <row collapsed="false" customFormat="false" customHeight="false" hidden="false" ht="12.1" outlineLevel="0" r="8033">
      <c r="A8033" s="3" t="s">
        <f>=HYPERLINK("https://mp39851918.megaplan.ua/deals/135346/card/","23245")</f>
      </c>
      <c r="B8033" s="3" t="inlineStr">
        <is>
          <t>114-5095297-4493822</t>
        </is>
      </c>
      <c r="C8033" s="3" t="inlineStr">
        <is>
          <t>RockyMountain</t>
        </is>
      </c>
    </row>
    <row collapsed="false" customFormat="false" customHeight="false" hidden="false" ht="12.1" outlineLevel="0" r="8034">
      <c r="A8034" s="3" t="s">
        <f>=HYPERLINK("https://mp39851918.megaplan.ua/deals/135355/card/","23246")</f>
      </c>
      <c r="B8034" s="3" t="inlineStr">
        <is>
          <t>114-1316590-8663422</t>
        </is>
      </c>
      <c r="C8034" s="3" t="inlineStr">
        <is>
          <t>PartsUnlimited</t>
        </is>
      </c>
    </row>
    <row collapsed="false" customFormat="false" customHeight="false" hidden="false" ht="12.1" outlineLevel="0" r="8035">
      <c r="A8035" s="3" t="s">
        <f>=HYPERLINK("https://mp39851918.megaplan.ua/deals/135360/card/","23247")</f>
      </c>
      <c r="B8035" s="3" t="inlineStr">
        <is>
          <t>111-6235998-7889012</t>
        </is>
      </c>
      <c r="C8035" s="3" t="inlineStr">
        <is>
          <t>TuckerRocky</t>
        </is>
      </c>
    </row>
    <row collapsed="false" customFormat="false" customHeight="false" hidden="false" ht="12.1" outlineLevel="0" r="8036">
      <c r="A8036" s="3" t="s">
        <f>=HYPERLINK("https://mp39851918.megaplan.ua/deals/135374/card/","23248")</f>
      </c>
      <c r="B8036" s="3" t="inlineStr">
        <is>
          <t>113-0898700-9071443</t>
        </is>
      </c>
      <c r="C8036" s="3" t="inlineStr">
        <is>
          <t>RockyMountain</t>
        </is>
      </c>
    </row>
    <row collapsed="false" customFormat="false" customHeight="false" hidden="false" ht="12.1" outlineLevel="0" r="8037">
      <c r="A8037" s="3" t="s">
        <f>=HYPERLINK("https://mp39851918.megaplan.ua/deals/135380/card/","23249")</f>
      </c>
      <c r="B8037" s="3" t="inlineStr">
        <is>
          <t>112-1307379-7238630</t>
        </is>
      </c>
      <c r="C8037" s="3" t="inlineStr">
        <is>
          <t>PartsUnlimited</t>
        </is>
      </c>
    </row>
    <row collapsed="false" customFormat="false" customHeight="false" hidden="false" ht="12.1" outlineLevel="0" r="8038">
      <c r="A8038" s="3" t="s">
        <f>=HYPERLINK("https://mp39851918.megaplan.ua/deals/135383/card/","23250")</f>
      </c>
      <c r="B8038" s="3" t="inlineStr">
        <is>
          <t>113-2898115-1629835</t>
        </is>
      </c>
      <c r="C8038" s="3" t="inlineStr">
        <is>
          <t>Autodist</t>
        </is>
      </c>
    </row>
    <row collapsed="false" customFormat="false" customHeight="false" hidden="false" ht="12.1" outlineLevel="0" r="8039">
      <c r="A8039" s="3" t="s">
        <f>=HYPERLINK("https://mp39851918.megaplan.ua/deals/135387/card/","23251")</f>
      </c>
      <c r="B8039" s="3" t="inlineStr">
        <is>
          <t>112-0807718-2188242</t>
        </is>
      </c>
      <c r="C8039" s="3" t="inlineStr">
        <is>
          <t>RockyMountain</t>
        </is>
      </c>
    </row>
    <row collapsed="false" customFormat="false" customHeight="false" hidden="false" ht="12.1" outlineLevel="0" r="8040">
      <c r="A8040" s="3" t="s">
        <f>=HYPERLINK("https://mp39851918.megaplan.ua/deals/135405/card/","23253")</f>
      </c>
      <c r="B8040" s="3" t="inlineStr">
        <is>
          <t>112-1189059-5714654</t>
        </is>
      </c>
      <c r="C8040" s="3" t="inlineStr">
        <is>
          <t>Autodist</t>
        </is>
      </c>
    </row>
    <row collapsed="false" customFormat="false" customHeight="false" hidden="false" ht="12.1" outlineLevel="0" r="8041">
      <c r="A8041" s="3" t="s">
        <f>=HYPERLINK("https://mp39851918.megaplan.ua/deals/135406/card/","23254")</f>
      </c>
      <c r="B8041" s="3" t="inlineStr">
        <is>
          <t>112-5082324-3082606</t>
        </is>
      </c>
      <c r="C8041" s="3" t="inlineStr">
        <is>
          <t>Autodist</t>
        </is>
      </c>
    </row>
    <row collapsed="false" customFormat="false" customHeight="false" hidden="false" ht="12.1" outlineLevel="0" r="8042">
      <c r="A8042" s="3" t="s">
        <f>=HYPERLINK("https://mp39851918.megaplan.ua/deals/135408/card/","23255")</f>
      </c>
      <c r="B8042" s="3" t="inlineStr">
        <is>
          <t>111-0404679-1150646</t>
        </is>
      </c>
      <c r="C8042" s="3" t="inlineStr">
        <is>
          <t>TuckerRocky</t>
        </is>
      </c>
    </row>
    <row collapsed="false" customFormat="false" customHeight="false" hidden="false" ht="12.1" outlineLevel="0" r="8043">
      <c r="A8043" s="3" t="s">
        <f>=HYPERLINK("https://mp39851918.megaplan.ua/deals/135409/card/","23256")</f>
      </c>
      <c r="B8043" s="3" t="inlineStr">
        <is>
          <t>113-9627041-4117821</t>
        </is>
      </c>
      <c r="C8043" s="3" t="inlineStr">
        <is>
          <t>RockyMountain</t>
        </is>
      </c>
    </row>
    <row collapsed="false" customFormat="false" customHeight="false" hidden="false" ht="12.1" outlineLevel="0" r="8044">
      <c r="A8044" s="3" t="s">
        <f>=HYPERLINK("https://mp39851918.megaplan.ua/deals/135429/card/","23258")</f>
      </c>
      <c r="B8044" s="3" t="inlineStr">
        <is>
          <t>113-1463454-2528214</t>
        </is>
      </c>
      <c r="C8044" s="3" t="inlineStr">
        <is>
          <t>PartsUnlimited</t>
        </is>
      </c>
    </row>
    <row collapsed="false" customFormat="false" customHeight="false" hidden="false" ht="12.1" outlineLevel="0" r="8045">
      <c r="A8045" s="3" t="s">
        <f>=HYPERLINK("https://mp39851918.megaplan.ua/deals/135430/card/","23259")</f>
      </c>
      <c r="B8045" s="3" t="inlineStr">
        <is>
          <t>114-8516688-1713028</t>
        </is>
      </c>
      <c r="C8045" s="3" t="inlineStr">
        <is>
          <t>PartsUnlimited</t>
        </is>
      </c>
    </row>
    <row collapsed="false" customFormat="false" customHeight="false" hidden="false" ht="12.1" outlineLevel="0" r="8046">
      <c r="A8046" s="3" t="s">
        <f>=HYPERLINK("https://mp39851918.megaplan.ua/deals/135431/card/","23260")</f>
      </c>
      <c r="B8046" s="3" t="inlineStr">
        <is>
          <t>114-5196776-4080243</t>
        </is>
      </c>
      <c r="C8046" s="3" t="inlineStr">
        <is>
          <t>RockyMountain</t>
        </is>
      </c>
    </row>
    <row collapsed="false" customFormat="false" customHeight="false" hidden="false" ht="12.1" outlineLevel="0" r="8047">
      <c r="A8047" s="3" t="s">
        <f>=HYPERLINK("https://mp39851918.megaplan.ua/deals/135432/card/","23261")</f>
      </c>
      <c r="B8047" s="3" t="inlineStr">
        <is>
          <t>114-3909635-0630667</t>
        </is>
      </c>
      <c r="C8047" s="3" t="inlineStr">
        <is>
          <t>Autodist</t>
        </is>
      </c>
    </row>
    <row collapsed="false" customFormat="false" customHeight="false" hidden="false" ht="12.1" outlineLevel="0" r="8048">
      <c r="A8048" s="3" t="s">
        <f>=HYPERLINK("https://mp39851918.megaplan.ua/deals/135440/card/","23262")</f>
      </c>
      <c r="B8048" s="3" t="inlineStr">
        <is>
          <t>112-0488837-9304215</t>
        </is>
      </c>
      <c r="C8048" s="3" t="inlineStr">
        <is>
          <t>PartsUnlimited</t>
        </is>
      </c>
    </row>
    <row collapsed="false" customFormat="false" customHeight="false" hidden="false" ht="12.1" outlineLevel="0" r="8049">
      <c r="A8049" s="3" t="s">
        <f>=HYPERLINK("https://mp39851918.megaplan.ua/deals/135441/card/","23263")</f>
      </c>
      <c r="B8049" s="3" t="inlineStr">
        <is>
          <t>112-5702718-5072225</t>
        </is>
      </c>
      <c r="C8049" s="3" t="inlineStr">
        <is>
          <t>RockyMountain</t>
        </is>
      </c>
    </row>
    <row collapsed="false" customFormat="false" customHeight="false" hidden="false" ht="12.1" outlineLevel="0" r="8050">
      <c r="A8050" s="3" t="s">
        <f>=HYPERLINK("https://mp39851918.megaplan.ua/deals/135450/card/","23265")</f>
      </c>
      <c r="B8050" s="3" t="inlineStr">
        <is>
          <t>112-7115092-7663418</t>
        </is>
      </c>
      <c r="C8050" s="3" t="inlineStr">
        <is>
          <t>RockyMountain</t>
        </is>
      </c>
    </row>
    <row collapsed="false" customFormat="false" customHeight="false" hidden="false" ht="12.1" outlineLevel="0" r="8051">
      <c r="A8051" s="3" t="s">
        <f>=HYPERLINK("https://mp39851918.megaplan.ua/deals/135451/card/","23266")</f>
      </c>
      <c r="B8051" s="3" t="inlineStr">
        <is>
          <t>111-1697969-3856212</t>
        </is>
      </c>
      <c r="C8051" s="3" t="inlineStr">
        <is>
          <t>RockyMountain</t>
        </is>
      </c>
    </row>
    <row collapsed="false" customFormat="false" customHeight="false" hidden="false" ht="12.1" outlineLevel="0" r="8052">
      <c r="A8052" s="3" t="s">
        <f>=HYPERLINK("https://mp39851918.megaplan.ua/deals/135472/card/","23267")</f>
      </c>
      <c r="B8052" s="3" t="inlineStr">
        <is>
          <t>113-9397817-4035404</t>
        </is>
      </c>
      <c r="C8052" s="3" t="inlineStr">
        <is>
          <t>RockyMountain</t>
        </is>
      </c>
    </row>
    <row collapsed="false" customFormat="false" customHeight="false" hidden="false" ht="12.1" outlineLevel="0" r="8053">
      <c r="A8053" s="3" t="s">
        <f>=HYPERLINK("https://mp39851918.megaplan.ua/deals/135475/card/","23268")</f>
      </c>
      <c r="B8053" s="3" t="inlineStr">
        <is>
          <t>113-8773211-3108234</t>
        </is>
      </c>
      <c r="C8053" s="3" t="inlineStr">
        <is>
          <t>Autodist</t>
        </is>
      </c>
    </row>
    <row collapsed="false" customFormat="false" customHeight="false" hidden="false" ht="12.1" outlineLevel="0" r="8054">
      <c r="A8054" s="3" t="s">
        <f>=HYPERLINK("https://mp39851918.megaplan.ua/deals/135481/card/","23269")</f>
      </c>
      <c r="B8054" s="3" t="inlineStr">
        <is>
          <t>114-6244261-3006605</t>
        </is>
      </c>
      <c r="C8054" s="3" t="inlineStr">
        <is>
          <t>TuckerRocky</t>
        </is>
      </c>
    </row>
    <row collapsed="false" customFormat="false" customHeight="false" hidden="false" ht="12.1" outlineLevel="0" r="8055">
      <c r="A8055" s="3" t="s">
        <f>=HYPERLINK("https://mp39851918.megaplan.ua/deals/135484/card/","23270")</f>
      </c>
      <c r="B8055" s="3" t="inlineStr">
        <is>
          <t>114-9464009-4382633</t>
        </is>
      </c>
      <c r="C8055" s="3" t="inlineStr">
        <is>
          <t>Autodist</t>
        </is>
      </c>
    </row>
    <row collapsed="false" customFormat="false" customHeight="false" hidden="false" ht="12.1" outlineLevel="0" r="8056">
      <c r="A8056" s="3" t="s">
        <f>=HYPERLINK("https://mp39851918.megaplan.ua/deals/135491/card/","23272")</f>
      </c>
      <c r="B8056" s="3" t="inlineStr">
        <is>
          <t>111-4057453-1721826</t>
        </is>
      </c>
      <c r="C8056" s="3" t="inlineStr">
        <is>
          <t>TuckerRocky</t>
        </is>
      </c>
    </row>
    <row collapsed="false" customFormat="false" customHeight="false" hidden="false" ht="12.1" outlineLevel="0" r="8057">
      <c r="A8057" s="3" t="s">
        <f>=HYPERLINK("https://mp39851918.megaplan.ua/deals/135498/card/","23273")</f>
      </c>
      <c r="B8057" s="3" t="inlineStr">
        <is>
          <t>112-3149727-5038663</t>
        </is>
      </c>
      <c r="C8057" s="3" t="inlineStr">
        <is>
          <t>PartsUnlimited</t>
        </is>
      </c>
    </row>
    <row collapsed="false" customFormat="false" customHeight="false" hidden="false" ht="12.1" outlineLevel="0" r="8058">
      <c r="A8058" s="3" t="s">
        <f>=HYPERLINK("https://mp39851918.megaplan.ua/deals/135499/card/","23274")</f>
      </c>
      <c r="B8058" s="3" t="inlineStr">
        <is>
          <t>113-5317767-9125037</t>
        </is>
      </c>
      <c r="C8058" s="3" t="inlineStr">
        <is>
          <t>PartsUnlimited</t>
        </is>
      </c>
    </row>
    <row collapsed="false" customFormat="false" customHeight="false" hidden="false" ht="12.1" outlineLevel="0" r="8059">
      <c r="A8059" s="3" t="s">
        <f>=HYPERLINK("https://mp39851918.megaplan.ua/deals/135500/card/","23275")</f>
      </c>
      <c r="B8059" s="3" t="inlineStr">
        <is>
          <t>113-0095410-1098632</t>
        </is>
      </c>
      <c r="C8059" s="3" t="inlineStr">
        <is>
          <t>RockyMountain</t>
        </is>
      </c>
    </row>
    <row collapsed="false" customFormat="false" customHeight="false" hidden="false" ht="12.1" outlineLevel="0" r="8060">
      <c r="A8060" s="3" t="s">
        <f>=HYPERLINK("https://mp39851918.megaplan.ua/deals/135516/card/","23276")</f>
      </c>
      <c r="B8060" s="3" t="inlineStr">
        <is>
          <t>113-5776024-0857815</t>
        </is>
      </c>
      <c r="C8060" s="3" t="inlineStr">
        <is>
          <t>PartsUnlimited</t>
        </is>
      </c>
    </row>
    <row collapsed="false" customFormat="false" customHeight="false" hidden="false" ht="12.1" outlineLevel="0" r="8061">
      <c r="A8061" s="3" t="s">
        <f>=HYPERLINK("https://mp39851918.megaplan.ua/deals/135517/card/","23277")</f>
      </c>
      <c r="B8061" s="3" t="inlineStr">
        <is>
          <t>113-1320770-6229031</t>
        </is>
      </c>
      <c r="C8061" s="3" t="inlineStr">
        <is>
          <t>Autodist</t>
        </is>
      </c>
    </row>
    <row collapsed="false" customFormat="false" customHeight="false" hidden="false" ht="12.1" outlineLevel="0" r="8062">
      <c r="A8062" s="3" t="s">
        <f>=HYPERLINK("https://mp39851918.megaplan.ua/deals/135523/card/","23278")</f>
      </c>
      <c r="B8062" s="3" t="inlineStr">
        <is>
          <t>113-0451675-5006625</t>
        </is>
      </c>
      <c r="C8062" s="3" t="inlineStr">
        <is>
          <t>RockyMountain</t>
        </is>
      </c>
    </row>
    <row collapsed="false" customFormat="false" customHeight="false" hidden="false" ht="12.1" outlineLevel="0" r="8063">
      <c r="A8063" s="3" t="s">
        <f>=HYPERLINK("https://mp39851918.megaplan.ua/deals/135527/card/","23280")</f>
      </c>
      <c r="B8063" s="3" t="inlineStr">
        <is>
          <t>113-2815355-1230663</t>
        </is>
      </c>
      <c r="C8063" s="3" t="inlineStr">
        <is>
          <t>PartsUnlimited</t>
        </is>
      </c>
    </row>
    <row collapsed="false" customFormat="false" customHeight="false" hidden="false" ht="12.1" outlineLevel="0" r="8064">
      <c r="A8064" s="3" t="s">
        <f>=HYPERLINK("https://mp39851918.megaplan.ua/deals/135532/card/","23281")</f>
      </c>
      <c r="B8064" s="3" t="inlineStr">
        <is>
          <t>114-5953090-5298606</t>
        </is>
      </c>
      <c r="C8064" s="3" t="inlineStr">
        <is>
          <t>RockyMountain</t>
        </is>
      </c>
    </row>
    <row collapsed="false" customFormat="false" customHeight="false" hidden="false" ht="12.1" outlineLevel="0" r="8065">
      <c r="A8065" s="3" t="s">
        <f>=HYPERLINK("https://mp39851918.megaplan.ua/deals/135537/card/","23282")</f>
      </c>
      <c r="B8065" s="3" t="inlineStr">
        <is>
          <t>111-8558259-8765808</t>
        </is>
      </c>
      <c r="C8065" s="3" t="inlineStr">
        <is>
          <t>PartsUnlimited</t>
        </is>
      </c>
    </row>
    <row collapsed="false" customFormat="false" customHeight="false" hidden="false" ht="12.1" outlineLevel="0" r="8066">
      <c r="A8066" s="3" t="s">
        <f>=HYPERLINK("https://mp39851918.megaplan.ua/deals/135544/card/","23284")</f>
      </c>
      <c r="B8066" s="3" t="inlineStr">
        <is>
          <t>113-1244511-4175451</t>
        </is>
      </c>
      <c r="C8066" s="3" t="inlineStr">
        <is>
          <t>Autodist</t>
        </is>
      </c>
    </row>
    <row collapsed="false" customFormat="false" customHeight="false" hidden="false" ht="12.1" outlineLevel="0" r="8067">
      <c r="A8067" s="3" t="s">
        <f>=HYPERLINK("https://mp39851918.megaplan.ua/deals/135547/card/","23285")</f>
      </c>
      <c r="B8067" s="3" t="inlineStr">
        <is>
          <t>112-5645678-7333004</t>
        </is>
      </c>
      <c r="C8067" s="3" t="inlineStr">
        <is>
          <t>RockyMountain</t>
        </is>
      </c>
    </row>
    <row collapsed="false" customFormat="false" customHeight="false" hidden="false" ht="12.1" outlineLevel="0" r="8068">
      <c r="A8068" s="3" t="s">
        <f>=HYPERLINK("https://mp39851918.megaplan.ua/deals/135553/card/","23286")</f>
      </c>
      <c r="B8068" s="3" t="inlineStr">
        <is>
          <t>112-3721987-5621800</t>
        </is>
      </c>
      <c r="C8068" s="3" t="inlineStr">
        <is>
          <t>RockyMountain</t>
        </is>
      </c>
    </row>
    <row collapsed="false" customFormat="false" customHeight="false" hidden="false" ht="12.1" outlineLevel="0" r="8069">
      <c r="A8069" s="3" t="s">
        <f>=HYPERLINK("https://mp39851918.megaplan.ua/deals/135554/card/","23287")</f>
      </c>
      <c r="B8069" s="3" t="inlineStr">
        <is>
          <t>114-3335712-7911438</t>
        </is>
      </c>
      <c r="C8069" s="3" t="inlineStr">
        <is>
          <t>PartsUnlimited</t>
        </is>
      </c>
    </row>
    <row collapsed="false" customFormat="false" customHeight="false" hidden="false" ht="12.1" outlineLevel="0" r="8070">
      <c r="A8070" s="3" t="s">
        <f>=HYPERLINK("https://mp39851918.megaplan.ua/deals/135556/card/","23288")</f>
      </c>
      <c r="B8070" s="3" t="inlineStr">
        <is>
          <t>112-6418846-1292252</t>
        </is>
      </c>
      <c r="C8070" s="3" t="inlineStr">
        <is>
          <t>RockyMountain</t>
        </is>
      </c>
    </row>
    <row collapsed="false" customFormat="false" customHeight="false" hidden="false" ht="12.1" outlineLevel="0" r="8071">
      <c r="A8071" s="3" t="s">
        <f>=HYPERLINK("https://mp39851918.megaplan.ua/deals/135557/card/","23289")</f>
      </c>
      <c r="B8071" s="3" t="inlineStr">
        <is>
          <t>111-8194325-1901040</t>
        </is>
      </c>
      <c r="C8071" s="3" t="inlineStr">
        <is>
          <t>PartsUnlimited</t>
        </is>
      </c>
    </row>
    <row collapsed="false" customFormat="false" customHeight="false" hidden="false" ht="12.1" outlineLevel="0" r="8072">
      <c r="A8072" s="3" t="s">
        <f>=HYPERLINK("https://mp39851918.megaplan.ua/deals/135568/card/","23291")</f>
      </c>
      <c r="B8072" s="3" t="inlineStr">
        <is>
          <t>113-1789128-8895426</t>
        </is>
      </c>
      <c r="C8072" s="3" t="inlineStr">
        <is>
          <t>PartsUnlimited</t>
        </is>
      </c>
    </row>
    <row collapsed="false" customFormat="false" customHeight="false" hidden="false" ht="12.1" outlineLevel="0" r="8073">
      <c r="A8073" s="3" t="s">
        <f>=HYPERLINK("https://mp39851918.megaplan.ua/deals/135573/card/","23292")</f>
      </c>
      <c r="B8073" s="3" t="inlineStr">
        <is>
          <t>113-5624089-7912227</t>
        </is>
      </c>
      <c r="C8073" s="3" t="inlineStr">
        <is>
          <t>Autodist</t>
        </is>
      </c>
    </row>
    <row collapsed="false" customFormat="false" customHeight="false" hidden="false" ht="12.1" outlineLevel="0" r="8074">
      <c r="A8074" s="3" t="s">
        <f>=HYPERLINK("https://mp39851918.megaplan.ua/deals/135574/card/","23293")</f>
      </c>
      <c r="B8074" s="3" t="inlineStr">
        <is>
          <t>114-0361647-3110608</t>
        </is>
      </c>
      <c r="C8074" s="3" t="inlineStr">
        <is>
          <t>PartsUnlimited</t>
        </is>
      </c>
    </row>
    <row collapsed="false" customFormat="false" customHeight="false" hidden="false" ht="12.1" outlineLevel="0" r="8075">
      <c r="A8075" s="3" t="s">
        <f>=HYPERLINK("https://mp39851918.megaplan.ua/deals/135575/card/","23294")</f>
      </c>
      <c r="B8075" s="3" t="inlineStr">
        <is>
          <t>111-1254208-1966668</t>
        </is>
      </c>
      <c r="C8075" s="3" t="inlineStr">
        <is>
          <t>TuckerRocky</t>
        </is>
      </c>
    </row>
    <row collapsed="false" customFormat="false" customHeight="false" hidden="false" ht="12.1" outlineLevel="0" r="8076">
      <c r="A8076" s="3" t="s">
        <f>=HYPERLINK("https://mp39851918.megaplan.ua/deals/135578/card/","23295")</f>
      </c>
      <c r="B8076" s="3" t="inlineStr">
        <is>
          <t>113-9587814-9887406</t>
        </is>
      </c>
      <c r="C8076" s="3" t="inlineStr">
        <is>
          <t>TuckerRocky</t>
        </is>
      </c>
    </row>
    <row collapsed="false" customFormat="false" customHeight="false" hidden="false" ht="12.1" outlineLevel="0" r="8077">
      <c r="A8077" s="3" t="s">
        <f>=HYPERLINK("https://mp39851918.megaplan.ua/deals/135580/card/","23296")</f>
      </c>
      <c r="B8077" s="3" t="inlineStr">
        <is>
          <t>114-9866076-4719468</t>
        </is>
      </c>
      <c r="C8077" s="3" t="inlineStr">
        <is>
          <t>TuckerRocky</t>
        </is>
      </c>
    </row>
    <row collapsed="false" customFormat="false" customHeight="false" hidden="false" ht="12.1" outlineLevel="0" r="8078">
      <c r="A8078" s="3" t="s">
        <f>=HYPERLINK("https://mp39851918.megaplan.ua/deals/135582/card/","23297")</f>
      </c>
      <c r="B8078" s="3" t="inlineStr">
        <is>
          <t>111-2879983-4703433</t>
        </is>
      </c>
      <c r="C8078" s="3" t="inlineStr">
        <is>
          <t>RockyMountain</t>
        </is>
      </c>
    </row>
    <row collapsed="false" customFormat="false" customHeight="false" hidden="false" ht="12.1" outlineLevel="0" r="8079">
      <c r="A8079" s="3" t="s">
        <f>=HYPERLINK("https://mp39851918.megaplan.ua/deals/135589/card/","23298")</f>
      </c>
      <c r="B8079" s="3" t="inlineStr">
        <is>
          <t>111-6560729-1568239</t>
        </is>
      </c>
      <c r="C8079" s="3" t="inlineStr">
        <is>
          <t>RockyMountain</t>
        </is>
      </c>
    </row>
    <row collapsed="false" customFormat="false" customHeight="false" hidden="false" ht="12.1" outlineLevel="0" r="8080">
      <c r="A8080" s="3" t="s">
        <f>=HYPERLINK("https://mp39851918.megaplan.ua/deals/135607/card/","23302")</f>
      </c>
      <c r="B8080" s="3" t="inlineStr">
        <is>
          <t>113-7816931-9854654</t>
        </is>
      </c>
      <c r="C8080" s="3" t="inlineStr">
        <is>
          <t>RockyMountain</t>
        </is>
      </c>
    </row>
    <row collapsed="false" customFormat="false" customHeight="false" hidden="false" ht="12.1" outlineLevel="0" r="8081">
      <c r="A8081" s="3" t="s">
        <f>=HYPERLINK("https://mp39851918.megaplan.ua/deals/135610/card/","23303")</f>
      </c>
      <c r="B8081" s="3" t="inlineStr">
        <is>
          <t>114-4654285-8039456</t>
        </is>
      </c>
      <c r="C8081" s="3" t="inlineStr">
        <is>
          <t>RockyMountain</t>
        </is>
      </c>
    </row>
    <row collapsed="false" customFormat="false" customHeight="false" hidden="false" ht="12.1" outlineLevel="0" r="8082">
      <c r="A8082" s="3" t="s">
        <f>=HYPERLINK("https://mp39851918.megaplan.ua/deals/135614/card/","23304")</f>
      </c>
      <c r="B8082" s="3" t="inlineStr">
        <is>
          <t>112-4570239-0526667</t>
        </is>
      </c>
      <c r="C8082" s="3" t="inlineStr">
        <is>
          <t>Autodist</t>
        </is>
      </c>
    </row>
    <row collapsed="false" customFormat="false" customHeight="false" hidden="false" ht="12.1" outlineLevel="0" r="8083">
      <c r="A8083" s="3" t="s">
        <f>=HYPERLINK("https://mp39851918.megaplan.ua/deals/135615/card/","23305")</f>
      </c>
      <c r="B8083" s="3" t="inlineStr">
        <is>
          <t>111-3692771-5088216</t>
        </is>
      </c>
      <c r="C8083" s="3" t="inlineStr">
        <is>
          <t>RockyMountain</t>
        </is>
      </c>
    </row>
    <row collapsed="false" customFormat="false" customHeight="false" hidden="false" ht="12.1" outlineLevel="0" r="8084">
      <c r="A8084" s="3" t="s">
        <f>=HYPERLINK("https://mp39851918.megaplan.ua/deals/135631/card/","23306")</f>
      </c>
      <c r="B8084" s="3" t="inlineStr">
        <is>
          <t>112-0151100-6679472</t>
        </is>
      </c>
      <c r="C8084" s="3" t="inlineStr">
        <is>
          <t>Autodist</t>
        </is>
      </c>
    </row>
    <row collapsed="false" customFormat="false" customHeight="false" hidden="false" ht="12.1" outlineLevel="0" r="8085">
      <c r="A8085" s="3" t="s">
        <f>=HYPERLINK("https://mp39851918.megaplan.ua/deals/135642/card/","23307")</f>
      </c>
      <c r="B8085" s="3" t="inlineStr">
        <is>
          <t>114-1929609-4585847</t>
        </is>
      </c>
      <c r="C8085" s="3" t="inlineStr">
        <is>
          <t>TuckerRocky</t>
        </is>
      </c>
    </row>
    <row collapsed="false" customFormat="false" customHeight="false" hidden="false" ht="12.1" outlineLevel="0" r="8086">
      <c r="A8086" s="3" t="s">
        <f>=HYPERLINK("https://mp39851918.megaplan.ua/deals/135648/card/","23308")</f>
      </c>
      <c r="B8086" s="3" t="inlineStr">
        <is>
          <t>112-2300726-3029051</t>
        </is>
      </c>
      <c r="C8086" s="3" t="inlineStr">
        <is>
          <t>RockyMountain</t>
        </is>
      </c>
    </row>
    <row collapsed="false" customFormat="false" customHeight="false" hidden="false" ht="12.1" outlineLevel="0" r="8087">
      <c r="A8087" s="3" t="s">
        <f>=HYPERLINK("https://mp39851918.megaplan.ua/deals/135659/card/","23309")</f>
      </c>
      <c r="B8087" s="3" t="inlineStr">
        <is>
          <t>111-8246239-3346630</t>
        </is>
      </c>
      <c r="C8087" s="3" t="inlineStr">
        <is>
          <t>RockyMountain</t>
        </is>
      </c>
    </row>
    <row collapsed="false" customFormat="false" customHeight="false" hidden="false" ht="12.1" outlineLevel="0" r="8088">
      <c r="A8088" s="3" t="s">
        <f>=HYPERLINK("https://mp39851918.megaplan.ua/deals/135668/card/","23310")</f>
      </c>
      <c r="B8088" s="3" t="inlineStr">
        <is>
          <t>113-6234926-0770629</t>
        </is>
      </c>
      <c r="C8088" s="3" t="inlineStr">
        <is>
          <t>TuckerRocky</t>
        </is>
      </c>
    </row>
    <row collapsed="false" customFormat="false" customHeight="false" hidden="false" ht="12.1" outlineLevel="0" r="8089">
      <c r="A8089" s="3" t="s">
        <f>=HYPERLINK("https://mp39851918.megaplan.ua/deals/135679/card/","23311")</f>
      </c>
      <c r="B8089" s="3" t="inlineStr">
        <is>
          <t>114-1643768-2480225</t>
        </is>
      </c>
      <c r="C8089" s="3" t="inlineStr">
        <is>
          <t>RockyMountain</t>
        </is>
      </c>
    </row>
    <row collapsed="false" customFormat="false" customHeight="false" hidden="false" ht="12.1" outlineLevel="0" r="8090">
      <c r="A8090" s="3" t="s">
        <f>=HYPERLINK("https://mp39851918.megaplan.ua/deals/135694/card/","23312")</f>
      </c>
      <c r="B8090" s="3" t="inlineStr">
        <is>
          <t>113-1771748-8453020</t>
        </is>
      </c>
      <c r="C8090" s="3" t="inlineStr">
        <is>
          <t>RockyMountain</t>
        </is>
      </c>
    </row>
    <row collapsed="false" customFormat="false" customHeight="false" hidden="false" ht="12.1" outlineLevel="0" r="8091">
      <c r="A8091" s="3" t="s">
        <f>=HYPERLINK("https://mp39851918.megaplan.ua/deals/135696/card/","23313")</f>
      </c>
      <c r="B8091" s="3" t="inlineStr">
        <is>
          <t>111-7222609-5174636</t>
        </is>
      </c>
      <c r="C8091" s="3" t="inlineStr">
        <is>
          <t>TuckerRocky</t>
        </is>
      </c>
    </row>
    <row collapsed="false" customFormat="false" customHeight="false" hidden="false" ht="12.1" outlineLevel="0" r="8092">
      <c r="A8092" s="3" t="s">
        <f>=HYPERLINK("https://mp39851918.megaplan.ua/deals/135699/card/","23314")</f>
      </c>
      <c r="B8092" s="3" t="inlineStr">
        <is>
          <t>113-2261741-8001856</t>
        </is>
      </c>
      <c r="C8092" s="3" t="inlineStr">
        <is>
          <t>RockyMountain</t>
        </is>
      </c>
    </row>
    <row collapsed="false" customFormat="false" customHeight="false" hidden="false" ht="12.1" outlineLevel="0" r="8093">
      <c r="A8093" s="3" t="s">
        <f>=HYPERLINK("https://mp39851918.megaplan.ua/deals/135710/card/","23315")</f>
      </c>
      <c r="B8093" s="3" t="inlineStr">
        <is>
          <t>112-7835481-2590657</t>
        </is>
      </c>
      <c r="C8093" s="3" t="inlineStr">
        <is>
          <t>RockyMountain</t>
        </is>
      </c>
    </row>
    <row collapsed="false" customFormat="false" customHeight="false" hidden="false" ht="12.1" outlineLevel="0" r="8094">
      <c r="A8094" s="3" t="s">
        <f>=HYPERLINK("https://mp39851918.megaplan.ua/deals/135713/card/","23316")</f>
      </c>
      <c r="B8094" s="3" t="inlineStr">
        <is>
          <t>114-6463000-3336253</t>
        </is>
      </c>
      <c r="C8094" s="3" t="inlineStr">
        <is>
          <t>Autodist</t>
        </is>
      </c>
    </row>
    <row collapsed="false" customFormat="false" customHeight="false" hidden="false" ht="12.1" outlineLevel="0" r="8095">
      <c r="A8095" s="3" t="s">
        <f>=HYPERLINK("https://mp39851918.megaplan.ua/deals/135716/card/","23317")</f>
      </c>
      <c r="B8095" s="3" t="inlineStr">
        <is>
          <t>112-9952404-1559460</t>
        </is>
      </c>
      <c r="C8095" s="3" t="inlineStr">
        <is>
          <t>RockyMountain</t>
        </is>
      </c>
    </row>
    <row collapsed="false" customFormat="false" customHeight="false" hidden="false" ht="12.1" outlineLevel="0" r="8096">
      <c r="A8096" s="3" t="s">
        <f>=HYPERLINK("https://mp39851918.megaplan.ua/deals/135726/card/","23318")</f>
      </c>
      <c r="B8096" s="3" t="inlineStr">
        <is>
          <t>112-6183116-0837849</t>
        </is>
      </c>
      <c r="C8096" s="3" t="inlineStr">
        <is>
          <t>RockyMountain</t>
        </is>
      </c>
    </row>
    <row collapsed="false" customFormat="false" customHeight="false" hidden="false" ht="12.1" outlineLevel="0" r="8097">
      <c r="A8097" s="3" t="s">
        <f>=HYPERLINK("https://mp39851918.megaplan.ua/deals/135727/card/","23319")</f>
      </c>
      <c r="B8097" s="3" t="inlineStr">
        <is>
          <t>113-7757658-5909851</t>
        </is>
      </c>
      <c r="C8097" s="3" t="inlineStr">
        <is>
          <t>RockyMountain</t>
        </is>
      </c>
    </row>
    <row collapsed="false" customFormat="false" customHeight="false" hidden="false" ht="12.1" outlineLevel="0" r="8098">
      <c r="A8098" s="3" t="s">
        <f>=HYPERLINK("https://mp39851918.megaplan.ua/deals/135731/card/","23320")</f>
      </c>
      <c r="B8098" s="3" t="inlineStr">
        <is>
          <t>111-7986543-4154669</t>
        </is>
      </c>
      <c r="C8098" s="3" t="inlineStr">
        <is>
          <t>RockyMountain</t>
        </is>
      </c>
    </row>
    <row collapsed="false" customFormat="false" customHeight="false" hidden="false" ht="12.1" outlineLevel="0" r="8099">
      <c r="A8099" s="3" t="s">
        <f>=HYPERLINK("https://mp39851918.megaplan.ua/deals/135773/card/","23322")</f>
      </c>
      <c r="B8099" s="3" t="inlineStr">
        <is>
          <t>114-2222668-3956256</t>
        </is>
      </c>
      <c r="C8099" s="3" t="inlineStr">
        <is>
          <t>RockyMountain</t>
        </is>
      </c>
    </row>
    <row collapsed="false" customFormat="false" customHeight="false" hidden="false" ht="12.1" outlineLevel="0" r="8100">
      <c r="A8100" s="3" t="s">
        <f>=HYPERLINK("https://mp39851918.megaplan.ua/deals/135776/card/","23324")</f>
      </c>
      <c r="B8100" s="3" t="inlineStr">
        <is>
          <t>113-0309253-0975422</t>
        </is>
      </c>
      <c r="C8100" s="3" t="inlineStr">
        <is>
          <t>Autodist</t>
        </is>
      </c>
    </row>
    <row collapsed="false" customFormat="false" customHeight="false" hidden="false" ht="12.1" outlineLevel="0" r="8101">
      <c r="A8101" s="3" t="s">
        <f>=HYPERLINK("https://mp39851918.megaplan.ua/deals/135778/card/","23325")</f>
      </c>
      <c r="B8101" s="3" t="inlineStr">
        <is>
          <t>112-6579267-2461042</t>
        </is>
      </c>
      <c r="C8101" s="3" t="inlineStr">
        <is>
          <t>Autodist</t>
        </is>
      </c>
    </row>
    <row collapsed="false" customFormat="false" customHeight="false" hidden="false" ht="12.1" outlineLevel="0" r="8102">
      <c r="A8102" s="3" t="s">
        <f>=HYPERLINK("https://mp39851918.megaplan.ua/deals/135779/card/","23326")</f>
      </c>
      <c r="B8102" s="3" t="inlineStr">
        <is>
          <t>113-4439663-2509064</t>
        </is>
      </c>
      <c r="C8102" s="3" t="inlineStr">
        <is>
          <t>RockyMountain</t>
        </is>
      </c>
    </row>
    <row collapsed="false" customFormat="false" customHeight="false" hidden="false" ht="12.1" outlineLevel="0" r="8103">
      <c r="A8103" s="3" t="s">
        <f>=HYPERLINK("https://mp39851918.megaplan.ua/deals/135781/card/","23327")</f>
      </c>
      <c r="B8103" s="3" t="inlineStr">
        <is>
          <t>113-3803316-3073814</t>
        </is>
      </c>
      <c r="C8103" s="3" t="inlineStr">
        <is>
          <t>Autodist</t>
        </is>
      </c>
    </row>
    <row collapsed="false" customFormat="false" customHeight="false" hidden="false" ht="12.1" outlineLevel="0" r="8104">
      <c r="A8104" s="3" t="s">
        <f>=HYPERLINK("https://mp39851918.megaplan.ua/deals/135800/card/","23329")</f>
      </c>
      <c r="B8104" s="3" t="inlineStr">
        <is>
          <t>114-4946488-6773031</t>
        </is>
      </c>
      <c r="C8104" s="3" t="inlineStr">
        <is>
          <t>PartsUnlimited</t>
        </is>
      </c>
    </row>
    <row collapsed="false" customFormat="false" customHeight="false" hidden="false" ht="12.1" outlineLevel="0" r="8105">
      <c r="A8105" s="3" t="s">
        <f>=HYPERLINK("https://mp39851918.megaplan.ua/deals/135807/card/","23331")</f>
      </c>
      <c r="B8105" s="3" t="inlineStr">
        <is>
          <t>114-6862670-7218661</t>
        </is>
      </c>
      <c r="C8105" s="3" t="inlineStr">
        <is>
          <t>RockyMountain</t>
        </is>
      </c>
    </row>
    <row collapsed="false" customFormat="false" customHeight="false" hidden="false" ht="12.1" outlineLevel="0" r="8106">
      <c r="A8106" s="3" t="s">
        <f>=HYPERLINK("https://mp39851918.megaplan.ua/deals/135824/card/","23332")</f>
      </c>
      <c r="B8106" s="3" t="inlineStr">
        <is>
          <t>112-7607776-3650634</t>
        </is>
      </c>
      <c r="C8106" s="3" t="inlineStr">
        <is>
          <t>TuckerRocky</t>
        </is>
      </c>
    </row>
    <row collapsed="false" customFormat="false" customHeight="false" hidden="false" ht="12.1" outlineLevel="0" r="8107">
      <c r="A8107" s="3" t="s">
        <f>=HYPERLINK("https://mp39851918.megaplan.ua/deals/135832/card/","23333")</f>
      </c>
      <c r="B8107" s="3" t="inlineStr">
        <is>
          <t>112-0346868-7536265</t>
        </is>
      </c>
      <c r="C8107" s="3" t="inlineStr">
        <is>
          <t>RockyMountain</t>
        </is>
      </c>
    </row>
    <row collapsed="false" customFormat="false" customHeight="false" hidden="false" ht="12.1" outlineLevel="0" r="8108">
      <c r="A8108" s="3" t="s">
        <f>=HYPERLINK("https://mp39851918.megaplan.ua/deals/135839/card/","23334")</f>
      </c>
      <c r="B8108" s="3" t="inlineStr">
        <is>
          <t>112-3481855-9823449</t>
        </is>
      </c>
      <c r="C8108" s="3" t="inlineStr">
        <is>
          <t>Autodist</t>
        </is>
      </c>
    </row>
    <row collapsed="false" customFormat="false" customHeight="false" hidden="false" ht="12.1" outlineLevel="0" r="8109">
      <c r="A8109" s="3" t="s">
        <f>=HYPERLINK("https://mp39851918.megaplan.ua/deals/135849/card/","23335")</f>
      </c>
      <c r="B8109" s="3" t="inlineStr">
        <is>
          <t>113-6890653-3825003</t>
        </is>
      </c>
      <c r="C8109" s="3" t="inlineStr">
        <is>
          <t>TuckerRocky</t>
        </is>
      </c>
    </row>
    <row collapsed="false" customFormat="false" customHeight="false" hidden="false" ht="12.1" outlineLevel="0" r="8110">
      <c r="A8110" s="3" t="s">
        <f>=HYPERLINK("https://mp39851918.megaplan.ua/deals/135853/card/","23336")</f>
      </c>
      <c r="B8110" s="3" t="inlineStr">
        <is>
          <t>111-3046617-7661803</t>
        </is>
      </c>
      <c r="C8110" s="3" t="inlineStr">
        <is>
          <t>RockyMountain</t>
        </is>
      </c>
    </row>
    <row collapsed="false" customFormat="false" customHeight="false" hidden="false" ht="12.1" outlineLevel="0" r="8111">
      <c r="A8111" s="3" t="s">
        <f>=HYPERLINK("https://mp39851918.megaplan.ua/deals/135855/card/","23337")</f>
      </c>
      <c r="B8111" s="3" t="inlineStr">
        <is>
          <t>111-5054492-1083430</t>
        </is>
      </c>
      <c r="C8111" s="3" t="inlineStr">
        <is>
          <t>TuckerRocky</t>
        </is>
      </c>
    </row>
    <row collapsed="false" customFormat="false" customHeight="false" hidden="false" ht="12.1" outlineLevel="0" r="8112">
      <c r="A8112" s="3" t="s">
        <f>=HYPERLINK("https://mp39851918.megaplan.ua/deals/135863/card/","23338")</f>
      </c>
      <c r="B8112" s="3" t="inlineStr">
        <is>
          <t>111-3221427-9503466</t>
        </is>
      </c>
      <c r="C8112" s="3" t="inlineStr">
        <is>
          <t>Autodist</t>
        </is>
      </c>
    </row>
    <row collapsed="false" customFormat="false" customHeight="false" hidden="false" ht="12.1" outlineLevel="0" r="8113">
      <c r="A8113" s="3" t="s">
        <f>=HYPERLINK("https://mp39851918.megaplan.ua/deals/135879/card/","23340")</f>
      </c>
      <c r="B8113" s="3" t="inlineStr">
        <is>
          <t>111-2457496-1401024</t>
        </is>
      </c>
      <c r="C8113" s="3" t="inlineStr">
        <is>
          <t>PartsUnlimited</t>
        </is>
      </c>
    </row>
    <row collapsed="false" customFormat="false" customHeight="false" hidden="false" ht="12.1" outlineLevel="0" r="8114">
      <c r="A8114" s="3" t="s">
        <f>=HYPERLINK("https://mp39851918.megaplan.ua/deals/135888/card/","23342")</f>
      </c>
      <c r="B8114" s="3" t="inlineStr">
        <is>
          <t>112-9656045-7265813</t>
        </is>
      </c>
      <c r="C8114" s="3" t="inlineStr">
        <is>
          <t>Autodist</t>
        </is>
      </c>
    </row>
    <row collapsed="false" customFormat="false" customHeight="false" hidden="false" ht="12.1" outlineLevel="0" r="8115">
      <c r="A8115" s="3" t="s">
        <f>=HYPERLINK("https://mp39851918.megaplan.ua/deals/135893/card/","23343")</f>
      </c>
      <c r="B8115" s="3" t="inlineStr">
        <is>
          <t>112-3953133-7674612</t>
        </is>
      </c>
      <c r="C8115" s="3" t="inlineStr">
        <is>
          <t>RockyMountain</t>
        </is>
      </c>
    </row>
    <row collapsed="false" customFormat="false" customHeight="false" hidden="false" ht="12.1" outlineLevel="0" r="8116">
      <c r="A8116" s="3" t="s">
        <f>=HYPERLINK("https://mp39851918.megaplan.ua/deals/135902/card/","23346")</f>
      </c>
      <c r="B8116" s="3" t="inlineStr">
        <is>
          <t>113-6737013-1553046</t>
        </is>
      </c>
      <c r="C8116" s="3" t="inlineStr">
        <is>
          <t>Autodist</t>
        </is>
      </c>
    </row>
    <row collapsed="false" customFormat="false" customHeight="false" hidden="false" ht="12.1" outlineLevel="0" r="8117">
      <c r="A8117" s="3" t="s">
        <f>=HYPERLINK("https://mp39851918.megaplan.ua/deals/135911/card/","23348")</f>
      </c>
      <c r="B8117" s="3" t="inlineStr">
        <is>
          <t>114-0448890-6325062</t>
        </is>
      </c>
      <c r="C8117" s="3" t="inlineStr">
        <is>
          <t>TuckerRocky</t>
        </is>
      </c>
    </row>
    <row collapsed="false" customFormat="false" customHeight="false" hidden="false" ht="12.1" outlineLevel="0" r="8118">
      <c r="A8118" s="3" t="s">
        <f>=HYPERLINK("https://mp39851918.megaplan.ua/deals/135920/card/","23350")</f>
      </c>
      <c r="B8118" s="3" t="inlineStr">
        <is>
          <t>113-8044686-5957010</t>
        </is>
      </c>
      <c r="C8118" s="3" t="inlineStr">
        <is>
          <t>RockyMountain</t>
        </is>
      </c>
    </row>
    <row collapsed="false" customFormat="false" customHeight="false" hidden="false" ht="12.1" outlineLevel="0" r="8119">
      <c r="A8119" s="3" t="s">
        <f>=HYPERLINK("https://mp39851918.megaplan.ua/deals/135923/card/","23352")</f>
      </c>
      <c r="B8119" s="3" t="inlineStr">
        <is>
          <t>112-7915995-2300247</t>
        </is>
      </c>
      <c r="C8119" s="3" t="inlineStr">
        <is>
          <t>RockyMountain</t>
        </is>
      </c>
    </row>
    <row collapsed="false" customFormat="false" customHeight="false" hidden="false" ht="12.1" outlineLevel="0" r="8120">
      <c r="A8120" s="3" t="s">
        <f>=HYPERLINK("https://mp39851918.megaplan.ua/deals/135928/card/","23353")</f>
      </c>
      <c r="B8120" s="3" t="inlineStr">
        <is>
          <t>113-2472010-5931428</t>
        </is>
      </c>
      <c r="C8120" s="3" t="inlineStr">
        <is>
          <t>TuckerRocky</t>
        </is>
      </c>
    </row>
    <row collapsed="false" customFormat="false" customHeight="false" hidden="false" ht="12.1" outlineLevel="0" r="8121">
      <c r="A8121" s="3" t="s">
        <f>=HYPERLINK("https://mp39851918.megaplan.ua/deals/135931/card/","23354")</f>
      </c>
      <c r="B8121" s="3" t="inlineStr">
        <is>
          <t>113-4829201-1845016</t>
        </is>
      </c>
      <c r="C8121" s="3" t="inlineStr">
        <is>
          <t>TuckerRocky</t>
        </is>
      </c>
    </row>
    <row collapsed="false" customFormat="false" customHeight="false" hidden="false" ht="12.1" outlineLevel="0" r="8122">
      <c r="A8122" s="3" t="s">
        <f>=HYPERLINK("https://mp39851918.megaplan.ua/deals/135933/card/","23355")</f>
      </c>
      <c r="B8122" s="3" t="inlineStr">
        <is>
          <t>114-5619265-3120259</t>
        </is>
      </c>
      <c r="C8122" s="3" t="inlineStr">
        <is>
          <t>RockyMountain</t>
        </is>
      </c>
    </row>
    <row collapsed="false" customFormat="false" customHeight="false" hidden="false" ht="12.1" outlineLevel="0" r="8123">
      <c r="A8123" s="3" t="s">
        <f>=HYPERLINK("https://mp39851918.megaplan.ua/deals/135934/card/","23356")</f>
      </c>
      <c r="B8123" s="3" t="inlineStr">
        <is>
          <t>111-9497794-4223441</t>
        </is>
      </c>
      <c r="C8123" s="3" t="inlineStr">
        <is>
          <t>RockyMountain</t>
        </is>
      </c>
    </row>
    <row collapsed="false" customFormat="false" customHeight="false" hidden="false" ht="12.1" outlineLevel="0" r="8124">
      <c r="A8124" s="3" t="s">
        <f>=HYPERLINK("https://mp39851918.megaplan.ua/deals/135935/card/","23357")</f>
      </c>
      <c r="B8124" s="3" t="inlineStr">
        <is>
          <t>114-7894429-7393007</t>
        </is>
      </c>
      <c r="C8124" s="3" t="inlineStr">
        <is>
          <t>RockyMountain</t>
        </is>
      </c>
    </row>
    <row collapsed="false" customFormat="false" customHeight="false" hidden="false" ht="12.1" outlineLevel="0" r="8125">
      <c r="A8125" s="3" t="s">
        <f>=HYPERLINK("https://mp39851918.megaplan.ua/deals/135936/card/","23358")</f>
      </c>
      <c r="B8125" s="3" t="inlineStr">
        <is>
          <t>114-1878822-9174612</t>
        </is>
      </c>
      <c r="C8125" s="3" t="inlineStr">
        <is>
          <t>PartsUnlimited</t>
        </is>
      </c>
    </row>
    <row collapsed="false" customFormat="false" customHeight="false" hidden="false" ht="12.1" outlineLevel="0" r="8126">
      <c r="A8126" s="3" t="s">
        <f>=HYPERLINK("https://mp39851918.megaplan.ua/deals/135937/card/","23359")</f>
      </c>
      <c r="B8126" s="3" t="inlineStr">
        <is>
          <t>111-8638407-5964222</t>
        </is>
      </c>
      <c r="C8126" s="3" t="inlineStr">
        <is>
          <t>RockyMountain</t>
        </is>
      </c>
    </row>
    <row collapsed="false" customFormat="false" customHeight="false" hidden="false" ht="12.1" outlineLevel="0" r="8127">
      <c r="A8127" s="3" t="s">
        <f>=HYPERLINK("https://mp39851918.megaplan.ua/deals/135954/card/","23363")</f>
      </c>
      <c r="B8127" s="3" t="inlineStr">
        <is>
          <t>113-4905190-4212238</t>
        </is>
      </c>
      <c r="C8127" s="3" t="inlineStr">
        <is>
          <t>PartsUnlimited</t>
        </is>
      </c>
    </row>
    <row collapsed="false" customFormat="false" customHeight="false" hidden="false" ht="12.1" outlineLevel="0" r="8128">
      <c r="A8128" s="3" t="s">
        <f>=HYPERLINK("https://mp39851918.megaplan.ua/deals/135955/card/","23364")</f>
      </c>
      <c r="B8128" s="3" t="inlineStr">
        <is>
          <t>113-8861502-1514608</t>
        </is>
      </c>
      <c r="C8128" s="3" t="inlineStr">
        <is>
          <t>PartsUnlimited</t>
        </is>
      </c>
    </row>
    <row collapsed="false" customFormat="false" customHeight="false" hidden="false" ht="12.1" outlineLevel="0" r="8129">
      <c r="A8129" s="3" t="s">
        <f>=HYPERLINK("https://mp39851918.megaplan.ua/deals/135956/card/","23365")</f>
      </c>
      <c r="B8129" s="3" t="inlineStr">
        <is>
          <t>112-5149825-6744235</t>
        </is>
      </c>
      <c r="C8129" s="3" t="inlineStr">
        <is>
          <t>Autodist</t>
        </is>
      </c>
    </row>
    <row collapsed="false" customFormat="false" customHeight="false" hidden="false" ht="12.1" outlineLevel="0" r="8130">
      <c r="A8130" s="3" t="s">
        <f>=HYPERLINK("https://mp39851918.megaplan.ua/deals/135969/card/","23366")</f>
      </c>
      <c r="B8130" s="3" t="inlineStr">
        <is>
          <t>111-4291515-2945016</t>
        </is>
      </c>
      <c r="C8130" s="3" t="inlineStr">
        <is>
          <t>RockyMountain</t>
        </is>
      </c>
    </row>
    <row collapsed="false" customFormat="false" customHeight="false" hidden="false" ht="12.1" outlineLevel="0" r="8131">
      <c r="A8131" s="3" t="s">
        <f>=HYPERLINK("https://mp39851918.megaplan.ua/deals/135975/card/","23367")</f>
      </c>
      <c r="B8131" s="3" t="inlineStr">
        <is>
          <t>112-0933366-7150668</t>
        </is>
      </c>
      <c r="C8131" s="3" t="inlineStr">
        <is>
          <t>RockyMountain</t>
        </is>
      </c>
    </row>
    <row collapsed="false" customFormat="false" customHeight="false" hidden="false" ht="12.1" outlineLevel="0" r="8132">
      <c r="A8132" s="3" t="s">
        <f>=HYPERLINK("https://mp39851918.megaplan.ua/deals/135980/card/","23370")</f>
      </c>
      <c r="B8132" s="3" t="inlineStr">
        <is>
          <t>111-1660836-8720229</t>
        </is>
      </c>
      <c r="C8132" s="3" t="inlineStr">
        <is>
          <t>RockyMountain</t>
        </is>
      </c>
    </row>
    <row collapsed="false" customFormat="false" customHeight="false" hidden="false" ht="12.1" outlineLevel="0" r="8133">
      <c r="A8133" s="3" t="s">
        <f>=HYPERLINK("https://mp39851918.megaplan.ua/deals/135983/card/","23371")</f>
      </c>
      <c r="B8133" s="3" t="inlineStr">
        <is>
          <t>113-4761815-5330613</t>
        </is>
      </c>
      <c r="C8133" s="3" t="inlineStr">
        <is>
          <t>RockyMountain</t>
        </is>
      </c>
    </row>
    <row collapsed="false" customFormat="false" customHeight="false" hidden="false" ht="12.1" outlineLevel="0" r="8134">
      <c r="A8134" s="3" t="s">
        <f>=HYPERLINK("https://mp39851918.megaplan.ua/deals/135997/card/","23372")</f>
      </c>
      <c r="B8134" s="3" t="inlineStr">
        <is>
          <t>113-1484318-9442664</t>
        </is>
      </c>
      <c r="C8134" s="3" t="inlineStr">
        <is>
          <t>RockyMountain</t>
        </is>
      </c>
    </row>
    <row collapsed="false" customFormat="false" customHeight="false" hidden="false" ht="12.1" outlineLevel="0" r="8135">
      <c r="A8135" s="3" t="s">
        <f>=HYPERLINK("https://mp39851918.megaplan.ua/deals/135998/card/","23373")</f>
      </c>
      <c r="B8135" s="3" t="inlineStr">
        <is>
          <t>113-5322456-8150638</t>
        </is>
      </c>
      <c r="C8135" s="3" t="inlineStr">
        <is>
          <t>Autodist</t>
        </is>
      </c>
    </row>
    <row collapsed="false" customFormat="false" customHeight="false" hidden="false" ht="12.1" outlineLevel="0" r="8136">
      <c r="A8136" s="3" t="s">
        <f>=HYPERLINK("https://mp39851918.megaplan.ua/deals/135999/card/","23374")</f>
      </c>
      <c r="B8136" s="3" t="inlineStr">
        <is>
          <t>113-5104419-1497828</t>
        </is>
      </c>
      <c r="C8136" s="3" t="inlineStr">
        <is>
          <t>RockyMountain</t>
        </is>
      </c>
    </row>
    <row collapsed="false" customFormat="false" customHeight="false" hidden="false" ht="12.1" outlineLevel="0" r="8137">
      <c r="A8137" s="3" t="s">
        <f>=HYPERLINK("https://mp39851918.megaplan.ua/deals/136008/card/","23375")</f>
      </c>
      <c r="B8137" s="3" t="inlineStr">
        <is>
          <t>113-7471292-1304252</t>
        </is>
      </c>
      <c r="C8137" s="3" t="inlineStr">
        <is>
          <t>RockyMountain</t>
        </is>
      </c>
    </row>
    <row collapsed="false" customFormat="false" customHeight="false" hidden="false" ht="12.1" outlineLevel="0" r="8138">
      <c r="A8138" s="3" t="s">
        <f>=HYPERLINK("https://mp39851918.megaplan.ua/deals/136026/card/","23376")</f>
      </c>
      <c r="B8138" s="3" t="inlineStr">
        <is>
          <t>111-8944056-7397837</t>
        </is>
      </c>
      <c r="C8138" s="3" t="inlineStr">
        <is>
          <t>PartsUnlimited</t>
        </is>
      </c>
    </row>
    <row collapsed="false" customFormat="false" customHeight="false" hidden="false" ht="12.1" outlineLevel="0" r="8139">
      <c r="A8139" s="3" t="s">
        <f>=HYPERLINK("https://mp39851918.megaplan.ua/deals/136027/card/","23377")</f>
      </c>
      <c r="B8139" s="3" t="inlineStr">
        <is>
          <t>112-4565585-1313842</t>
        </is>
      </c>
      <c r="C8139" s="3" t="inlineStr">
        <is>
          <t>PartsUnlimited</t>
        </is>
      </c>
    </row>
    <row collapsed="false" customFormat="false" customHeight="false" hidden="false" ht="12.1" outlineLevel="0" r="8140">
      <c r="A8140" s="3" t="s">
        <f>=HYPERLINK("https://mp39851918.megaplan.ua/deals/136035/card/","23379")</f>
      </c>
      <c r="B8140" s="3" t="inlineStr">
        <is>
          <t>111-5400786-1578621</t>
        </is>
      </c>
      <c r="C8140" s="3" t="inlineStr">
        <is>
          <t>Autodist</t>
        </is>
      </c>
    </row>
    <row collapsed="false" customFormat="false" customHeight="false" hidden="false" ht="12.1" outlineLevel="0" r="8141">
      <c r="A8141" s="3" t="s">
        <f>=HYPERLINK("https://mp39851918.megaplan.ua/deals/137544/card/","23380")</f>
      </c>
      <c r="B8141" s="3" t="inlineStr">
        <is>
          <t>111-3460875-3774638</t>
        </is>
      </c>
      <c r="C8141" s="3" t="inlineStr">
        <is>
          <t>RockyMountain</t>
        </is>
      </c>
    </row>
    <row collapsed="false" customFormat="false" customHeight="false" hidden="false" ht="12.1" outlineLevel="0" r="8142">
      <c r="A8142" s="3" t="s">
        <f>=HYPERLINK("https://mp39851918.megaplan.ua/deals/137545/card/","23381")</f>
      </c>
      <c r="B8142" s="3" t="inlineStr">
        <is>
          <t>113-3346562-9269834</t>
        </is>
      </c>
      <c r="C8142" s="3" t="inlineStr">
        <is>
          <t>Autodist</t>
        </is>
      </c>
    </row>
    <row collapsed="false" customFormat="false" customHeight="false" hidden="false" ht="12.1" outlineLevel="0" r="8143">
      <c r="A8143" s="3" t="s">
        <f>=HYPERLINK("https://mp39851918.megaplan.ua/deals/137548/card/","23382")</f>
      </c>
      <c r="B8143" s="3" t="inlineStr">
        <is>
          <t>113-7891902-7014654</t>
        </is>
      </c>
      <c r="C8143" s="3" t="inlineStr">
        <is>
          <t>Autodist</t>
        </is>
      </c>
    </row>
    <row collapsed="false" customFormat="false" customHeight="false" hidden="false" ht="12.1" outlineLevel="0" r="8144">
      <c r="A8144" s="3" t="s">
        <f>=HYPERLINK("https://mp39851918.megaplan.ua/deals/137557/card/","23384")</f>
      </c>
      <c r="B8144" s="3" t="inlineStr">
        <is>
          <t>114-4059859-6502633</t>
        </is>
      </c>
      <c r="C8144" s="3" t="inlineStr">
        <is>
          <t>Autodist</t>
        </is>
      </c>
    </row>
    <row collapsed="false" customFormat="false" customHeight="false" hidden="false" ht="12.1" outlineLevel="0" r="8145">
      <c r="A8145" s="3" t="s">
        <f>=HYPERLINK("https://mp39851918.megaplan.ua/deals/137581/card/","23387")</f>
      </c>
      <c r="B8145" s="3" t="inlineStr">
        <is>
          <t>111-5337618-9202656</t>
        </is>
      </c>
      <c r="C8145" s="3" t="inlineStr">
        <is>
          <t>RockyMountain</t>
        </is>
      </c>
    </row>
    <row collapsed="false" customFormat="false" customHeight="false" hidden="false" ht="12.1" outlineLevel="0" r="8146">
      <c r="A8146" s="3" t="s">
        <f>=HYPERLINK("https://mp39851918.megaplan.ua/deals/137587/card/","23388")</f>
      </c>
      <c r="B8146" s="3" t="inlineStr">
        <is>
          <t>111-6529386-8431431</t>
        </is>
      </c>
      <c r="C8146" s="3" t="inlineStr">
        <is>
          <t>RockyMountain</t>
        </is>
      </c>
    </row>
    <row collapsed="false" customFormat="false" customHeight="false" hidden="false" ht="12.1" outlineLevel="0" r="8147">
      <c r="A8147" s="3" t="s">
        <f>=HYPERLINK("https://mp39851918.megaplan.ua/deals/137611/card/","23389")</f>
      </c>
      <c r="B8147" s="3" t="inlineStr">
        <is>
          <t>112-2245837-7152216</t>
        </is>
      </c>
      <c r="C8147" s="3" t="inlineStr">
        <is>
          <t>RockyMountain</t>
        </is>
      </c>
    </row>
    <row collapsed="false" customFormat="false" customHeight="false" hidden="false" ht="12.1" outlineLevel="0" r="8148">
      <c r="A8148" s="3" t="s">
        <f>=HYPERLINK("https://mp39851918.megaplan.ua/deals/137612/card/","23390")</f>
      </c>
      <c r="B8148" s="3" t="inlineStr">
        <is>
          <t>112-2541081-3522601</t>
        </is>
      </c>
      <c r="C8148" s="3" t="inlineStr">
        <is>
          <t>RockyMountain</t>
        </is>
      </c>
    </row>
    <row collapsed="false" customFormat="false" customHeight="false" hidden="false" ht="12.1" outlineLevel="0" r="8149">
      <c r="A8149" s="3" t="s">
        <f>=HYPERLINK("https://mp39851918.megaplan.ua/deals/137614/card/","23391")</f>
      </c>
      <c r="B8149" s="3" t="inlineStr">
        <is>
          <t>112-4351586-1562612</t>
        </is>
      </c>
      <c r="C8149" s="3" t="inlineStr">
        <is>
          <t>RockyMountain</t>
        </is>
      </c>
    </row>
    <row collapsed="false" customFormat="false" customHeight="false" hidden="false" ht="12.1" outlineLevel="0" r="8150">
      <c r="A8150" s="3" t="s">
        <f>=HYPERLINK("https://mp39851918.megaplan.ua/deals/137619/card/","23392")</f>
      </c>
      <c r="B8150" s="3" t="inlineStr">
        <is>
          <t>112-6249863-2036214</t>
        </is>
      </c>
      <c r="C8150" s="3" t="inlineStr">
        <is>
          <t>RockyMountain</t>
        </is>
      </c>
    </row>
    <row collapsed="false" customFormat="false" customHeight="false" hidden="false" ht="12.1" outlineLevel="0" r="8151">
      <c r="A8151" s="3" t="s">
        <f>=HYPERLINK("https://mp39851918.megaplan.ua/deals/137622/card/","23393")</f>
      </c>
      <c r="B8151" s="3" t="inlineStr">
        <is>
          <t>112-9601789-2511431</t>
        </is>
      </c>
      <c r="C8151" s="3" t="inlineStr">
        <is>
          <t>RockyMountain</t>
        </is>
      </c>
    </row>
    <row collapsed="false" customFormat="false" customHeight="false" hidden="false" ht="12.1" outlineLevel="0" r="8152">
      <c r="A8152" s="3" t="s">
        <f>=HYPERLINK("https://mp39851918.megaplan.ua/deals/137623/card/","23394")</f>
      </c>
      <c r="B8152" s="3" t="inlineStr">
        <is>
          <t>112-9836951-0976216</t>
        </is>
      </c>
      <c r="C8152" s="3" t="inlineStr">
        <is>
          <t>RockyMountain</t>
        </is>
      </c>
    </row>
    <row collapsed="false" customFormat="false" customHeight="false" hidden="false" ht="12.1" outlineLevel="0" r="8153">
      <c r="A8153" s="3" t="s">
        <f>=HYPERLINK("https://mp39851918.megaplan.ua/deals/137624/card/","23395")</f>
      </c>
      <c r="B8153" s="3" t="inlineStr">
        <is>
          <t>113-7942759-1985805</t>
        </is>
      </c>
      <c r="C8153" s="3" t="inlineStr">
        <is>
          <t>PartsUnlimited</t>
        </is>
      </c>
    </row>
    <row collapsed="false" customFormat="false" customHeight="false" hidden="false" ht="12.1" outlineLevel="0" r="8154">
      <c r="A8154" s="3" t="s">
        <f>=HYPERLINK("https://mp39851918.megaplan.ua/deals/137625/card/","23396")</f>
      </c>
      <c r="B8154" s="3" t="inlineStr">
        <is>
          <t>113-1476211-0871456</t>
        </is>
      </c>
      <c r="C8154" s="3" t="inlineStr">
        <is>
          <t>RockyMountain</t>
        </is>
      </c>
    </row>
    <row collapsed="false" customFormat="false" customHeight="false" hidden="false" ht="12.1" outlineLevel="0" r="8155">
      <c r="A8155" s="3" t="s">
        <f>=HYPERLINK("https://mp39851918.megaplan.ua/deals/137629/card/","23397")</f>
      </c>
      <c r="B8155" s="3" t="inlineStr">
        <is>
          <t>113-6732760-6491465</t>
        </is>
      </c>
      <c r="C8155" s="3" t="inlineStr">
        <is>
          <t>RockyMountain</t>
        </is>
      </c>
    </row>
    <row collapsed="false" customFormat="false" customHeight="false" hidden="false" ht="12.1" outlineLevel="0" r="8156">
      <c r="A8156" s="3" t="s">
        <f>=HYPERLINK("https://mp39851918.megaplan.ua/deals/137632/card/","23398")</f>
      </c>
      <c r="B8156" s="3" t="inlineStr">
        <is>
          <t>114-1825832-5553854</t>
        </is>
      </c>
      <c r="C8156" s="3" t="inlineStr">
        <is>
          <t>RockyMountain</t>
        </is>
      </c>
    </row>
    <row collapsed="false" customFormat="false" customHeight="false" hidden="false" ht="12.1" outlineLevel="0" r="8157">
      <c r="A8157" s="3" t="s">
        <f>=HYPERLINK("https://mp39851918.megaplan.ua/deals/137633/card/","23399")</f>
      </c>
      <c r="B8157" s="3" t="inlineStr">
        <is>
          <t>114-2189837-9104210</t>
        </is>
      </c>
      <c r="C8157" s="3" t="inlineStr">
        <is>
          <t>RockyMountain</t>
        </is>
      </c>
    </row>
    <row collapsed="false" customFormat="false" customHeight="false" hidden="false" ht="12.1" outlineLevel="0" r="8158">
      <c r="A8158" s="3" t="s">
        <f>=HYPERLINK("https://mp39851918.megaplan.ua/deals/137637/card/","23401")</f>
      </c>
      <c r="B8158" s="3" t="inlineStr">
        <is>
          <t>114-9219552-9581852</t>
        </is>
      </c>
      <c r="C8158" s="3" t="inlineStr">
        <is>
          <t>Autodist</t>
        </is>
      </c>
    </row>
    <row collapsed="false" customFormat="false" customHeight="false" hidden="false" ht="12.1" outlineLevel="0" r="8159">
      <c r="A8159" s="3" t="s">
        <f>=HYPERLINK("https://mp39851918.megaplan.ua/deals/137639/card/","23402")</f>
      </c>
      <c r="B8159" s="3" t="inlineStr">
        <is>
          <t>112-0886754-3323437</t>
        </is>
      </c>
      <c r="C8159" s="3" t="inlineStr">
        <is>
          <t>RockyMountain</t>
        </is>
      </c>
    </row>
    <row collapsed="false" customFormat="false" customHeight="false" hidden="false" ht="12.1" outlineLevel="0" r="8160">
      <c r="A8160" s="3" t="s">
        <f>=HYPERLINK("https://mp39851918.megaplan.ua/deals/137645/card/","23403")</f>
      </c>
      <c r="B8160" s="3" t="inlineStr">
        <is>
          <t>111-1093801-6782640</t>
        </is>
      </c>
      <c r="C8160" s="3" t="inlineStr">
        <is>
          <t>TuckerRocky</t>
        </is>
      </c>
    </row>
    <row collapsed="false" customFormat="false" customHeight="false" hidden="false" ht="12.1" outlineLevel="0" r="8161">
      <c r="A8161" s="3" t="s">
        <f>=HYPERLINK("https://mp39851918.megaplan.ua/deals/137647/card/","23404")</f>
      </c>
      <c r="B8161" s="3" t="inlineStr">
        <is>
          <t>114-8188806-8109023</t>
        </is>
      </c>
      <c r="C8161" s="3" t="inlineStr">
        <is>
          <t>Autodist</t>
        </is>
      </c>
    </row>
    <row collapsed="false" customFormat="false" customHeight="false" hidden="false" ht="12.1" outlineLevel="0" r="8162">
      <c r="A8162" s="3" t="s">
        <f>=HYPERLINK("https://mp39851918.megaplan.ua/deals/137652/card/","23405")</f>
      </c>
      <c r="B8162" s="3" t="inlineStr">
        <is>
          <t>111-0443393-4413067</t>
        </is>
      </c>
      <c r="C8162" s="3" t="inlineStr">
        <is>
          <t>PartsUnlimited</t>
        </is>
      </c>
    </row>
    <row collapsed="false" customFormat="false" customHeight="false" hidden="false" ht="12.1" outlineLevel="0" r="8163">
      <c r="A8163" s="3" t="s">
        <f>=HYPERLINK("https://mp39851918.megaplan.ua/deals/137655/card/","23407")</f>
      </c>
      <c r="B8163" s="3" t="inlineStr">
        <is>
          <t>111-6486154-8111423</t>
        </is>
      </c>
      <c r="C8163" s="3" t="inlineStr">
        <is>
          <t>TuckerRocky</t>
        </is>
      </c>
    </row>
    <row collapsed="false" customFormat="false" customHeight="false" hidden="false" ht="12.1" outlineLevel="0" r="8164">
      <c r="A8164" s="3" t="s">
        <f>=HYPERLINK("https://mp39851918.megaplan.ua/deals/137656/card/","23408")</f>
      </c>
      <c r="B8164" s="3" t="inlineStr">
        <is>
          <t>113-1579185-1630646</t>
        </is>
      </c>
      <c r="C8164" s="3" t="inlineStr">
        <is>
          <t>Autodist</t>
        </is>
      </c>
    </row>
    <row collapsed="false" customFormat="false" customHeight="false" hidden="false" ht="12.1" outlineLevel="0" r="8165">
      <c r="A8165" s="3" t="s">
        <f>=HYPERLINK("https://mp39851918.megaplan.ua/deals/137657/card/","23409")</f>
      </c>
      <c r="B8165" s="3" t="inlineStr">
        <is>
          <t>113-4418359-7187467</t>
        </is>
      </c>
      <c r="C8165" s="3" t="inlineStr">
        <is>
          <t>PartsUnlimited</t>
        </is>
      </c>
    </row>
    <row collapsed="false" customFormat="false" customHeight="false" hidden="false" ht="12.1" outlineLevel="0" r="8166">
      <c r="A8166" s="3" t="s">
        <f>=HYPERLINK("https://mp39851918.megaplan.ua/deals/137667/card/","23411")</f>
      </c>
      <c r="B8166" s="3" t="inlineStr">
        <is>
          <t>114-4743132-0171462</t>
        </is>
      </c>
      <c r="C8166" s="3" t="inlineStr">
        <is>
          <t>TuckerRocky</t>
        </is>
      </c>
    </row>
    <row collapsed="false" customFormat="false" customHeight="false" hidden="false" ht="12.1" outlineLevel="0" r="8167">
      <c r="A8167" s="3" t="s">
        <f>=HYPERLINK("https://mp39851918.megaplan.ua/deals/137675/card/","23413")</f>
      </c>
      <c r="B8167" s="3" t="inlineStr">
        <is>
          <t>114-0586348-6016252</t>
        </is>
      </c>
      <c r="C8167" s="3" t="inlineStr">
        <is>
          <t>RockyMountain</t>
        </is>
      </c>
    </row>
    <row collapsed="false" customFormat="false" customHeight="false" hidden="false" ht="12.1" outlineLevel="0" r="8168">
      <c r="A8168" s="3" t="s">
        <f>=HYPERLINK("https://mp39851918.megaplan.ua/deals/137677/card/","23414")</f>
      </c>
      <c r="B8168" s="3" t="inlineStr">
        <is>
          <t>112-0342340-1609829</t>
        </is>
      </c>
      <c r="C8168" s="3" t="inlineStr">
        <is>
          <t>RockyMountain</t>
        </is>
      </c>
    </row>
    <row collapsed="false" customFormat="false" customHeight="false" hidden="false" ht="12.1" outlineLevel="0" r="8169">
      <c r="A8169" s="3" t="s">
        <f>=HYPERLINK("https://mp39851918.megaplan.ua/deals/137693/card/","23416")</f>
      </c>
      <c r="B8169" s="3" t="inlineStr">
        <is>
          <t>111-9126355-5039414</t>
        </is>
      </c>
      <c r="C8169" s="3" t="inlineStr">
        <is>
          <t>PartsUnlimited</t>
        </is>
      </c>
    </row>
    <row collapsed="false" customFormat="false" customHeight="false" hidden="false" ht="12.1" outlineLevel="0" r="8170">
      <c r="A8170" s="3" t="s">
        <f>=HYPERLINK("https://mp39851918.megaplan.ua/deals/137697/card/","23417")</f>
      </c>
      <c r="B8170" s="3" t="inlineStr">
        <is>
          <t>114-9155223-3312268</t>
        </is>
      </c>
      <c r="C8170" s="3" t="inlineStr">
        <is>
          <t>PartsUnlimited</t>
        </is>
      </c>
    </row>
    <row collapsed="false" customFormat="false" customHeight="false" hidden="false" ht="12.1" outlineLevel="0" r="8171">
      <c r="A8171" s="3" t="s">
        <f>=HYPERLINK("https://mp39851918.megaplan.ua/deals/137698/card/","23418")</f>
      </c>
      <c r="B8171" s="3" t="inlineStr">
        <is>
          <t>111-4281701-4174656</t>
        </is>
      </c>
      <c r="C8171" s="3" t="inlineStr">
        <is>
          <t>PartsUnlimited</t>
        </is>
      </c>
    </row>
    <row collapsed="false" customFormat="false" customHeight="false" hidden="false" ht="12.1" outlineLevel="0" r="8172">
      <c r="A8172" s="3" t="s">
        <f>=HYPERLINK("https://mp39851918.megaplan.ua/deals/137701/card/","23419")</f>
      </c>
      <c r="B8172" s="3" t="inlineStr">
        <is>
          <t>113-9605569-4294639</t>
        </is>
      </c>
      <c r="C8172" s="3" t="inlineStr">
        <is>
          <t>Autodist</t>
        </is>
      </c>
    </row>
    <row collapsed="false" customFormat="false" customHeight="false" hidden="false" ht="12.1" outlineLevel="0" r="8173">
      <c r="A8173" s="3" t="s">
        <f>=HYPERLINK("https://mp39851918.megaplan.ua/deals/137704/card/","23420")</f>
      </c>
      <c r="B8173" s="3" t="inlineStr">
        <is>
          <t>113-6921105-6037864</t>
        </is>
      </c>
      <c r="C8173" s="3" t="inlineStr">
        <is>
          <t>PartsUnlimited</t>
        </is>
      </c>
    </row>
    <row collapsed="false" customFormat="false" customHeight="false" hidden="false" ht="12.1" outlineLevel="0" r="8174">
      <c r="A8174" s="3" t="s">
        <f>=HYPERLINK("https://mp39851918.megaplan.ua/deals/137705/card/","23421")</f>
      </c>
      <c r="B8174" s="3" t="inlineStr">
        <is>
          <t>113-6252837-2873825</t>
        </is>
      </c>
      <c r="C8174" s="3" t="inlineStr">
        <is>
          <t>Autodist</t>
        </is>
      </c>
    </row>
    <row collapsed="false" customFormat="false" customHeight="false" hidden="false" ht="12.1" outlineLevel="0" r="8175">
      <c r="A8175" s="3" t="s">
        <f>=HYPERLINK("https://mp39851918.megaplan.ua/deals/137706/card/","23422")</f>
      </c>
      <c r="B8175" s="3" t="inlineStr">
        <is>
          <t>112-6733801-8601009</t>
        </is>
      </c>
      <c r="C8175" s="3" t="inlineStr">
        <is>
          <t>TuckerRocky</t>
        </is>
      </c>
    </row>
    <row collapsed="false" customFormat="false" customHeight="false" hidden="false" ht="12.1" outlineLevel="0" r="8176">
      <c r="A8176" s="3" t="s">
        <f>=HYPERLINK("https://mp39851918.megaplan.ua/deals/137709/card/","23423")</f>
      </c>
      <c r="B8176" s="3" t="inlineStr">
        <is>
          <t>114-1565174-1177052</t>
        </is>
      </c>
      <c r="C8176" s="3" t="inlineStr">
        <is>
          <t>RockyMountain</t>
        </is>
      </c>
    </row>
    <row collapsed="false" customFormat="false" customHeight="false" hidden="false" ht="12.1" outlineLevel="0" r="8177">
      <c r="A8177" s="3" t="s">
        <f>=HYPERLINK("https://mp39851918.megaplan.ua/deals/137710/card/","23424")</f>
      </c>
      <c r="B8177" s="3" t="inlineStr">
        <is>
          <t>112-2483707-0635438</t>
        </is>
      </c>
      <c r="C8177" s="3" t="inlineStr">
        <is>
          <t>TuckerRocky</t>
        </is>
      </c>
    </row>
    <row collapsed="false" customFormat="false" customHeight="false" hidden="false" ht="12.1" outlineLevel="0" r="8178">
      <c r="A8178" s="3" t="s">
        <f>=HYPERLINK("https://mp39851918.megaplan.ua/deals/137711/card/","23425")</f>
      </c>
      <c r="B8178" s="3" t="inlineStr">
        <is>
          <t>113-0159336-5421821</t>
        </is>
      </c>
      <c r="C8178" s="3" t="inlineStr">
        <is>
          <t>PartsUnlimited</t>
        </is>
      </c>
    </row>
    <row collapsed="false" customFormat="false" customHeight="false" hidden="false" ht="12.1" outlineLevel="0" r="8179">
      <c r="A8179" s="3" t="s">
        <f>=HYPERLINK("https://mp39851918.megaplan.ua/deals/137714/card/","23426")</f>
      </c>
      <c r="B8179" s="3" t="inlineStr">
        <is>
          <t>113-0796589-9227412</t>
        </is>
      </c>
      <c r="C8179" s="3" t="inlineStr">
        <is>
          <t>RockyMountain</t>
        </is>
      </c>
    </row>
    <row collapsed="false" customFormat="false" customHeight="false" hidden="false" ht="12.1" outlineLevel="0" r="8180">
      <c r="A8180" s="3" t="s">
        <f>=HYPERLINK("https://mp39851918.megaplan.ua/deals/137716/card/","23427")</f>
      </c>
      <c r="B8180" s="3" t="inlineStr">
        <is>
          <t>112-1686338-0505040</t>
        </is>
      </c>
      <c r="C8180" s="3" t="inlineStr">
        <is>
          <t>RockyMountain</t>
        </is>
      </c>
    </row>
    <row collapsed="false" customFormat="false" customHeight="false" hidden="false" ht="12.1" outlineLevel="0" r="8181">
      <c r="A8181" s="3" t="s">
        <f>=HYPERLINK("https://mp39851918.megaplan.ua/deals/137717/card/","23428")</f>
      </c>
      <c r="B8181" s="3" t="inlineStr">
        <is>
          <t>114-0108599-9881048</t>
        </is>
      </c>
      <c r="C8181" s="3" t="inlineStr">
        <is>
          <t>TuckerRocky</t>
        </is>
      </c>
    </row>
    <row collapsed="false" customFormat="false" customHeight="false" hidden="false" ht="12.1" outlineLevel="0" r="8182">
      <c r="A8182" s="3" t="s">
        <f>=HYPERLINK("https://mp39851918.megaplan.ua/deals/137739/card/","23429")</f>
      </c>
      <c r="B8182" s="3" t="inlineStr">
        <is>
          <t>111-3297629-0869041</t>
        </is>
      </c>
      <c r="C8182" s="3" t="inlineStr">
        <is>
          <t>Autodist</t>
        </is>
      </c>
    </row>
    <row collapsed="false" customFormat="false" customHeight="false" hidden="false" ht="12.1" outlineLevel="0" r="8183">
      <c r="A8183" s="3" t="s">
        <f>=HYPERLINK("https://mp39851918.megaplan.ua/deals/137760/card/","23430")</f>
      </c>
      <c r="B8183" s="3" t="inlineStr">
        <is>
          <t>112-9073274-8817810</t>
        </is>
      </c>
      <c r="C8183" s="3" t="inlineStr">
        <is>
          <t>TuckerRocky</t>
        </is>
      </c>
    </row>
    <row collapsed="false" customFormat="false" customHeight="false" hidden="false" ht="12.1" outlineLevel="0" r="8184">
      <c r="A8184" s="3" t="s">
        <f>=HYPERLINK("https://mp39851918.megaplan.ua/deals/137764/card/","23431")</f>
      </c>
      <c r="B8184" s="3" t="inlineStr">
        <is>
          <t>111-7562175-4208252</t>
        </is>
      </c>
      <c r="C8184" s="3" t="inlineStr">
        <is>
          <t>RockyMountain</t>
        </is>
      </c>
    </row>
    <row collapsed="false" customFormat="false" customHeight="false" hidden="false" ht="12.1" outlineLevel="0" r="8185">
      <c r="A8185" s="3" t="s">
        <f>=HYPERLINK("https://mp39851918.megaplan.ua/deals/137766/card/","23432")</f>
      </c>
      <c r="B8185" s="3" t="inlineStr">
        <is>
          <t>111-3012796-4877867</t>
        </is>
      </c>
      <c r="C8185" s="3" t="inlineStr">
        <is>
          <t>TuckerRocky</t>
        </is>
      </c>
    </row>
    <row collapsed="false" customFormat="false" customHeight="false" hidden="false" ht="12.1" outlineLevel="0" r="8186">
      <c r="A8186" s="3" t="s">
        <f>=HYPERLINK("https://mp39851918.megaplan.ua/deals/137767/card/","23433")</f>
      </c>
      <c r="B8186" s="3" t="inlineStr">
        <is>
          <t>113-4838711-5565067</t>
        </is>
      </c>
      <c r="C8186" s="3" t="inlineStr">
        <is>
          <t>RockyMountain</t>
        </is>
      </c>
    </row>
    <row collapsed="false" customFormat="false" customHeight="false" hidden="false" ht="12.1" outlineLevel="0" r="8187">
      <c r="A8187" s="3" t="s">
        <f>=HYPERLINK("https://mp39851918.megaplan.ua/deals/137773/card/","23434")</f>
      </c>
      <c r="B8187" s="3" t="inlineStr">
        <is>
          <t>112-1836169-6033839</t>
        </is>
      </c>
      <c r="C8187" s="3" t="inlineStr">
        <is>
          <t>RockyMountain</t>
        </is>
      </c>
    </row>
    <row collapsed="false" customFormat="false" customHeight="false" hidden="false" ht="12.1" outlineLevel="0" r="8188">
      <c r="A8188" s="3" t="s">
        <f>=HYPERLINK("https://mp39851918.megaplan.ua/deals/137910/card/","23435")</f>
      </c>
      <c r="B8188" s="3" t="inlineStr">
        <is>
          <t>113-7066235-6772215</t>
        </is>
      </c>
      <c r="C8188" s="3" t="inlineStr">
        <is>
          <t>TuckerRocky</t>
        </is>
      </c>
    </row>
    <row collapsed="false" customFormat="false" customHeight="false" hidden="false" ht="12.1" outlineLevel="0" r="8189">
      <c r="A8189" s="3" t="s">
        <f>=HYPERLINK("https://mp39851918.megaplan.ua/deals/137911/card/","23436")</f>
      </c>
      <c r="B8189" s="3" t="inlineStr">
        <is>
          <t>113-8897495-1638616</t>
        </is>
      </c>
      <c r="C8189" s="3" t="inlineStr">
        <is>
          <t>PartsUnlimited</t>
        </is>
      </c>
    </row>
    <row collapsed="false" customFormat="false" customHeight="false" hidden="false" ht="12.1" outlineLevel="0" r="8190">
      <c r="A8190" s="3" t="s">
        <f>=HYPERLINK("https://mp39851918.megaplan.ua/deals/137912/card/","23437")</f>
      </c>
      <c r="B8190" s="3" t="inlineStr">
        <is>
          <t>114-7536004-0269056</t>
        </is>
      </c>
      <c r="C8190" s="3" t="inlineStr">
        <is>
          <t>TuckerRocky</t>
        </is>
      </c>
    </row>
    <row collapsed="false" customFormat="false" customHeight="false" hidden="false" ht="12.1" outlineLevel="0" r="8191">
      <c r="A8191" s="3" t="s">
        <f>=HYPERLINK("https://mp39851918.megaplan.ua/deals/137913/card/","23438")</f>
      </c>
      <c r="B8191" s="3" t="inlineStr">
        <is>
          <t>113-3985640-0436206</t>
        </is>
      </c>
      <c r="C8191" s="3" t="inlineStr">
        <is>
          <t>RockyMountain</t>
        </is>
      </c>
    </row>
    <row collapsed="false" customFormat="false" customHeight="false" hidden="false" ht="12.1" outlineLevel="0" r="8192">
      <c r="A8192" s="3" t="s">
        <f>=HYPERLINK("https://mp39851918.megaplan.ua/deals/137914/card/","23439")</f>
      </c>
      <c r="B8192" s="3" t="inlineStr">
        <is>
          <t>113-3985640-0436206</t>
        </is>
      </c>
      <c r="C8192" s="3" t="inlineStr">
        <is>
          <t>PartsUnlimited</t>
        </is>
      </c>
    </row>
    <row collapsed="false" customFormat="false" customHeight="false" hidden="false" ht="12.1" outlineLevel="0" r="8193">
      <c r="A8193" s="3" t="s">
        <f>=HYPERLINK("https://mp39851918.megaplan.ua/deals/137916/card/","23440")</f>
      </c>
      <c r="B8193" s="3" t="inlineStr">
        <is>
          <t>112-4579627-0146636</t>
        </is>
      </c>
      <c r="C8193" s="3" t="inlineStr">
        <is>
          <t>Autodist</t>
        </is>
      </c>
    </row>
    <row collapsed="false" customFormat="false" customHeight="false" hidden="false" ht="12.1" outlineLevel="0" r="8194">
      <c r="A8194" s="3" t="s">
        <f>=HYPERLINK("https://mp39851918.megaplan.ua/deals/137919/card/","23441")</f>
      </c>
      <c r="B8194" s="3" t="inlineStr">
        <is>
          <t>114-9675363-1060221</t>
        </is>
      </c>
      <c r="C8194" s="3" t="inlineStr">
        <is>
          <t>RockyMountain</t>
        </is>
      </c>
    </row>
    <row collapsed="false" customFormat="false" customHeight="false" hidden="false" ht="12.1" outlineLevel="0" r="8195">
      <c r="A8195" s="3" t="s">
        <f>=HYPERLINK("https://mp39851918.megaplan.ua/deals/137920/card/","23442")</f>
      </c>
      <c r="B8195" s="3" t="inlineStr">
        <is>
          <t>112-4910471-7839464</t>
        </is>
      </c>
      <c r="C8195" s="3" t="inlineStr">
        <is>
          <t>RockyMountain</t>
        </is>
      </c>
    </row>
    <row collapsed="false" customFormat="false" customHeight="false" hidden="false" ht="12.1" outlineLevel="0" r="8196">
      <c r="A8196" s="3" t="s">
        <f>=HYPERLINK("https://mp39851918.megaplan.ua/deals/137922/card/","23443")</f>
      </c>
      <c r="B8196" s="3" t="inlineStr">
        <is>
          <t>114-8620680-6673050</t>
        </is>
      </c>
      <c r="C8196" s="3" t="inlineStr">
        <is>
          <t>RockyMountain</t>
        </is>
      </c>
    </row>
    <row collapsed="false" customFormat="false" customHeight="false" hidden="false" ht="12.1" outlineLevel="0" r="8197">
      <c r="A8197" s="3" t="s">
        <f>=HYPERLINK("https://mp39851918.megaplan.ua/deals/137924/card/","23444")</f>
      </c>
      <c r="B8197" s="3" t="inlineStr">
        <is>
          <t>113-4564678-4926655</t>
        </is>
      </c>
      <c r="C8197" s="3" t="inlineStr">
        <is>
          <t>PartsUnlimited</t>
        </is>
      </c>
    </row>
    <row collapsed="false" customFormat="false" customHeight="false" hidden="false" ht="12.1" outlineLevel="0" r="8198">
      <c r="A8198" s="3" t="s">
        <f>=HYPERLINK("https://mp39851918.megaplan.ua/deals/137926/card/","23445")</f>
      </c>
      <c r="B8198" s="3" t="inlineStr">
        <is>
          <t>113-6643387-9290657</t>
        </is>
      </c>
      <c r="C8198" s="3" t="inlineStr">
        <is>
          <t>Autodist</t>
        </is>
      </c>
    </row>
    <row collapsed="false" customFormat="false" customHeight="false" hidden="false" ht="12.1" outlineLevel="0" r="8199">
      <c r="A8199" s="3" t="s">
        <f>=HYPERLINK("https://mp39851918.megaplan.ua/deals/137931/card/","23447")</f>
      </c>
      <c r="B8199" s="3" t="inlineStr">
        <is>
          <t>114-5856738-4290659</t>
        </is>
      </c>
      <c r="C8199" s="3" t="inlineStr">
        <is>
          <t>Autodist</t>
        </is>
      </c>
    </row>
    <row collapsed="false" customFormat="false" customHeight="false" hidden="false" ht="12.1" outlineLevel="0" r="8200">
      <c r="A8200" s="3" t="s">
        <f>=HYPERLINK("https://mp39851918.megaplan.ua/deals/137935/card/","23448")</f>
      </c>
      <c r="B8200" s="3" t="inlineStr">
        <is>
          <t>114-8186988-2371404</t>
        </is>
      </c>
      <c r="C8200" s="3" t="inlineStr">
        <is>
          <t>RockyMountain</t>
        </is>
      </c>
    </row>
    <row collapsed="false" customFormat="false" customHeight="false" hidden="false" ht="12.1" outlineLevel="0" r="8201">
      <c r="A8201" s="3" t="s">
        <f>=HYPERLINK("https://mp39851918.megaplan.ua/deals/137939/card/","23449")</f>
      </c>
      <c r="B8201" s="3" t="inlineStr">
        <is>
          <t>114-8094824-0088226</t>
        </is>
      </c>
      <c r="C8201" s="3" t="inlineStr">
        <is>
          <t>Autodist</t>
        </is>
      </c>
    </row>
    <row collapsed="false" customFormat="false" customHeight="false" hidden="false" ht="12.1" outlineLevel="0" r="8202">
      <c r="A8202" s="3" t="s">
        <f>=HYPERLINK("https://mp39851918.megaplan.ua/deals/137940/card/","23450")</f>
      </c>
      <c r="B8202" s="3" t="inlineStr">
        <is>
          <t>111-0247725-0146633</t>
        </is>
      </c>
      <c r="C8202" s="3" t="inlineStr">
        <is>
          <t>Autodist</t>
        </is>
      </c>
    </row>
    <row collapsed="false" customFormat="false" customHeight="false" hidden="false" ht="12.1" outlineLevel="0" r="8203">
      <c r="A8203" s="3" t="s">
        <f>=HYPERLINK("https://mp39851918.megaplan.ua/deals/137948/card/","23452")</f>
      </c>
      <c r="B8203" s="3" t="inlineStr">
        <is>
          <t>112-9316963-7746666</t>
        </is>
      </c>
      <c r="C8203" s="3" t="inlineStr">
        <is>
          <t>Autodist</t>
        </is>
      </c>
    </row>
    <row collapsed="false" customFormat="false" customHeight="false" hidden="false" ht="12.1" outlineLevel="0" r="8204">
      <c r="A8204" s="3" t="s">
        <f>=HYPERLINK("https://mp39851918.megaplan.ua/deals/137950/card/","23453")</f>
      </c>
      <c r="B8204" s="3" t="inlineStr">
        <is>
          <t>113-2347427-1641002</t>
        </is>
      </c>
      <c r="C8204" s="3" t="inlineStr">
        <is>
          <t>Autodist</t>
        </is>
      </c>
    </row>
    <row collapsed="false" customFormat="false" customHeight="false" hidden="false" ht="12.1" outlineLevel="0" r="8205">
      <c r="A8205" s="3" t="s">
        <f>=HYPERLINK("https://mp39851918.megaplan.ua/deals/137959/card/","23455")</f>
      </c>
      <c r="B8205" s="3" t="inlineStr">
        <is>
          <t>114-4306785-3953803</t>
        </is>
      </c>
      <c r="C8205" s="3" t="inlineStr">
        <is>
          <t>Autodist</t>
        </is>
      </c>
    </row>
    <row collapsed="false" customFormat="false" customHeight="false" hidden="false" ht="12.1" outlineLevel="0" r="8206">
      <c r="A8206" s="3" t="s">
        <f>=HYPERLINK("https://mp39851918.megaplan.ua/deals/137960/card/","23456")</f>
      </c>
      <c r="B8206" s="3" t="inlineStr">
        <is>
          <t>112-6172651-1285049</t>
        </is>
      </c>
      <c r="C8206" s="3" t="inlineStr">
        <is>
          <t>PartsUnlimited</t>
        </is>
      </c>
    </row>
    <row collapsed="false" customFormat="false" customHeight="false" hidden="false" ht="12.1" outlineLevel="0" r="8207">
      <c r="A8207" s="3" t="s">
        <f>=HYPERLINK("https://mp39851918.megaplan.ua/deals/137961/card/","23457")</f>
      </c>
      <c r="B8207" s="3" t="inlineStr">
        <is>
          <t>111-4328200-7785029</t>
        </is>
      </c>
      <c r="C8207" s="3" t="inlineStr">
        <is>
          <t>RockyMountain</t>
        </is>
      </c>
    </row>
    <row collapsed="false" customFormat="false" customHeight="false" hidden="false" ht="12.1" outlineLevel="0" r="8208">
      <c r="A8208" s="3" t="s">
        <f>=HYPERLINK("https://mp39851918.megaplan.ua/deals/137962/card/","23458")</f>
      </c>
      <c r="B8208" s="3" t="inlineStr">
        <is>
          <t>112-6474381-4120224</t>
        </is>
      </c>
      <c r="C8208" s="3" t="inlineStr">
        <is>
          <t>Autodist</t>
        </is>
      </c>
    </row>
    <row collapsed="false" customFormat="false" customHeight="false" hidden="false" ht="12.1" outlineLevel="0" r="8209">
      <c r="A8209" s="3" t="s">
        <f>=HYPERLINK("https://mp39851918.megaplan.ua/deals/137968/card/","23459")</f>
      </c>
      <c r="B8209" s="3" t="inlineStr">
        <is>
          <t>114-8505708-0300213</t>
        </is>
      </c>
      <c r="C8209" s="3" t="inlineStr">
        <is>
          <t>Autodist</t>
        </is>
      </c>
    </row>
    <row collapsed="false" customFormat="false" customHeight="false" hidden="false" ht="12.1" outlineLevel="0" r="8210">
      <c r="A8210" s="3" t="s">
        <f>=HYPERLINK("https://mp39851918.megaplan.ua/deals/137974/card/","23460")</f>
      </c>
      <c r="B8210" s="3" t="inlineStr">
        <is>
          <t>111-9992367-6334663</t>
        </is>
      </c>
      <c r="C8210" s="3" t="inlineStr">
        <is>
          <t>PartsUnlimited</t>
        </is>
      </c>
    </row>
    <row collapsed="false" customFormat="false" customHeight="false" hidden="false" ht="12.1" outlineLevel="0" r="8211">
      <c r="A8211" s="3" t="s">
        <f>=HYPERLINK("https://mp39851918.megaplan.ua/deals/137979/card/","23461")</f>
      </c>
      <c r="B8211" s="3" t="inlineStr">
        <is>
          <t>112-0714360-4647404</t>
        </is>
      </c>
      <c r="C8211" s="3" t="inlineStr">
        <is>
          <t>Autodist</t>
        </is>
      </c>
    </row>
    <row collapsed="false" customFormat="false" customHeight="false" hidden="false" ht="12.1" outlineLevel="0" r="8212">
      <c r="A8212" s="3" t="s">
        <f>=HYPERLINK("https://mp39851918.megaplan.ua/deals/137983/card/","23462")</f>
      </c>
      <c r="B8212" s="3" t="inlineStr">
        <is>
          <t>113-4319143-0046621</t>
        </is>
      </c>
      <c r="C8212" s="3" t="inlineStr">
        <is>
          <t>RockyMountain</t>
        </is>
      </c>
    </row>
    <row collapsed="false" customFormat="false" customHeight="false" hidden="false" ht="12.1" outlineLevel="0" r="8213">
      <c r="A8213" s="3" t="s">
        <f>=HYPERLINK("https://mp39851918.megaplan.ua/deals/137984/card/","23463")</f>
      </c>
      <c r="B8213" s="3" t="inlineStr">
        <is>
          <t>112-7595451-1489001</t>
        </is>
      </c>
      <c r="C8213" s="3" t="inlineStr">
        <is>
          <t>Autodist</t>
        </is>
      </c>
    </row>
    <row collapsed="false" customFormat="false" customHeight="false" hidden="false" ht="12.1" outlineLevel="0" r="8214">
      <c r="A8214" s="3" t="s">
        <f>=HYPERLINK("https://mp39851918.megaplan.ua/deals/137985/card/","23464")</f>
      </c>
      <c r="B8214" s="3" t="inlineStr">
        <is>
          <t>114-2465983-2546605</t>
        </is>
      </c>
      <c r="C8214" s="3" t="inlineStr">
        <is>
          <t>RockyMountain</t>
        </is>
      </c>
    </row>
    <row collapsed="false" customFormat="false" customHeight="false" hidden="false" ht="12.1" outlineLevel="0" r="8215">
      <c r="A8215" s="3" t="s">
        <f>=HYPERLINK("https://mp39851918.megaplan.ua/deals/137987/card/","23465")</f>
      </c>
      <c r="B8215" s="3" t="inlineStr">
        <is>
          <t>112-2638699-1942639</t>
        </is>
      </c>
      <c r="C8215" s="3" t="inlineStr">
        <is>
          <t>RockyMountain</t>
        </is>
      </c>
    </row>
    <row collapsed="false" customFormat="false" customHeight="false" hidden="false" ht="12.1" outlineLevel="0" r="8216">
      <c r="A8216" s="3" t="s">
        <f>=HYPERLINK("https://mp39851918.megaplan.ua/deals/137992/card/","23466")</f>
      </c>
      <c r="B8216" s="3" t="inlineStr">
        <is>
          <t>113-1164230-6517021</t>
        </is>
      </c>
      <c r="C8216" s="3" t="inlineStr">
        <is>
          <t>RockyMountain</t>
        </is>
      </c>
    </row>
    <row collapsed="false" customFormat="false" customHeight="false" hidden="false" ht="12.1" outlineLevel="0" r="8217">
      <c r="A8217" s="3" t="s">
        <f>=HYPERLINK("https://mp39851918.megaplan.ua/deals/137996/card/","23469")</f>
      </c>
      <c r="B8217" s="3" t="inlineStr">
        <is>
          <t>113-2088776-6251434</t>
        </is>
      </c>
      <c r="C8217" s="3" t="inlineStr">
        <is>
          <t>RockyMountain</t>
        </is>
      </c>
    </row>
    <row collapsed="false" customFormat="false" customHeight="false" hidden="false" ht="12.1" outlineLevel="0" r="8218">
      <c r="A8218" s="3" t="s">
        <f>=HYPERLINK("https://mp39851918.megaplan.ua/deals/138004/card/","23470")</f>
      </c>
      <c r="B8218" s="3" t="inlineStr">
        <is>
          <t>112-7129928-4803402</t>
        </is>
      </c>
      <c r="C8218" s="3" t="inlineStr">
        <is>
          <t>Autodist</t>
        </is>
      </c>
    </row>
    <row collapsed="false" customFormat="false" customHeight="false" hidden="false" ht="12.1" outlineLevel="0" r="8219">
      <c r="A8219" s="3" t="s">
        <f>=HYPERLINK("https://mp39851918.megaplan.ua/deals/138010/card/","23471")</f>
      </c>
      <c r="B8219" s="3" t="inlineStr">
        <is>
          <t>111-7274771-4386652</t>
        </is>
      </c>
      <c r="C8219" s="3" t="inlineStr">
        <is>
          <t>RockyMountain</t>
        </is>
      </c>
    </row>
    <row collapsed="false" customFormat="false" customHeight="false" hidden="false" ht="12.1" outlineLevel="0" r="8220">
      <c r="A8220" s="3" t="s">
        <f>=HYPERLINK("https://mp39851918.megaplan.ua/deals/138017/card/","23472")</f>
      </c>
      <c r="B8220" s="3" t="inlineStr">
        <is>
          <t>113-0931314-1238608</t>
        </is>
      </c>
      <c r="C8220" s="3" t="inlineStr">
        <is>
          <t>Autodist</t>
        </is>
      </c>
    </row>
    <row collapsed="false" customFormat="false" customHeight="false" hidden="false" ht="12.1" outlineLevel="0" r="8221">
      <c r="A8221" s="3" t="s">
        <f>=HYPERLINK("https://mp39851918.megaplan.ua/deals/138020/card/","23473")</f>
      </c>
      <c r="B8221" s="3" t="inlineStr">
        <is>
          <t>113-5319283-3869018</t>
        </is>
      </c>
      <c r="C8221" s="3" t="inlineStr">
        <is>
          <t>Autodist</t>
        </is>
      </c>
    </row>
    <row collapsed="false" customFormat="false" customHeight="false" hidden="false" ht="12.1" outlineLevel="0" r="8222">
      <c r="A8222" s="3" t="s">
        <f>=HYPERLINK("https://mp39851918.megaplan.ua/deals/138022/card/","23474")</f>
      </c>
      <c r="B8222" s="3" t="inlineStr">
        <is>
          <t>114-6239085-3985821</t>
        </is>
      </c>
      <c r="C8222" s="3" t="inlineStr">
        <is>
          <t>RockyMountain</t>
        </is>
      </c>
    </row>
    <row collapsed="false" customFormat="false" customHeight="false" hidden="false" ht="12.1" outlineLevel="0" r="8223">
      <c r="A8223" s="3" t="s">
        <f>=HYPERLINK("https://mp39851918.megaplan.ua/deals/138023/card/","23475")</f>
      </c>
      <c r="B8223" s="3" t="inlineStr">
        <is>
          <t>111-6770592-4598625</t>
        </is>
      </c>
      <c r="C8223" s="3" t="inlineStr">
        <is>
          <t>RockyMountain</t>
        </is>
      </c>
    </row>
    <row collapsed="false" customFormat="false" customHeight="false" hidden="false" ht="12.1" outlineLevel="0" r="8224">
      <c r="A8224" s="3" t="s">
        <f>=HYPERLINK("https://mp39851918.megaplan.ua/deals/138028/card/","23476")</f>
      </c>
      <c r="B8224" s="3" t="inlineStr">
        <is>
          <t>114-2944552-6326654</t>
        </is>
      </c>
      <c r="C8224" s="3" t="inlineStr">
        <is>
          <t>Autodist</t>
        </is>
      </c>
    </row>
    <row collapsed="false" customFormat="false" customHeight="false" hidden="false" ht="12.1" outlineLevel="0" r="8225">
      <c r="A8225" s="3" t="s">
        <f>=HYPERLINK("https://mp39851918.megaplan.ua/deals/138032/card/","23477")</f>
      </c>
      <c r="B8225" s="3" t="inlineStr">
        <is>
          <t>114-2243320-0037024</t>
        </is>
      </c>
      <c r="C8225" s="3" t="inlineStr">
        <is>
          <t>RockyMountain</t>
        </is>
      </c>
    </row>
    <row collapsed="false" customFormat="false" customHeight="false" hidden="false" ht="12.1" outlineLevel="0" r="8226">
      <c r="A8226" s="3" t="s">
        <f>=HYPERLINK("https://mp39851918.megaplan.ua/deals/138039/card/","23478")</f>
      </c>
      <c r="B8226" s="3" t="inlineStr">
        <is>
          <t>113-3526252-9763453</t>
        </is>
      </c>
      <c r="C8226" s="3" t="inlineStr">
        <is>
          <t>RockyMountain</t>
        </is>
      </c>
    </row>
    <row collapsed="false" customFormat="false" customHeight="false" hidden="false" ht="12.1" outlineLevel="0" r="8227">
      <c r="A8227" s="3" t="s">
        <f>=HYPERLINK("https://mp39851918.megaplan.ua/deals/138050/card/","23480")</f>
      </c>
      <c r="B8227" s="3" t="inlineStr">
        <is>
          <t>113-6670365-5252232</t>
        </is>
      </c>
      <c r="C8227" s="3" t="inlineStr">
        <is>
          <t>RockyMountain</t>
        </is>
      </c>
    </row>
    <row collapsed="false" customFormat="false" customHeight="false" hidden="false" ht="12.1" outlineLevel="0" r="8228">
      <c r="A8228" s="3" t="s">
        <f>=HYPERLINK("https://mp39851918.megaplan.ua/deals/138064/card/","23481")</f>
      </c>
      <c r="B8228" s="3" t="inlineStr">
        <is>
          <t>113-4860663-7441849</t>
        </is>
      </c>
      <c r="C8228" s="3" t="inlineStr">
        <is>
          <t>RockyMountain</t>
        </is>
      </c>
    </row>
    <row collapsed="false" customFormat="false" customHeight="false" hidden="false" ht="12.1" outlineLevel="0" r="8229">
      <c r="A8229" s="3" t="s">
        <f>=HYPERLINK("https://mp39851918.megaplan.ua/deals/138069/card/","23482")</f>
      </c>
      <c r="B8229" s="3" t="inlineStr">
        <is>
          <t>112-6176064-4592240</t>
        </is>
      </c>
      <c r="C8229" s="3" t="inlineStr">
        <is>
          <t>RockyMountain</t>
        </is>
      </c>
    </row>
    <row collapsed="false" customFormat="false" customHeight="false" hidden="false" ht="12.1" outlineLevel="0" r="8230">
      <c r="A8230" s="3" t="s">
        <f>=HYPERLINK("https://mp39851918.megaplan.ua/deals/138071/card/","23483")</f>
      </c>
      <c r="B8230" s="3" t="inlineStr">
        <is>
          <t>111-8986367-3562648</t>
        </is>
      </c>
      <c r="C8230" s="3" t="inlineStr">
        <is>
          <t>Autodist</t>
        </is>
      </c>
    </row>
    <row collapsed="false" customFormat="false" customHeight="false" hidden="false" ht="12.1" outlineLevel="0" r="8231">
      <c r="A8231" s="3" t="s">
        <f>=HYPERLINK("https://mp39851918.megaplan.ua/deals/138089/card/","23485")</f>
      </c>
      <c r="B8231" s="3" t="inlineStr">
        <is>
          <t>112-3850464-5073037</t>
        </is>
      </c>
      <c r="C8231" s="3" t="inlineStr">
        <is>
          <t>RockyMountain</t>
        </is>
      </c>
    </row>
    <row collapsed="false" customFormat="false" customHeight="false" hidden="false" ht="12.1" outlineLevel="0" r="8232">
      <c r="A8232" s="3" t="s">
        <f>=HYPERLINK("https://mp39851918.megaplan.ua/deals/138090/card/","23486")</f>
      </c>
      <c r="B8232" s="3" t="inlineStr">
        <is>
          <t>114-6417707-3693069</t>
        </is>
      </c>
      <c r="C8232" s="3" t="inlineStr">
        <is>
          <t>TuckerRocky</t>
        </is>
      </c>
    </row>
    <row collapsed="false" customFormat="false" customHeight="false" hidden="false" ht="12.1" outlineLevel="0" r="8233">
      <c r="A8233" s="3" t="s">
        <f>=HYPERLINK("https://mp39851918.megaplan.ua/deals/138091/card/","23487")</f>
      </c>
      <c r="B8233" s="3" t="inlineStr">
        <is>
          <t>114-9271429-2771417</t>
        </is>
      </c>
      <c r="C8233" s="3" t="inlineStr">
        <is>
          <t>Autodist</t>
        </is>
      </c>
    </row>
    <row collapsed="false" customFormat="false" customHeight="false" hidden="false" ht="12.1" outlineLevel="0" r="8234">
      <c r="A8234" s="3" t="s">
        <f>=HYPERLINK("https://mp39851918.megaplan.ua/deals/138096/card/","23489")</f>
      </c>
      <c r="B8234" s="3" t="inlineStr">
        <is>
          <t>114-1633356-6282648</t>
        </is>
      </c>
      <c r="C8234" s="3" t="inlineStr">
        <is>
          <t>RockyMountain</t>
        </is>
      </c>
    </row>
    <row collapsed="false" customFormat="false" customHeight="false" hidden="false" ht="12.1" outlineLevel="0" r="8235">
      <c r="A8235" s="3" t="s">
        <f>=HYPERLINK("https://mp39851918.megaplan.ua/deals/138118/card/","23491")</f>
      </c>
      <c r="B8235" s="3" t="inlineStr">
        <is>
          <t>114-5081636-8145852</t>
        </is>
      </c>
      <c r="C8235" s="3" t="inlineStr">
        <is>
          <t>PartsUnlimited</t>
        </is>
      </c>
    </row>
    <row collapsed="false" customFormat="false" customHeight="false" hidden="false" ht="12.1" outlineLevel="0" r="8236">
      <c r="A8236" s="3" t="s">
        <f>=HYPERLINK("https://mp39851918.megaplan.ua/deals/138119/card/","23492")</f>
      </c>
      <c r="B8236" s="3" t="inlineStr">
        <is>
          <t>114-0895962-4396238</t>
        </is>
      </c>
      <c r="C8236" s="3" t="inlineStr">
        <is>
          <t>PartsUnlimited</t>
        </is>
      </c>
    </row>
    <row collapsed="false" customFormat="false" customHeight="false" hidden="false" ht="12.1" outlineLevel="0" r="8237">
      <c r="A8237" s="3" t="s">
        <f>=HYPERLINK("https://mp39851918.megaplan.ua/deals/138120/card/","23493")</f>
      </c>
      <c r="B8237" s="3" t="inlineStr">
        <is>
          <t>114-5714754-9332241</t>
        </is>
      </c>
      <c r="C8237" s="3" t="inlineStr">
        <is>
          <t>TuckerRocky</t>
        </is>
      </c>
    </row>
    <row collapsed="false" customFormat="false" customHeight="false" hidden="false" ht="12.1" outlineLevel="0" r="8238">
      <c r="A8238" s="3" t="s">
        <f>=HYPERLINK("https://mp39851918.megaplan.ua/deals/138127/card/","23494")</f>
      </c>
      <c r="B8238" s="3" t="inlineStr">
        <is>
          <t>112-7096222-3669062</t>
        </is>
      </c>
      <c r="C8238" s="3" t="inlineStr">
        <is>
          <t>PartsUnlimited</t>
        </is>
      </c>
    </row>
    <row collapsed="false" customFormat="false" customHeight="false" hidden="false" ht="12.1" outlineLevel="0" r="8239">
      <c r="A8239" s="3" t="s">
        <f>=HYPERLINK("https://mp39851918.megaplan.ua/deals/138147/card/","23495")</f>
      </c>
      <c r="B8239" s="3" t="inlineStr">
        <is>
          <t>114-5254462-1486642</t>
        </is>
      </c>
      <c r="C8239" s="3" t="inlineStr">
        <is>
          <t>RockyMountain</t>
        </is>
      </c>
    </row>
    <row collapsed="false" customFormat="false" customHeight="false" hidden="false" ht="12.1" outlineLevel="0" r="8240">
      <c r="A8240" s="3" t="s">
        <f>=HYPERLINK("https://mp39851918.megaplan.ua/deals/138152/card/","23496")</f>
      </c>
      <c r="B8240" s="3" t="inlineStr">
        <is>
          <t>111-6211904-4689848</t>
        </is>
      </c>
      <c r="C8240" s="3" t="inlineStr">
        <is>
          <t>RockyMountain</t>
        </is>
      </c>
    </row>
    <row collapsed="false" customFormat="false" customHeight="false" hidden="false" ht="12.1" outlineLevel="0" r="8241">
      <c r="A8241" s="3" t="s">
        <f>=HYPERLINK("https://mp39851918.megaplan.ua/deals/138154/card/","23497")</f>
      </c>
      <c r="B8241" s="3" t="inlineStr">
        <is>
          <t>114-7322420-1900200</t>
        </is>
      </c>
      <c r="C8241" s="3" t="inlineStr">
        <is>
          <t>RockyMountain</t>
        </is>
      </c>
    </row>
    <row collapsed="false" customFormat="false" customHeight="false" hidden="false" ht="12.1" outlineLevel="0" r="8242">
      <c r="A8242" s="3" t="s">
        <f>=HYPERLINK("https://mp39851918.megaplan.ua/deals/138157/card/","23498")</f>
      </c>
      <c r="B8242" s="3" t="inlineStr">
        <is>
          <t>111-1845528-2507464</t>
        </is>
      </c>
      <c r="C8242" s="3" t="inlineStr">
        <is>
          <t>RockyMountain</t>
        </is>
      </c>
    </row>
    <row collapsed="false" customFormat="false" customHeight="false" hidden="false" ht="12.1" outlineLevel="0" r="8243">
      <c r="A8243" s="3" t="s">
        <f>=HYPERLINK("https://mp39851918.megaplan.ua/deals/138158/card/","23499")</f>
      </c>
      <c r="B8243" s="3" t="inlineStr">
        <is>
          <t>111-4174821-3229856</t>
        </is>
      </c>
      <c r="C8243" s="3" t="inlineStr">
        <is>
          <t>RockyMountain</t>
        </is>
      </c>
    </row>
    <row collapsed="false" customFormat="false" customHeight="false" hidden="false" ht="12.1" outlineLevel="0" r="8244">
      <c r="A8244" s="3" t="s">
        <f>=HYPERLINK("https://mp39851918.megaplan.ua/deals/138160/card/","23500")</f>
      </c>
      <c r="B8244" s="3" t="inlineStr">
        <is>
          <t>112-0562269-8443403</t>
        </is>
      </c>
      <c r="C8244" s="3" t="inlineStr">
        <is>
          <t>Autodist</t>
        </is>
      </c>
    </row>
    <row collapsed="false" customFormat="false" customHeight="false" hidden="false" ht="12.1" outlineLevel="0" r="8245">
      <c r="A8245" s="3" t="s">
        <f>=HYPERLINK("https://mp39851918.megaplan.ua/deals/138161/card/","23501")</f>
      </c>
      <c r="B8245" s="3" t="inlineStr">
        <is>
          <t>113-3758325-9704217</t>
        </is>
      </c>
      <c r="C8245" s="3" t="inlineStr">
        <is>
          <t>RockyMountain</t>
        </is>
      </c>
    </row>
    <row collapsed="false" customFormat="false" customHeight="false" hidden="false" ht="12.1" outlineLevel="0" r="8246">
      <c r="A8246" s="3" t="s">
        <f>=HYPERLINK("https://mp39851918.megaplan.ua/deals/138167/card/","23502")</f>
      </c>
      <c r="B8246" s="3" t="inlineStr">
        <is>
          <t>112-9379294-7643421</t>
        </is>
      </c>
      <c r="C8246" s="3" t="inlineStr">
        <is>
          <t>RockyMountain</t>
        </is>
      </c>
    </row>
    <row collapsed="false" customFormat="false" customHeight="false" hidden="false" ht="12.1" outlineLevel="0" r="8247">
      <c r="A8247" s="3" t="s">
        <f>=HYPERLINK("https://mp39851918.megaplan.ua/deals/138176/card/","23503")</f>
      </c>
      <c r="B8247" s="3" t="inlineStr">
        <is>
          <t>111-8289402-1987411</t>
        </is>
      </c>
      <c r="C8247" s="3" t="inlineStr">
        <is>
          <t>Autodist</t>
        </is>
      </c>
    </row>
    <row collapsed="false" customFormat="false" customHeight="false" hidden="false" ht="12.1" outlineLevel="0" r="8248">
      <c r="A8248" s="3" t="s">
        <f>=HYPERLINK("https://mp39851918.megaplan.ua/deals/138192/card/","23504")</f>
      </c>
      <c r="B8248" s="3" t="inlineStr">
        <is>
          <t>114-1215505-6949815</t>
        </is>
      </c>
      <c r="C8248" s="3" t="inlineStr">
        <is>
          <t>RockyMountain</t>
        </is>
      </c>
    </row>
    <row collapsed="false" customFormat="false" customHeight="false" hidden="false" ht="12.1" outlineLevel="0" r="8249">
      <c r="A8249" s="3" t="s">
        <f>=HYPERLINK("https://mp39851918.megaplan.ua/deals/138195/card/","23505")</f>
      </c>
      <c r="B8249" s="3" t="inlineStr">
        <is>
          <t>112-1977090-1124253</t>
        </is>
      </c>
      <c r="C8249" s="3" t="inlineStr">
        <is>
          <t>RockyMountain</t>
        </is>
      </c>
    </row>
    <row collapsed="false" customFormat="false" customHeight="false" hidden="false" ht="12.1" outlineLevel="0" r="8250">
      <c r="A8250" s="3" t="s">
        <f>=HYPERLINK("https://mp39851918.megaplan.ua/deals/138196/card/","23506")</f>
      </c>
      <c r="B8250" s="3" t="inlineStr">
        <is>
          <t>114-2345860-3599447</t>
        </is>
      </c>
      <c r="C8250" s="3" t="inlineStr">
        <is>
          <t>Autodist</t>
        </is>
      </c>
    </row>
    <row collapsed="false" customFormat="false" customHeight="false" hidden="false" ht="12.1" outlineLevel="0" r="8251">
      <c r="A8251" s="3" t="s">
        <f>=HYPERLINK("https://mp39851918.megaplan.ua/deals/138201/card/","23507")</f>
      </c>
      <c r="B8251" s="3" t="inlineStr">
        <is>
          <t>113-5804796-9829825</t>
        </is>
      </c>
      <c r="C8251" s="3" t="inlineStr">
        <is>
          <t>RockyMountain</t>
        </is>
      </c>
    </row>
    <row collapsed="false" customFormat="false" customHeight="false" hidden="false" ht="12.1" outlineLevel="0" r="8252">
      <c r="A8252" s="3" t="s">
        <f>=HYPERLINK("https://mp39851918.megaplan.ua/deals/138211/card/","23508")</f>
      </c>
      <c r="B8252" s="3" t="inlineStr">
        <is>
          <t>112-0186366-5469873</t>
        </is>
      </c>
      <c r="C8252" s="3" t="inlineStr">
        <is>
          <t>RockyMountain</t>
        </is>
      </c>
    </row>
    <row collapsed="false" customFormat="false" customHeight="false" hidden="false" ht="12.1" outlineLevel="0" r="8253">
      <c r="A8253" s="3" t="s">
        <f>=HYPERLINK("https://mp39851918.megaplan.ua/deals/138218/card/","23509")</f>
      </c>
      <c r="B8253" s="3" t="inlineStr">
        <is>
          <t>113-6252722-7138657</t>
        </is>
      </c>
      <c r="C8253" s="3" t="inlineStr">
        <is>
          <t>PartsUnlimited</t>
        </is>
      </c>
    </row>
    <row collapsed="false" customFormat="false" customHeight="false" hidden="false" ht="12.1" outlineLevel="0" r="8254">
      <c r="A8254" s="3" t="s">
        <f>=HYPERLINK("https://mp39851918.megaplan.ua/deals/138229/card/","23510")</f>
      </c>
      <c r="B8254" s="3" t="inlineStr">
        <is>
          <t>111-2451203-8164226</t>
        </is>
      </c>
      <c r="C8254" s="3" t="inlineStr">
        <is>
          <t>PartsUnlimited</t>
        </is>
      </c>
    </row>
    <row collapsed="false" customFormat="false" customHeight="false" hidden="false" ht="12.1" outlineLevel="0" r="8255">
      <c r="A8255" s="3" t="s">
        <f>=HYPERLINK("https://mp39851918.megaplan.ua/deals/138230/card/","23511")</f>
      </c>
      <c r="B8255" s="3" t="inlineStr">
        <is>
          <t>112-8641346-7079415</t>
        </is>
      </c>
      <c r="C8255" s="3" t="inlineStr">
        <is>
          <t>PartsUnlimited</t>
        </is>
      </c>
    </row>
    <row collapsed="false" customFormat="false" customHeight="false" hidden="false" ht="12.1" outlineLevel="0" r="8256">
      <c r="A8256" s="3" t="s">
        <f>=HYPERLINK("https://mp39851918.megaplan.ua/deals/138241/card/","23512")</f>
      </c>
      <c r="B8256" s="3" t="inlineStr">
        <is>
          <t>111-7586368-8911442</t>
        </is>
      </c>
      <c r="C8256" s="3" t="inlineStr">
        <is>
          <t>Autodist</t>
        </is>
      </c>
    </row>
    <row collapsed="false" customFormat="false" customHeight="false" hidden="false" ht="12.1" outlineLevel="0" r="8257">
      <c r="A8257" s="3" t="s">
        <f>=HYPERLINK("https://mp39851918.megaplan.ua/deals/138242/card/","23513")</f>
      </c>
      <c r="B8257" s="3" t="inlineStr">
        <is>
          <t>114-1315102-7089022</t>
        </is>
      </c>
      <c r="C8257" s="3" t="inlineStr">
        <is>
          <t>TuckerRocky</t>
        </is>
      </c>
    </row>
    <row collapsed="false" customFormat="false" customHeight="false" hidden="false" ht="12.1" outlineLevel="0" r="8258">
      <c r="A8258" s="3" t="s">
        <f>=HYPERLINK("https://mp39851918.megaplan.ua/deals/138244/card/","23514")</f>
      </c>
      <c r="B8258" s="3" t="inlineStr">
        <is>
          <t>111-6022504-9192247</t>
        </is>
      </c>
      <c r="C8258" s="3" t="inlineStr">
        <is>
          <t>Autodist</t>
        </is>
      </c>
    </row>
    <row collapsed="false" customFormat="false" customHeight="false" hidden="false" ht="12.1" outlineLevel="0" r="8259">
      <c r="A8259" s="3" t="s">
        <f>=HYPERLINK("https://mp39851918.megaplan.ua/deals/138246/card/","23515")</f>
      </c>
      <c r="B8259" s="3" t="inlineStr">
        <is>
          <t>114-2145135-7585863</t>
        </is>
      </c>
      <c r="C8259" s="3" t="inlineStr">
        <is>
          <t>Autodist</t>
        </is>
      </c>
    </row>
    <row collapsed="false" customFormat="false" customHeight="false" hidden="false" ht="12.1" outlineLevel="0" r="8260">
      <c r="A8260" s="3" t="s">
        <f>=HYPERLINK("https://mp39851918.megaplan.ua/deals/138251/card/","23516")</f>
      </c>
      <c r="B8260" s="3" t="inlineStr">
        <is>
          <t>112-4301689-8976210</t>
        </is>
      </c>
      <c r="C8260" s="3" t="inlineStr">
        <is>
          <t>RockyMountain</t>
        </is>
      </c>
    </row>
    <row collapsed="false" customFormat="false" customHeight="false" hidden="false" ht="12.1" outlineLevel="0" r="8261">
      <c r="A8261" s="3" t="s">
        <f>=HYPERLINK("https://mp39851918.megaplan.ua/deals/138252/card/","23517")</f>
      </c>
      <c r="B8261" s="3" t="inlineStr">
        <is>
          <t>112-4518639-6145838</t>
        </is>
      </c>
      <c r="C8261" s="3" t="inlineStr">
        <is>
          <t>Autodist</t>
        </is>
      </c>
    </row>
    <row collapsed="false" customFormat="false" customHeight="false" hidden="false" ht="12.1" outlineLevel="0" r="8262">
      <c r="A8262" s="3" t="s">
        <f>=HYPERLINK("https://mp39851918.megaplan.ua/deals/138257/card/","23518")</f>
      </c>
      <c r="B8262" s="3" t="inlineStr">
        <is>
          <t>111-8266167-8436204</t>
        </is>
      </c>
      <c r="C8262" s="3" t="inlineStr">
        <is>
          <t>PartsUnlimited</t>
        </is>
      </c>
    </row>
    <row collapsed="false" customFormat="false" customHeight="false" hidden="false" ht="12.1" outlineLevel="0" r="8263">
      <c r="A8263" s="3" t="s">
        <f>=HYPERLINK("https://mp39851918.megaplan.ua/deals/138262/card/","23519")</f>
      </c>
      <c r="B8263" s="3" t="inlineStr">
        <is>
          <t>113-1262907-7444268</t>
        </is>
      </c>
      <c r="C8263" s="3" t="inlineStr">
        <is>
          <t>PartsUnlimited</t>
        </is>
      </c>
    </row>
    <row collapsed="false" customFormat="false" customHeight="false" hidden="false" ht="12.1" outlineLevel="0" r="8264">
      <c r="A8264" s="3" t="s">
        <f>=HYPERLINK("https://mp39851918.megaplan.ua/deals/138264/card/","23520")</f>
      </c>
      <c r="B8264" s="3" t="inlineStr">
        <is>
          <t>111-8326721-3789037</t>
        </is>
      </c>
      <c r="C8264" s="3" t="inlineStr">
        <is>
          <t>RockyMountain</t>
        </is>
      </c>
    </row>
    <row collapsed="false" customFormat="false" customHeight="false" hidden="false" ht="12.1" outlineLevel="0" r="8265">
      <c r="A8265" s="3" t="s">
        <f>=HYPERLINK("https://mp39851918.megaplan.ua/deals/138280/card/","23522")</f>
      </c>
      <c r="B8265" s="3" t="inlineStr">
        <is>
          <t>112-3701824-0733015</t>
        </is>
      </c>
      <c r="C8265" s="3" t="inlineStr">
        <is>
          <t>Autodist</t>
        </is>
      </c>
    </row>
    <row collapsed="false" customFormat="false" customHeight="false" hidden="false" ht="12.1" outlineLevel="0" r="8266">
      <c r="A8266" s="3" t="s">
        <f>=HYPERLINK("https://mp39851918.megaplan.ua/deals/138282/card/","23523")</f>
      </c>
      <c r="B8266" s="3" t="inlineStr">
        <is>
          <t>113-5068371-3981828</t>
        </is>
      </c>
      <c r="C8266" s="3" t="inlineStr">
        <is>
          <t>RockyMountain</t>
        </is>
      </c>
    </row>
    <row collapsed="false" customFormat="false" customHeight="false" hidden="false" ht="12.1" outlineLevel="0" r="8267">
      <c r="A8267" s="3" t="s">
        <f>=HYPERLINK("https://mp39851918.megaplan.ua/deals/138283/card/","23524")</f>
      </c>
      <c r="B8267" s="3" t="inlineStr">
        <is>
          <t>114-3989015-9889038</t>
        </is>
      </c>
      <c r="C8267" s="3" t="inlineStr">
        <is>
          <t>RockyMountain</t>
        </is>
      </c>
    </row>
    <row collapsed="false" customFormat="false" customHeight="false" hidden="false" ht="12.1" outlineLevel="0" r="8268">
      <c r="A8268" s="3" t="s">
        <f>=HYPERLINK("https://mp39851918.megaplan.ua/deals/138287/card/","23525")</f>
      </c>
      <c r="B8268" s="3" t="inlineStr">
        <is>
          <t>114-6605520-0077866</t>
        </is>
      </c>
      <c r="C8268" s="3" t="inlineStr">
        <is>
          <t>RockyMountain</t>
        </is>
      </c>
    </row>
    <row collapsed="false" customFormat="false" customHeight="false" hidden="false" ht="12.1" outlineLevel="0" r="8269">
      <c r="A8269" s="3" t="s">
        <f>=HYPERLINK("https://mp39851918.megaplan.ua/deals/138289/card/","23526")</f>
      </c>
      <c r="B8269" s="3" t="inlineStr">
        <is>
          <t>111-7181034-3510609</t>
        </is>
      </c>
      <c r="C8269" s="3" t="inlineStr">
        <is>
          <t>Autodist</t>
        </is>
      </c>
    </row>
    <row collapsed="false" customFormat="false" customHeight="false" hidden="false" ht="12.1" outlineLevel="0" r="8270">
      <c r="A8270" s="3" t="s">
        <f>=HYPERLINK("https://mp39851918.megaplan.ua/deals/138303/card/","23527")</f>
      </c>
      <c r="B8270" s="3" t="inlineStr">
        <is>
          <t>112-8697995-8105822</t>
        </is>
      </c>
      <c r="C8270" s="3" t="inlineStr">
        <is>
          <t>Autodist</t>
        </is>
      </c>
    </row>
    <row collapsed="false" customFormat="false" customHeight="false" hidden="false" ht="12.1" outlineLevel="0" r="8271">
      <c r="A8271" s="3" t="s">
        <f>=HYPERLINK("https://mp39851918.megaplan.ua/deals/138317/card/","23528")</f>
      </c>
      <c r="B8271" s="3" t="inlineStr">
        <is>
          <t>111-2038789-4056235</t>
        </is>
      </c>
      <c r="C8271" s="3" t="inlineStr">
        <is>
          <t>RockyMountain</t>
        </is>
      </c>
    </row>
    <row collapsed="false" customFormat="false" customHeight="false" hidden="false" ht="12.1" outlineLevel="0" r="8272">
      <c r="A8272" s="3" t="s">
        <f>=HYPERLINK("https://mp39851918.megaplan.ua/deals/138318/card/","23529")</f>
      </c>
      <c r="B8272" s="3" t="inlineStr">
        <is>
          <t>114-6136989-3861816</t>
        </is>
      </c>
      <c r="C8272" s="3" t="inlineStr">
        <is>
          <t>RockyMountain</t>
        </is>
      </c>
    </row>
    <row collapsed="false" customFormat="false" customHeight="false" hidden="false" ht="12.1" outlineLevel="0" r="8273">
      <c r="A8273" s="3" t="s">
        <f>=HYPERLINK("https://mp39851918.megaplan.ua/deals/138319/card/","23530")</f>
      </c>
      <c r="B8273" s="3" t="inlineStr">
        <is>
          <t>113-8534008-0893018</t>
        </is>
      </c>
      <c r="C8273" s="3" t="inlineStr">
        <is>
          <t>Autodist</t>
        </is>
      </c>
    </row>
    <row collapsed="false" customFormat="false" customHeight="false" hidden="false" ht="12.1" outlineLevel="0" r="8274">
      <c r="A8274" s="3" t="s">
        <f>=HYPERLINK("https://mp39851918.megaplan.ua/deals/138324/card/","23531")</f>
      </c>
      <c r="B8274" s="3" t="inlineStr">
        <is>
          <t>113-6025772-9970650</t>
        </is>
      </c>
      <c r="C8274" s="3" t="inlineStr">
        <is>
          <t>RockyMountain</t>
        </is>
      </c>
    </row>
    <row collapsed="false" customFormat="false" customHeight="false" hidden="false" ht="12.1" outlineLevel="0" r="8275">
      <c r="A8275" s="3" t="s">
        <f>=HYPERLINK("https://mp39851918.megaplan.ua/deals/138325/card/","23532")</f>
      </c>
      <c r="B8275" s="3" t="inlineStr">
        <is>
          <t>112-7358247-2941849</t>
        </is>
      </c>
      <c r="C8275" s="3" t="inlineStr">
        <is>
          <t>RockyMountain</t>
        </is>
      </c>
    </row>
    <row collapsed="false" customFormat="false" customHeight="false" hidden="false" ht="12.1" outlineLevel="0" r="8276">
      <c r="A8276" s="3" t="s">
        <f>=HYPERLINK("https://mp39851918.megaplan.ua/deals/138326/card/","23533")</f>
      </c>
      <c r="B8276" s="3" t="inlineStr">
        <is>
          <t>112-0441016-8193037</t>
        </is>
      </c>
      <c r="C8276" s="3" t="inlineStr">
        <is>
          <t>RockyMountain</t>
        </is>
      </c>
    </row>
    <row collapsed="false" customFormat="false" customHeight="false" hidden="false" ht="12.1" outlineLevel="0" r="8277">
      <c r="A8277" s="3" t="s">
        <f>=HYPERLINK("https://mp39851918.megaplan.ua/deals/138328/card/","23534")</f>
      </c>
      <c r="B8277" s="3" t="inlineStr">
        <is>
          <t>111-1971222-6676248</t>
        </is>
      </c>
      <c r="C8277" s="3" t="inlineStr">
        <is>
          <t>RockyMountain</t>
        </is>
      </c>
    </row>
    <row collapsed="false" customFormat="false" customHeight="false" hidden="false" ht="12.1" outlineLevel="0" r="8278">
      <c r="A8278" s="3" t="s">
        <f>=HYPERLINK("https://mp39851918.megaplan.ua/deals/138329/card/","23535")</f>
      </c>
      <c r="B8278" s="3" t="inlineStr">
        <is>
          <t>112-5338738-8981830</t>
        </is>
      </c>
      <c r="C8278" s="3" t="inlineStr">
        <is>
          <t>TuckerRocky</t>
        </is>
      </c>
    </row>
    <row collapsed="false" customFormat="false" customHeight="false" hidden="false" ht="12.1" outlineLevel="0" r="8279">
      <c r="A8279" s="3" t="s">
        <f>=HYPERLINK("https://mp39851918.megaplan.ua/deals/138331/card/","23536")</f>
      </c>
      <c r="B8279" s="3" t="inlineStr">
        <is>
          <t>113-3376091-6018604</t>
        </is>
      </c>
      <c r="C8279" s="3" t="inlineStr">
        <is>
          <t>RockyMountain</t>
        </is>
      </c>
    </row>
    <row collapsed="false" customFormat="false" customHeight="false" hidden="false" ht="12.1" outlineLevel="0" r="8280">
      <c r="A8280" s="3" t="s">
        <f>=HYPERLINK("https://mp39851918.megaplan.ua/deals/138336/card/","23537")</f>
      </c>
      <c r="B8280" s="3" t="inlineStr">
        <is>
          <t>114-8253967-4238632</t>
        </is>
      </c>
      <c r="C8280" s="3" t="inlineStr">
        <is>
          <t>Autodist</t>
        </is>
      </c>
    </row>
    <row collapsed="false" customFormat="false" customHeight="false" hidden="false" ht="12.1" outlineLevel="0" r="8281">
      <c r="A8281" s="3" t="s">
        <f>=HYPERLINK("https://mp39851918.megaplan.ua/deals/138337/card/","23538")</f>
      </c>
      <c r="B8281" s="3" t="inlineStr">
        <is>
          <t>111-4040854-2358667</t>
        </is>
      </c>
      <c r="C8281" s="3" t="inlineStr">
        <is>
          <t>RockyMountain</t>
        </is>
      </c>
    </row>
    <row collapsed="false" customFormat="false" customHeight="false" hidden="false" ht="12.1" outlineLevel="0" r="8282">
      <c r="A8282" s="3" t="s">
        <f>=HYPERLINK("https://mp39851918.megaplan.ua/deals/138342/card/","23541")</f>
      </c>
      <c r="B8282" s="3" t="inlineStr">
        <is>
          <t>112-7716788-6773003</t>
        </is>
      </c>
      <c r="C8282" s="3" t="inlineStr">
        <is>
          <t>RockyMountain</t>
        </is>
      </c>
    </row>
    <row collapsed="false" customFormat="false" customHeight="false" hidden="false" ht="12.1" outlineLevel="0" r="8283">
      <c r="A8283" s="3" t="s">
        <f>=HYPERLINK("https://mp39851918.megaplan.ua/deals/138353/card/","23542")</f>
      </c>
      <c r="B8283" s="3" t="inlineStr">
        <is>
          <t>113-2988981-4491432</t>
        </is>
      </c>
      <c r="C8283" s="3" t="inlineStr">
        <is>
          <t>RockyMountain</t>
        </is>
      </c>
    </row>
    <row collapsed="false" customFormat="false" customHeight="false" hidden="false" ht="12.1" outlineLevel="0" r="8284">
      <c r="A8284" s="3" t="s">
        <f>=HYPERLINK("https://mp39851918.megaplan.ua/deals/138354/card/","23543")</f>
      </c>
      <c r="B8284" s="3" t="inlineStr">
        <is>
          <t>113-2789938-0244257</t>
        </is>
      </c>
      <c r="C8284" s="3" t="inlineStr">
        <is>
          <t>Autodist</t>
        </is>
      </c>
    </row>
    <row collapsed="false" customFormat="false" customHeight="false" hidden="false" ht="12.1" outlineLevel="0" r="8285">
      <c r="A8285" s="3" t="s">
        <f>=HYPERLINK("https://mp39851918.megaplan.ua/deals/138365/card/","23544")</f>
      </c>
      <c r="B8285" s="3" t="inlineStr">
        <is>
          <t>111-5114105-2515452</t>
        </is>
      </c>
      <c r="C8285" s="3" t="inlineStr">
        <is>
          <t>Autodist</t>
        </is>
      </c>
    </row>
    <row collapsed="false" customFormat="false" customHeight="false" hidden="false" ht="12.1" outlineLevel="0" r="8286">
      <c r="A8286" s="3" t="s">
        <f>=HYPERLINK("https://mp39851918.megaplan.ua/deals/138366/card/","23545")</f>
      </c>
      <c r="B8286" s="3" t="inlineStr">
        <is>
          <t>114-1903397-5947444</t>
        </is>
      </c>
      <c r="C8286" s="3" t="inlineStr">
        <is>
          <t>RockyMountain</t>
        </is>
      </c>
    </row>
    <row collapsed="false" customFormat="false" customHeight="false" hidden="false" ht="12.1" outlineLevel="0" r="8287">
      <c r="A8287" s="3" t="s">
        <f>=HYPERLINK("https://mp39851918.megaplan.ua/deals/138368/card/","23546")</f>
      </c>
      <c r="B8287" s="3" t="inlineStr">
        <is>
          <t>112-4948927-4977050</t>
        </is>
      </c>
      <c r="C8287" s="3" t="inlineStr">
        <is>
          <t>TuckerRocky</t>
        </is>
      </c>
    </row>
    <row collapsed="false" customFormat="false" customHeight="false" hidden="false" ht="12.1" outlineLevel="0" r="8288">
      <c r="A8288" s="3" t="s">
        <f>=HYPERLINK("https://mp39851918.megaplan.ua/deals/138369/card/","23547")</f>
      </c>
      <c r="B8288" s="3" t="inlineStr">
        <is>
          <t>111-7121717-0815410</t>
        </is>
      </c>
      <c r="C8288" s="3" t="inlineStr">
        <is>
          <t>RockyMountain</t>
        </is>
      </c>
    </row>
    <row collapsed="false" customFormat="false" customHeight="false" hidden="false" ht="12.1" outlineLevel="0" r="8289">
      <c r="A8289" s="3" t="s">
        <f>=HYPERLINK("https://mp39851918.megaplan.ua/deals/138370/card/","23548")</f>
      </c>
      <c r="B8289" s="3" t="inlineStr">
        <is>
          <t>111-9945928-8012219</t>
        </is>
      </c>
      <c r="C8289" s="3" t="inlineStr">
        <is>
          <t>RockyMountain</t>
        </is>
      </c>
    </row>
    <row collapsed="false" customFormat="false" customHeight="false" hidden="false" ht="12.1" outlineLevel="0" r="8290">
      <c r="A8290" s="3" t="s">
        <f>=HYPERLINK("https://mp39851918.megaplan.ua/deals/138381/card/","23550")</f>
      </c>
      <c r="B8290" s="3" t="inlineStr">
        <is>
          <t>113-1484013-8599449</t>
        </is>
      </c>
      <c r="C8290" s="3" t="inlineStr">
        <is>
          <t>Autodist</t>
        </is>
      </c>
    </row>
    <row collapsed="false" customFormat="false" customHeight="false" hidden="false" ht="12.1" outlineLevel="0" r="8291">
      <c r="A8291" s="3" t="s">
        <f>=HYPERLINK("https://mp39851918.megaplan.ua/deals/138382/card/","23551")</f>
      </c>
      <c r="B8291" s="3" t="inlineStr">
        <is>
          <t>112-7534912-0475425</t>
        </is>
      </c>
      <c r="C8291" s="3" t="inlineStr">
        <is>
          <t>PartsUnlimited</t>
        </is>
      </c>
    </row>
    <row collapsed="false" customFormat="false" customHeight="false" hidden="false" ht="12.1" outlineLevel="0" r="8292">
      <c r="A8292" s="3" t="s">
        <f>=HYPERLINK("https://mp39851918.megaplan.ua/deals/138383/card/","23552")</f>
      </c>
      <c r="B8292" s="3" t="inlineStr">
        <is>
          <t>113-7570183-0496252</t>
        </is>
      </c>
      <c r="C8292" s="3" t="inlineStr">
        <is>
          <t>Autodist</t>
        </is>
      </c>
    </row>
    <row collapsed="false" customFormat="false" customHeight="false" hidden="false" ht="12.1" outlineLevel="0" r="8293">
      <c r="A8293" s="3" t="s">
        <f>=HYPERLINK("https://mp39851918.megaplan.ua/deals/138390/card/","23554")</f>
      </c>
      <c r="B8293" s="3" t="inlineStr">
        <is>
          <t>113-8177650-9764243</t>
        </is>
      </c>
      <c r="C8293" s="3" t="inlineStr">
        <is>
          <t>Autodist</t>
        </is>
      </c>
    </row>
    <row collapsed="false" customFormat="false" customHeight="false" hidden="false" ht="12.1" outlineLevel="0" r="8294">
      <c r="A8294" s="3" t="s">
        <f>=HYPERLINK("https://mp39851918.megaplan.ua/deals/138394/card/","23555")</f>
      </c>
      <c r="B8294" s="3" t="inlineStr">
        <is>
          <t>114-1334980-1596240</t>
        </is>
      </c>
      <c r="C8294" s="3" t="inlineStr">
        <is>
          <t>RockyMountain</t>
        </is>
      </c>
    </row>
    <row collapsed="false" customFormat="false" customHeight="false" hidden="false" ht="12.1" outlineLevel="0" r="8295">
      <c r="A8295" s="3" t="s">
        <f>=HYPERLINK("https://mp39851918.megaplan.ua/deals/138395/card/","23556")</f>
      </c>
      <c r="B8295" s="3" t="inlineStr">
        <is>
          <t>113-2423258-4087462</t>
        </is>
      </c>
      <c r="C8295" s="3" t="inlineStr">
        <is>
          <t>Autodist</t>
        </is>
      </c>
    </row>
    <row collapsed="false" customFormat="false" customHeight="false" hidden="false" ht="12.1" outlineLevel="0" r="8296">
      <c r="A8296" s="3" t="s">
        <f>=HYPERLINK("https://mp39851918.megaplan.ua/deals/138400/card/","23557")</f>
      </c>
      <c r="B8296" s="3" t="inlineStr">
        <is>
          <t>114-7377829-4957854</t>
        </is>
      </c>
      <c r="C8296" s="3" t="inlineStr">
        <is>
          <t>RockyMountain</t>
        </is>
      </c>
    </row>
    <row collapsed="false" customFormat="false" customHeight="false" hidden="false" ht="12.1" outlineLevel="0" r="8297">
      <c r="A8297" s="3" t="s">
        <f>=HYPERLINK("https://mp39851918.megaplan.ua/deals/138401/card/","23558")</f>
      </c>
      <c r="B8297" s="3" t="inlineStr">
        <is>
          <t>114-8190530-1663408</t>
        </is>
      </c>
      <c r="C8297" s="3" t="inlineStr">
        <is>
          <t>RockyMountain</t>
        </is>
      </c>
    </row>
    <row collapsed="false" customFormat="false" customHeight="false" hidden="false" ht="12.1" outlineLevel="0" r="8298">
      <c r="A8298" s="3" t="s">
        <f>=HYPERLINK("https://mp39851918.megaplan.ua/deals/138409/card/","23559")</f>
      </c>
      <c r="B8298" s="3" t="inlineStr">
        <is>
          <t>114-0708328-4909038</t>
        </is>
      </c>
      <c r="C8298" s="3" t="inlineStr">
        <is>
          <t>PartsUnlimited</t>
        </is>
      </c>
    </row>
    <row collapsed="false" customFormat="false" customHeight="false" hidden="false" ht="12.1" outlineLevel="0" r="8299">
      <c r="A8299" s="3" t="s">
        <f>=HYPERLINK("https://mp39851918.megaplan.ua/deals/138410/card/","23560")</f>
      </c>
      <c r="B8299" s="3" t="inlineStr">
        <is>
          <t>114-2540580-0379407</t>
        </is>
      </c>
      <c r="C8299" s="3" t="inlineStr">
        <is>
          <t>PartsUnlimited</t>
        </is>
      </c>
    </row>
    <row collapsed="false" customFormat="false" customHeight="false" hidden="false" ht="12.1" outlineLevel="0" r="8300">
      <c r="A8300" s="3" t="s">
        <f>=HYPERLINK("https://mp39851918.megaplan.ua/deals/138411/card/","23561")</f>
      </c>
      <c r="B8300" s="3" t="inlineStr">
        <is>
          <t>114-9880738-2477016</t>
        </is>
      </c>
      <c r="C8300" s="3" t="inlineStr">
        <is>
          <t>RockyMountain</t>
        </is>
      </c>
    </row>
    <row collapsed="false" customFormat="false" customHeight="false" hidden="false" ht="12.1" outlineLevel="0" r="8301">
      <c r="A8301" s="3" t="s">
        <f>=HYPERLINK("https://mp39851918.megaplan.ua/deals/138421/card/","23562")</f>
      </c>
      <c r="B8301" s="3" t="inlineStr">
        <is>
          <t>111-6124382-8321020</t>
        </is>
      </c>
      <c r="C8301" s="3" t="inlineStr">
        <is>
          <t>Autodist</t>
        </is>
      </c>
    </row>
    <row collapsed="false" customFormat="false" customHeight="false" hidden="false" ht="12.1" outlineLevel="0" r="8302">
      <c r="A8302" s="3" t="s">
        <f>=HYPERLINK("https://mp39851918.megaplan.ua/deals/138423/card/","23563")</f>
      </c>
      <c r="B8302" s="3" t="inlineStr">
        <is>
          <t>112-7557262-7457851</t>
        </is>
      </c>
      <c r="C8302" s="3" t="inlineStr">
        <is>
          <t>RockyMountain</t>
        </is>
      </c>
    </row>
    <row collapsed="false" customFormat="false" customHeight="false" hidden="false" ht="12.1" outlineLevel="0" r="8303">
      <c r="A8303" s="3" t="s">
        <f>=HYPERLINK("https://mp39851918.megaplan.ua/deals/138424/card/","23564")</f>
      </c>
      <c r="B8303" s="3" t="inlineStr">
        <is>
          <t>113-4496705-3180269</t>
        </is>
      </c>
      <c r="C8303" s="3" t="inlineStr">
        <is>
          <t>RockyMountain</t>
        </is>
      </c>
    </row>
    <row collapsed="false" customFormat="false" customHeight="false" hidden="false" ht="12.1" outlineLevel="0" r="8304">
      <c r="A8304" s="3" t="s">
        <f>=HYPERLINK("https://mp39851918.megaplan.ua/deals/138444/card/","23565")</f>
      </c>
      <c r="B8304" s="3" t="inlineStr">
        <is>
          <t>112-6826982-0749033</t>
        </is>
      </c>
      <c r="C8304" s="3" t="inlineStr">
        <is>
          <t>TuckerRocky</t>
        </is>
      </c>
    </row>
    <row collapsed="false" customFormat="false" customHeight="false" hidden="false" ht="12.1" outlineLevel="0" r="8305">
      <c r="A8305" s="3" t="s">
        <f>=HYPERLINK("https://mp39851918.megaplan.ua/deals/138448/card/","23566")</f>
      </c>
      <c r="B8305" s="3" t="inlineStr">
        <is>
          <t>111-5266932-1153069</t>
        </is>
      </c>
      <c r="C8305" s="3" t="inlineStr">
        <is>
          <t>PartsUnlimited</t>
        </is>
      </c>
    </row>
    <row collapsed="false" customFormat="false" customHeight="false" hidden="false" ht="12.1" outlineLevel="0" r="8306">
      <c r="A8306" s="3" t="s">
        <f>=HYPERLINK("https://mp39851918.megaplan.ua/deals/138450/card/","23567")</f>
      </c>
      <c r="B8306" s="3" t="inlineStr">
        <is>
          <t>114-7787493-0671463</t>
        </is>
      </c>
      <c r="C8306" s="3" t="inlineStr">
        <is>
          <t>RockyMountain</t>
        </is>
      </c>
    </row>
    <row collapsed="false" customFormat="false" customHeight="false" hidden="false" ht="12.1" outlineLevel="0" r="8307">
      <c r="A8307" s="3" t="s">
        <f>=HYPERLINK("https://mp39851918.megaplan.ua/deals/138451/card/","23568")</f>
      </c>
      <c r="B8307" s="3" t="inlineStr">
        <is>
          <t>112-4961894-7559427</t>
        </is>
      </c>
      <c r="C8307" s="3" t="inlineStr">
        <is>
          <t>Autodist</t>
        </is>
      </c>
    </row>
    <row collapsed="false" customFormat="false" customHeight="false" hidden="false" ht="12.1" outlineLevel="0" r="8308">
      <c r="A8308" s="3" t="s">
        <f>=HYPERLINK("https://mp39851918.megaplan.ua/deals/138455/card/","23569")</f>
      </c>
      <c r="B8308" s="3" t="inlineStr">
        <is>
          <t>113-5346738-8341815</t>
        </is>
      </c>
      <c r="C8308" s="3" t="inlineStr">
        <is>
          <t>Autodist</t>
        </is>
      </c>
    </row>
    <row collapsed="false" customFormat="false" customHeight="false" hidden="false" ht="12.1" outlineLevel="0" r="8309">
      <c r="A8309" s="3" t="s">
        <f>=HYPERLINK("https://mp39851918.megaplan.ua/deals/138467/card/","23570")</f>
      </c>
      <c r="B8309" s="3" t="inlineStr">
        <is>
          <t>111-0866385-9719452</t>
        </is>
      </c>
      <c r="C8309" s="3" t="inlineStr">
        <is>
          <t>RockyMountain</t>
        </is>
      </c>
    </row>
    <row collapsed="false" customFormat="false" customHeight="false" hidden="false" ht="12.1" outlineLevel="0" r="8310">
      <c r="A8310" s="3" t="s">
        <f>=HYPERLINK("https://mp39851918.megaplan.ua/deals/138468/card/","23571")</f>
      </c>
      <c r="B8310" s="3" t="inlineStr">
        <is>
          <t>114-9518833-3701861</t>
        </is>
      </c>
      <c r="C8310" s="3" t="inlineStr">
        <is>
          <t>TuckerRocky</t>
        </is>
      </c>
    </row>
    <row collapsed="false" customFormat="false" customHeight="false" hidden="false" ht="12.1" outlineLevel="0" r="8311">
      <c r="A8311" s="3" t="s">
        <f>=HYPERLINK("https://mp39851918.megaplan.ua/deals/138471/card/","23572")</f>
      </c>
      <c r="B8311" s="3" t="inlineStr">
        <is>
          <t>111-3837963-4005848</t>
        </is>
      </c>
      <c r="C8311" s="3" t="inlineStr">
        <is>
          <t>RockyMountain</t>
        </is>
      </c>
    </row>
    <row collapsed="false" customFormat="false" customHeight="false" hidden="false" ht="12.1" outlineLevel="0" r="8312">
      <c r="A8312" s="3" t="s">
        <f>=HYPERLINK("https://mp39851918.megaplan.ua/deals/138489/card/","23573")</f>
      </c>
      <c r="B8312" s="3" t="inlineStr">
        <is>
          <t>114-2218751-0133804</t>
        </is>
      </c>
      <c r="C8312" s="3" t="inlineStr">
        <is>
          <t>RockyMountain</t>
        </is>
      </c>
    </row>
    <row collapsed="false" customFormat="false" customHeight="false" hidden="false" ht="12.1" outlineLevel="0" r="8313">
      <c r="A8313" s="3" t="s">
        <f>=HYPERLINK("https://mp39851918.megaplan.ua/deals/138496/card/","23574")</f>
      </c>
      <c r="B8313" s="3" t="inlineStr">
        <is>
          <t>113-8565878-1362615</t>
        </is>
      </c>
      <c r="C8313" s="3" t="inlineStr">
        <is>
          <t>RockyMountain</t>
        </is>
      </c>
    </row>
    <row collapsed="false" customFormat="false" customHeight="false" hidden="false" ht="12.1" outlineLevel="0" r="8314">
      <c r="A8314" s="3" t="s">
        <f>=HYPERLINK("https://mp39851918.megaplan.ua/deals/138502/card/","23575")</f>
      </c>
      <c r="B8314" s="3" t="inlineStr">
        <is>
          <t>113-2692832-4082623</t>
        </is>
      </c>
      <c r="C8314" s="3" t="inlineStr">
        <is>
          <t>Autodist</t>
        </is>
      </c>
    </row>
    <row collapsed="false" customFormat="false" customHeight="false" hidden="false" ht="12.1" outlineLevel="0" r="8315">
      <c r="A8315" s="3" t="s">
        <f>=HYPERLINK("https://mp39851918.megaplan.ua/deals/138506/card/","23576")</f>
      </c>
      <c r="B8315" s="3" t="inlineStr">
        <is>
          <t>113-3401820-6144250</t>
        </is>
      </c>
      <c r="C8315" s="3" t="inlineStr">
        <is>
          <t>PartsUnlimited</t>
        </is>
      </c>
    </row>
    <row collapsed="false" customFormat="false" customHeight="false" hidden="false" ht="12.1" outlineLevel="0" r="8316">
      <c r="A8316" s="3" t="s">
        <f>=HYPERLINK("https://mp39851918.megaplan.ua/deals/138512/card/","23577")</f>
      </c>
      <c r="B8316" s="3" t="inlineStr">
        <is>
          <t>111-3173440-1344223</t>
        </is>
      </c>
      <c r="C8316" s="3" t="inlineStr">
        <is>
          <t>RockyMountain</t>
        </is>
      </c>
    </row>
    <row collapsed="false" customFormat="false" customHeight="false" hidden="false" ht="12.1" outlineLevel="0" r="8317">
      <c r="A8317" s="3" t="s">
        <f>=HYPERLINK("https://mp39851918.megaplan.ua/deals/138519/card/","23578")</f>
      </c>
      <c r="B8317" s="3" t="inlineStr">
        <is>
          <t>113-8171099-1858660</t>
        </is>
      </c>
      <c r="C8317" s="3" t="inlineStr">
        <is>
          <t>Autodist</t>
        </is>
      </c>
    </row>
    <row collapsed="false" customFormat="false" customHeight="false" hidden="false" ht="12.1" outlineLevel="0" r="8318">
      <c r="A8318" s="3" t="s">
        <f>=HYPERLINK("https://mp39851918.megaplan.ua/deals/138520/card/","23579")</f>
      </c>
      <c r="B8318" s="3" t="inlineStr">
        <is>
          <t>111-2971140-4596243</t>
        </is>
      </c>
      <c r="C8318" s="3" t="inlineStr">
        <is>
          <t>Autodist</t>
        </is>
      </c>
    </row>
    <row collapsed="false" customFormat="false" customHeight="false" hidden="false" ht="12.1" outlineLevel="0" r="8319">
      <c r="A8319" s="3" t="s">
        <f>=HYPERLINK("https://mp39851918.megaplan.ua/deals/138529/card/","23581")</f>
      </c>
      <c r="B8319" s="3" t="inlineStr">
        <is>
          <t>113-5624510-7428269</t>
        </is>
      </c>
      <c r="C8319" s="3" t="inlineStr">
        <is>
          <t>Autodist</t>
        </is>
      </c>
    </row>
    <row collapsed="false" customFormat="false" customHeight="false" hidden="false" ht="12.1" outlineLevel="0" r="8320">
      <c r="A8320" s="3" t="s">
        <f>=HYPERLINK("https://mp39851918.megaplan.ua/deals/138534/card/","23582")</f>
      </c>
      <c r="B8320" s="3" t="inlineStr">
        <is>
          <t>111-0460549-9770640</t>
        </is>
      </c>
      <c r="C8320" s="3" t="inlineStr">
        <is>
          <t>RockyMountain</t>
        </is>
      </c>
    </row>
    <row collapsed="false" customFormat="false" customHeight="false" hidden="false" ht="12.1" outlineLevel="0" r="8321">
      <c r="A8321" s="3" t="s">
        <f>=HYPERLINK("https://mp39851918.megaplan.ua/deals/138535/card/","23583")</f>
      </c>
      <c r="B8321" s="3" t="inlineStr">
        <is>
          <t>111-7947376-5641058</t>
        </is>
      </c>
      <c r="C8321" s="3" t="inlineStr">
        <is>
          <t>Autodist</t>
        </is>
      </c>
    </row>
    <row collapsed="false" customFormat="false" customHeight="false" hidden="false" ht="12.1" outlineLevel="0" r="8322">
      <c r="A8322" s="3" t="s">
        <f>=HYPERLINK("https://mp39851918.megaplan.ua/deals/138536/card/","23584")</f>
      </c>
      <c r="B8322" s="3" t="inlineStr">
        <is>
          <t>112-4918172-5143459</t>
        </is>
      </c>
      <c r="C8322" s="3" t="inlineStr">
        <is>
          <t>PartsUnlimited</t>
        </is>
      </c>
    </row>
    <row collapsed="false" customFormat="false" customHeight="false" hidden="false" ht="12.1" outlineLevel="0" r="8323">
      <c r="A8323" s="3" t="s">
        <f>=HYPERLINK("https://mp39851918.megaplan.ua/deals/138541/card/","23586")</f>
      </c>
      <c r="B8323" s="3" t="inlineStr">
        <is>
          <t>114-0831601-1577832</t>
        </is>
      </c>
      <c r="C8323" s="3" t="inlineStr">
        <is>
          <t>RockyMountain</t>
        </is>
      </c>
    </row>
    <row collapsed="false" customFormat="false" customHeight="false" hidden="false" ht="12.1" outlineLevel="0" r="8324">
      <c r="A8324" s="3" t="s">
        <f>=HYPERLINK("https://mp39851918.megaplan.ua/deals/138548/card/","23587")</f>
      </c>
      <c r="B8324" s="3" t="inlineStr">
        <is>
          <t>114-6990497-2280251</t>
        </is>
      </c>
      <c r="C8324" s="3" t="inlineStr">
        <is>
          <t>Autodist</t>
        </is>
      </c>
    </row>
    <row collapsed="false" customFormat="false" customHeight="false" hidden="false" ht="12.1" outlineLevel="0" r="8325">
      <c r="A8325" s="3" t="s">
        <f>=HYPERLINK("https://mp39851918.megaplan.ua/deals/138551/card/","23588")</f>
      </c>
      <c r="B8325" s="3" t="inlineStr">
        <is>
          <t>114-3076128-8593864</t>
        </is>
      </c>
      <c r="C8325" s="3" t="inlineStr">
        <is>
          <t>Autodist</t>
        </is>
      </c>
    </row>
    <row collapsed="false" customFormat="false" customHeight="false" hidden="false" ht="12.1" outlineLevel="0" r="8326">
      <c r="A8326" s="3" t="s">
        <f>=HYPERLINK("https://mp39851918.megaplan.ua/deals/138554/card/","23589")</f>
      </c>
      <c r="B8326" s="3" t="inlineStr">
        <is>
          <t>112-0244036-7104222</t>
        </is>
      </c>
      <c r="C8326" s="3" t="inlineStr">
        <is>
          <t>RockyMountain</t>
        </is>
      </c>
    </row>
    <row collapsed="false" customFormat="false" customHeight="false" hidden="false" ht="12.1" outlineLevel="0" r="8327">
      <c r="A8327" s="3" t="s">
        <f>=HYPERLINK("https://mp39851918.megaplan.ua/deals/138567/card/","23590")</f>
      </c>
      <c r="B8327" s="3" t="inlineStr">
        <is>
          <t>113-7252503-0357035</t>
        </is>
      </c>
      <c r="C8327" s="3" t="inlineStr">
        <is>
          <t>RockyMountain</t>
        </is>
      </c>
    </row>
    <row collapsed="false" customFormat="false" customHeight="false" hidden="false" ht="12.1" outlineLevel="0" r="8328">
      <c r="A8328" s="3" t="s">
        <f>=HYPERLINK("https://mp39851918.megaplan.ua/deals/138583/card/","23591")</f>
      </c>
      <c r="B8328" s="3" t="inlineStr">
        <is>
          <t>112-0156214-9591407</t>
        </is>
      </c>
      <c r="C8328" s="3" t="inlineStr">
        <is>
          <t>PartsUnlimited</t>
        </is>
      </c>
    </row>
    <row collapsed="false" customFormat="false" customHeight="false" hidden="false" ht="12.1" outlineLevel="0" r="8329">
      <c r="A8329" s="3" t="s">
        <f>=HYPERLINK("https://mp39851918.megaplan.ua/deals/138591/card/","23592")</f>
      </c>
      <c r="B8329" s="3" t="inlineStr">
        <is>
          <t>114-8594756-3841027</t>
        </is>
      </c>
      <c r="C8329" s="3" t="inlineStr">
        <is>
          <t>Autodist</t>
        </is>
      </c>
    </row>
    <row collapsed="false" customFormat="false" customHeight="false" hidden="false" ht="12.1" outlineLevel="0" r="8330">
      <c r="A8330" s="3" t="s">
        <f>=HYPERLINK("https://mp39851918.megaplan.ua/deals/138596/card/","23593")</f>
      </c>
      <c r="B8330" s="3" t="inlineStr">
        <is>
          <t>111-7969488-3950667</t>
        </is>
      </c>
      <c r="C8330" s="3" t="inlineStr">
        <is>
          <t>RockyMountain</t>
        </is>
      </c>
    </row>
    <row collapsed="false" customFormat="false" customHeight="false" hidden="false" ht="12.1" outlineLevel="0" r="8331">
      <c r="A8331" s="3" t="s">
        <f>=HYPERLINK("https://mp39851918.megaplan.ua/deals/138597/card/","23594")</f>
      </c>
      <c r="B8331" s="3" t="inlineStr">
        <is>
          <t>114-0938463-0360246</t>
        </is>
      </c>
      <c r="C8331" s="3" t="inlineStr">
        <is>
          <t>Autodist</t>
        </is>
      </c>
    </row>
    <row collapsed="false" customFormat="false" customHeight="false" hidden="false" ht="12.1" outlineLevel="0" r="8332">
      <c r="A8332" s="3" t="s">
        <f>=HYPERLINK("https://mp39851918.megaplan.ua/deals/138613/card/","23596")</f>
      </c>
      <c r="B8332" s="3" t="inlineStr">
        <is>
          <t>113-0315651-4511449</t>
        </is>
      </c>
      <c r="C8332" s="3" t="inlineStr">
        <is>
          <t>RockyMountain</t>
        </is>
      </c>
    </row>
    <row collapsed="false" customFormat="false" customHeight="false" hidden="false" ht="12.1" outlineLevel="0" r="8333">
      <c r="A8333" s="3" t="s">
        <f>=HYPERLINK("https://mp39851918.megaplan.ua/deals/138632/card/","23598")</f>
      </c>
      <c r="B8333" s="3" t="inlineStr">
        <is>
          <t>111-2394644-2267446</t>
        </is>
      </c>
      <c r="C8333" s="3" t="inlineStr">
        <is>
          <t>Autodist</t>
        </is>
      </c>
    </row>
    <row collapsed="false" customFormat="false" customHeight="false" hidden="false" ht="12.1" outlineLevel="0" r="8334">
      <c r="A8334" s="3" t="s">
        <f>=HYPERLINK("https://mp39851918.megaplan.ua/deals/138639/card/","23600")</f>
      </c>
      <c r="B8334" s="3" t="inlineStr">
        <is>
          <t>113-1748771-8538633</t>
        </is>
      </c>
      <c r="C8334" s="3" t="inlineStr">
        <is>
          <t>PartsUnlimited</t>
        </is>
      </c>
    </row>
    <row collapsed="false" customFormat="false" customHeight="false" hidden="false" ht="12.1" outlineLevel="0" r="8335">
      <c r="A8335" s="3" t="s">
        <f>=HYPERLINK("https://mp39851918.megaplan.ua/deals/138648/card/","23601")</f>
      </c>
      <c r="B8335" s="3" t="inlineStr">
        <is>
          <t>114-6166637-6086638</t>
        </is>
      </c>
      <c r="C8335" s="3" t="inlineStr">
        <is>
          <t>RockyMountain</t>
        </is>
      </c>
    </row>
    <row collapsed="false" customFormat="false" customHeight="false" hidden="false" ht="12.1" outlineLevel="0" r="8336">
      <c r="A8336" s="3" t="s">
        <f>=HYPERLINK("https://mp39851918.megaplan.ua/deals/138651/card/","23602")</f>
      </c>
      <c r="B8336" s="3" t="inlineStr">
        <is>
          <t>112-3074256-0492236</t>
        </is>
      </c>
      <c r="C8336" s="3" t="inlineStr">
        <is>
          <t>RockyMountain</t>
        </is>
      </c>
    </row>
    <row collapsed="false" customFormat="false" customHeight="false" hidden="false" ht="12.1" outlineLevel="0" r="8337">
      <c r="A8337" s="3" t="s">
        <f>=HYPERLINK("https://mp39851918.megaplan.ua/deals/138655/card/","23603")</f>
      </c>
      <c r="B8337" s="3" t="inlineStr">
        <is>
          <t>112-3128259-3730653</t>
        </is>
      </c>
      <c r="C8337" s="3" t="inlineStr">
        <is>
          <t>TuckerRocky</t>
        </is>
      </c>
    </row>
    <row collapsed="false" customFormat="false" customHeight="false" hidden="false" ht="12.1" outlineLevel="0" r="8338">
      <c r="A8338" s="3" t="s">
        <f>=HYPERLINK("https://mp39851918.megaplan.ua/deals/138658/card/","23604")</f>
      </c>
      <c r="B8338" s="3" t="inlineStr">
        <is>
          <t>113-1408662-3659455</t>
        </is>
      </c>
      <c r="C8338" s="3" t="inlineStr">
        <is>
          <t>TuckerRocky</t>
        </is>
      </c>
    </row>
    <row collapsed="false" customFormat="false" customHeight="false" hidden="false" ht="12.1" outlineLevel="0" r="8339">
      <c r="A8339" s="3" t="s">
        <f>=HYPERLINK("https://mp39851918.megaplan.ua/deals/138683/card/","23605")</f>
      </c>
      <c r="B8339" s="3" t="inlineStr">
        <is>
          <t>111-9157581-3135414</t>
        </is>
      </c>
      <c r="C8339" s="3" t="inlineStr">
        <is>
          <t>Autodist</t>
        </is>
      </c>
    </row>
    <row collapsed="false" customFormat="false" customHeight="false" hidden="false" ht="12.1" outlineLevel="0" r="8340">
      <c r="A8340" s="3" t="s">
        <f>=HYPERLINK("https://mp39851918.megaplan.ua/deals/138685/card/","23606")</f>
      </c>
      <c r="B8340" s="3" t="inlineStr">
        <is>
          <t>113-8795523-6127456</t>
        </is>
      </c>
      <c r="C8340" s="3" t="inlineStr">
        <is>
          <t>Autodist</t>
        </is>
      </c>
    </row>
    <row collapsed="false" customFormat="false" customHeight="false" hidden="false" ht="12.1" outlineLevel="0" r="8341">
      <c r="A8341" s="3" t="s">
        <f>=HYPERLINK("https://mp39851918.megaplan.ua/deals/138688/card/","23607")</f>
      </c>
      <c r="B8341" s="3" t="inlineStr">
        <is>
          <t>113-6484865-4658667</t>
        </is>
      </c>
      <c r="C8341" s="3" t="inlineStr">
        <is>
          <t>RockyMountain</t>
        </is>
      </c>
    </row>
    <row collapsed="false" customFormat="false" customHeight="false" hidden="false" ht="12.1" outlineLevel="0" r="8342">
      <c r="A8342" s="3" t="s">
        <f>=HYPERLINK("https://mp39851918.megaplan.ua/deals/138689/card/","23608")</f>
      </c>
      <c r="B8342" s="3" t="inlineStr">
        <is>
          <t>111-2400578-2773850</t>
        </is>
      </c>
      <c r="C8342" s="3" t="inlineStr">
        <is>
          <t>RockyMountain</t>
        </is>
      </c>
    </row>
    <row collapsed="false" customFormat="false" customHeight="false" hidden="false" ht="12.1" outlineLevel="0" r="8343">
      <c r="A8343" s="3" t="s">
        <f>=HYPERLINK("https://mp39851918.megaplan.ua/deals/138690/card/","23609")</f>
      </c>
      <c r="B8343" s="3" t="inlineStr">
        <is>
          <t>114-2867053-3884223</t>
        </is>
      </c>
      <c r="C8343" s="3" t="inlineStr">
        <is>
          <t>RockyMountain</t>
        </is>
      </c>
    </row>
    <row collapsed="false" customFormat="false" customHeight="false" hidden="false" ht="12.1" outlineLevel="0" r="8344">
      <c r="A8344" s="3" t="s">
        <f>=HYPERLINK("https://mp39851918.megaplan.ua/deals/138691/card/","23610")</f>
      </c>
      <c r="B8344" s="3" t="inlineStr">
        <is>
          <t>112-6777104-5517042</t>
        </is>
      </c>
      <c r="C8344" s="3" t="inlineStr">
        <is>
          <t>RockyMountain</t>
        </is>
      </c>
    </row>
    <row collapsed="false" customFormat="false" customHeight="false" hidden="false" ht="12.1" outlineLevel="0" r="8345">
      <c r="A8345" s="3" t="s">
        <f>=HYPERLINK("https://mp39851918.megaplan.ua/deals/138694/card/","23611")</f>
      </c>
      <c r="B8345" s="3" t="inlineStr">
        <is>
          <t>113-6122957-1773005</t>
        </is>
      </c>
      <c r="C8345" s="3" t="inlineStr">
        <is>
          <t>RockyMountain</t>
        </is>
      </c>
    </row>
    <row collapsed="false" customFormat="false" customHeight="false" hidden="false" ht="12.1" outlineLevel="0" r="8346">
      <c r="A8346" s="3" t="s">
        <f>=HYPERLINK("https://mp39851918.megaplan.ua/deals/138696/card/","23612")</f>
      </c>
      <c r="B8346" s="3" t="inlineStr">
        <is>
          <t>113-4433368-3158654</t>
        </is>
      </c>
      <c r="C8346" s="3" t="inlineStr">
        <is>
          <t>RockyMountain</t>
        </is>
      </c>
    </row>
    <row collapsed="false" customFormat="false" customHeight="false" hidden="false" ht="12.1" outlineLevel="0" r="8347">
      <c r="A8347" s="3" t="s">
        <f>=HYPERLINK("https://mp39851918.megaplan.ua/deals/138699/card/","23613")</f>
      </c>
      <c r="B8347" s="3" t="inlineStr">
        <is>
          <t>113-0974723-4849014</t>
        </is>
      </c>
      <c r="C8347" s="3" t="inlineStr">
        <is>
          <t>RockyMountain</t>
        </is>
      </c>
    </row>
    <row collapsed="false" customFormat="false" customHeight="false" hidden="false" ht="12.1" outlineLevel="0" r="8348">
      <c r="A8348" s="3" t="s">
        <f>=HYPERLINK("https://mp39851918.megaplan.ua/deals/138701/card/","23614")</f>
      </c>
      <c r="B8348" s="3" t="inlineStr">
        <is>
          <t>111-0760164-8115439</t>
        </is>
      </c>
      <c r="C8348" s="3" t="inlineStr">
        <is>
          <t>RockyMountain</t>
        </is>
      </c>
    </row>
    <row collapsed="false" customFormat="false" customHeight="false" hidden="false" ht="12.1" outlineLevel="0" r="8349">
      <c r="A8349" s="3" t="s">
        <f>=HYPERLINK("https://mp39851918.megaplan.ua/deals/138702/card/","23615")</f>
      </c>
      <c r="B8349" s="3" t="inlineStr">
        <is>
          <t>112-3820210-3841051</t>
        </is>
      </c>
      <c r="C8349" s="3" t="inlineStr">
        <is>
          <t>RockyMountain</t>
        </is>
      </c>
    </row>
    <row collapsed="false" customFormat="false" customHeight="false" hidden="false" ht="12.1" outlineLevel="0" r="8350">
      <c r="A8350" s="3" t="s">
        <f>=HYPERLINK("https://mp39851918.megaplan.ua/deals/138703/card/","23616")</f>
      </c>
      <c r="B8350" s="3" t="inlineStr">
        <is>
          <t>112-8823889-9456217</t>
        </is>
      </c>
      <c r="C8350" s="3" t="inlineStr">
        <is>
          <t>RockyMountain</t>
        </is>
      </c>
    </row>
    <row collapsed="false" customFormat="false" customHeight="false" hidden="false" ht="12.1" outlineLevel="0" r="8351">
      <c r="A8351" s="3" t="s">
        <f>=HYPERLINK("https://mp39851918.megaplan.ua/deals/138711/card/","23617")</f>
      </c>
      <c r="B8351" s="3" t="inlineStr">
        <is>
          <t>112-3928606-3380203</t>
        </is>
      </c>
      <c r="C8351" s="3" t="inlineStr">
        <is>
          <t>RockyMountain</t>
        </is>
      </c>
    </row>
    <row collapsed="false" customFormat="false" customHeight="false" hidden="false" ht="12.1" outlineLevel="0" r="8352">
      <c r="A8352" s="3" t="s">
        <f>=HYPERLINK("https://mp39851918.megaplan.ua/deals/138713/card/","23618")</f>
      </c>
      <c r="B8352" s="3" t="inlineStr">
        <is>
          <t>114-0068645-1480228</t>
        </is>
      </c>
      <c r="C8352" s="3" t="inlineStr">
        <is>
          <t>RockyMountain</t>
        </is>
      </c>
    </row>
    <row collapsed="false" customFormat="false" customHeight="false" hidden="false" ht="12.1" outlineLevel="0" r="8353">
      <c r="A8353" s="3" t="s">
        <f>=HYPERLINK("https://mp39851918.megaplan.ua/deals/138722/card/","23619")</f>
      </c>
      <c r="B8353" s="3" t="inlineStr">
        <is>
          <t>113-4879894-7497047</t>
        </is>
      </c>
      <c r="C8353" s="3" t="inlineStr">
        <is>
          <t>Autodist</t>
        </is>
      </c>
    </row>
    <row collapsed="false" customFormat="false" customHeight="false" hidden="false" ht="12.1" outlineLevel="0" r="8354">
      <c r="A8354" s="3" t="s">
        <f>=HYPERLINK("https://mp39851918.megaplan.ua/deals/138723/card/","23620")</f>
      </c>
      <c r="B8354" s="3" t="inlineStr">
        <is>
          <t>113-0075133-0067407</t>
        </is>
      </c>
      <c r="C8354" s="3" t="inlineStr">
        <is>
          <t>Autodist</t>
        </is>
      </c>
    </row>
    <row collapsed="false" customFormat="false" customHeight="false" hidden="false" ht="12.1" outlineLevel="0" r="8355">
      <c r="A8355" s="3" t="s">
        <f>=HYPERLINK("https://mp39851918.megaplan.ua/deals/138734/card/","23621")</f>
      </c>
      <c r="B8355" s="3" t="inlineStr">
        <is>
          <t>113-2339308-6645038</t>
        </is>
      </c>
      <c r="C8355" s="3" t="inlineStr">
        <is>
          <t>Autodist</t>
        </is>
      </c>
    </row>
    <row collapsed="false" customFormat="false" customHeight="false" hidden="false" ht="12.1" outlineLevel="0" r="8356">
      <c r="A8356" s="3" t="s">
        <f>=HYPERLINK("https://mp39851918.megaplan.ua/deals/138737/card/","23622")</f>
      </c>
      <c r="B8356" s="3" t="inlineStr">
        <is>
          <t>112-9009749-0458665</t>
        </is>
      </c>
      <c r="C8356" s="3" t="inlineStr">
        <is>
          <t>Autodist</t>
        </is>
      </c>
    </row>
    <row collapsed="false" customFormat="false" customHeight="false" hidden="false" ht="12.1" outlineLevel="0" r="8357">
      <c r="A8357" s="3" t="s">
        <f>=HYPERLINK("https://mp39851918.megaplan.ua/deals/138748/card/","23623")</f>
      </c>
      <c r="B8357" s="3" t="inlineStr">
        <is>
          <t>112-5651837-5116228</t>
        </is>
      </c>
      <c r="C8357" s="3" t="inlineStr">
        <is>
          <t>RockyMountain</t>
        </is>
      </c>
    </row>
    <row collapsed="false" customFormat="false" customHeight="false" hidden="false" ht="12.1" outlineLevel="0" r="8358">
      <c r="A8358" s="3" t="s">
        <f>=HYPERLINK("https://mp39851918.megaplan.ua/deals/138750/card/","23624")</f>
      </c>
      <c r="B8358" s="3" t="inlineStr">
        <is>
          <t>112-2965694-7289869</t>
        </is>
      </c>
      <c r="C8358" s="3" t="inlineStr">
        <is>
          <t>Autodist</t>
        </is>
      </c>
    </row>
    <row collapsed="false" customFormat="false" customHeight="false" hidden="false" ht="12.1" outlineLevel="0" r="8359">
      <c r="A8359" s="3" t="s">
        <f>=HYPERLINK("https://mp39851918.megaplan.ua/deals/138752/card/","23625")</f>
      </c>
      <c r="B8359" s="3" t="inlineStr">
        <is>
          <t>114-9171342-8421812</t>
        </is>
      </c>
      <c r="C8359" s="3" t="inlineStr">
        <is>
          <t>Autodist</t>
        </is>
      </c>
    </row>
    <row collapsed="false" customFormat="false" customHeight="false" hidden="false" ht="12.1" outlineLevel="0" r="8360">
      <c r="A8360" s="3" t="s">
        <f>=HYPERLINK("https://mp39851918.megaplan.ua/deals/138756/card/","23626")</f>
      </c>
      <c r="B8360" s="3" t="inlineStr">
        <is>
          <t>113-6584515-4047451</t>
        </is>
      </c>
      <c r="C8360" s="3" t="inlineStr">
        <is>
          <t>RockyMountain</t>
        </is>
      </c>
    </row>
    <row collapsed="false" customFormat="false" customHeight="false" hidden="false" ht="12.1" outlineLevel="0" r="8361">
      <c r="A8361" s="3" t="s">
        <f>=HYPERLINK("https://mp39851918.megaplan.ua/deals/138769/card/","23629")</f>
      </c>
      <c r="B8361" s="3" t="inlineStr">
        <is>
          <t>111-1529427-1391417</t>
        </is>
      </c>
      <c r="C8361" s="3" t="inlineStr">
        <is>
          <t>RockyMountain</t>
        </is>
      </c>
    </row>
    <row collapsed="false" customFormat="false" customHeight="false" hidden="false" ht="12.1" outlineLevel="0" r="8362">
      <c r="A8362" s="3" t="s">
        <f>=HYPERLINK("https://mp39851918.megaplan.ua/deals/138774/card/","23630")</f>
      </c>
      <c r="B8362" s="3" t="inlineStr">
        <is>
          <t>111-0812173-9905800</t>
        </is>
      </c>
      <c r="C8362" s="3" t="inlineStr">
        <is>
          <t>RockyMountain</t>
        </is>
      </c>
    </row>
    <row collapsed="false" customFormat="false" customHeight="false" hidden="false" ht="12.1" outlineLevel="0" r="8363">
      <c r="A8363" s="3" t="s">
        <f>=HYPERLINK("https://mp39851918.megaplan.ua/deals/138789/card/","23631")</f>
      </c>
      <c r="B8363" s="3" t="inlineStr">
        <is>
          <t>111-4112321-8938625</t>
        </is>
      </c>
      <c r="C8363" s="3" t="inlineStr">
        <is>
          <t>Autodist</t>
        </is>
      </c>
    </row>
    <row collapsed="false" customFormat="false" customHeight="false" hidden="false" ht="12.1" outlineLevel="0" r="8364">
      <c r="A8364" s="3" t="s">
        <f>=HYPERLINK("https://mp39851918.megaplan.ua/deals/138790/card/","23632")</f>
      </c>
      <c r="B8364" s="3" t="inlineStr">
        <is>
          <t>111-5540109-7076266</t>
        </is>
      </c>
      <c r="C8364" s="3" t="inlineStr">
        <is>
          <t>PartsUnlimited</t>
        </is>
      </c>
    </row>
    <row collapsed="false" customFormat="false" customHeight="false" hidden="false" ht="12.1" outlineLevel="0" r="8365">
      <c r="A8365" s="3" t="s">
        <f>=HYPERLINK("https://mp39851918.megaplan.ua/deals/138796/card/","23633")</f>
      </c>
      <c r="B8365" s="3" t="inlineStr">
        <is>
          <t>111-0031143-6391408</t>
        </is>
      </c>
      <c r="C8365" s="3" t="inlineStr">
        <is>
          <t>TuckerRocky</t>
        </is>
      </c>
    </row>
    <row collapsed="false" customFormat="false" customHeight="false" hidden="false" ht="12.1" outlineLevel="0" r="8366">
      <c r="A8366" s="3" t="s">
        <f>=HYPERLINK("https://mp39851918.megaplan.ua/deals/138807/card/","23634")</f>
      </c>
      <c r="B8366" s="3" t="inlineStr">
        <is>
          <t>112-7869209-6085065</t>
        </is>
      </c>
      <c r="C8366" s="3" t="inlineStr">
        <is>
          <t>TuckerRocky</t>
        </is>
      </c>
    </row>
    <row collapsed="false" customFormat="false" customHeight="false" hidden="false" ht="12.1" outlineLevel="0" r="8367">
      <c r="A8367" s="3" t="s">
        <f>=HYPERLINK("https://mp39851918.megaplan.ua/deals/138810/card/","23635")</f>
      </c>
      <c r="B8367" s="3" t="inlineStr">
        <is>
          <t>113-3839025-2288263</t>
        </is>
      </c>
      <c r="C8367" s="3" t="inlineStr">
        <is>
          <t>Autodist</t>
        </is>
      </c>
    </row>
    <row collapsed="false" customFormat="false" customHeight="false" hidden="false" ht="12.1" outlineLevel="0" r="8368">
      <c r="A8368" s="3" t="s">
        <f>=HYPERLINK("https://mp39851918.megaplan.ua/deals/138820/card/","23636")</f>
      </c>
      <c r="B8368" s="3" t="inlineStr">
        <is>
          <t>114-5040917-4781013</t>
        </is>
      </c>
      <c r="C8368" s="3" t="inlineStr">
        <is>
          <t>RockyMountain</t>
        </is>
      </c>
    </row>
    <row collapsed="false" customFormat="false" customHeight="false" hidden="false" ht="12.1" outlineLevel="0" r="8369">
      <c r="A8369" s="3" t="s">
        <f>=HYPERLINK("https://mp39851918.megaplan.ua/deals/138822/card/","23637")</f>
      </c>
      <c r="B8369" s="3" t="inlineStr">
        <is>
          <t>111-7355144-9250622</t>
        </is>
      </c>
      <c r="C8369" s="3" t="inlineStr">
        <is>
          <t>RockyMountain</t>
        </is>
      </c>
    </row>
    <row collapsed="false" customFormat="false" customHeight="false" hidden="false" ht="12.1" outlineLevel="0" r="8370">
      <c r="A8370" s="3" t="s">
        <f>=HYPERLINK("https://mp39851918.megaplan.ua/deals/138823/card/","23638")</f>
      </c>
      <c r="B8370" s="3" t="inlineStr">
        <is>
          <t>112-4481474-0638663</t>
        </is>
      </c>
      <c r="C8370" s="3" t="inlineStr">
        <is>
          <t>PartsUnlimited</t>
        </is>
      </c>
    </row>
    <row collapsed="false" customFormat="false" customHeight="false" hidden="false" ht="12.1" outlineLevel="0" r="8371">
      <c r="A8371" s="3" t="s">
        <f>=HYPERLINK("https://mp39851918.megaplan.ua/deals/138824/card/","23639")</f>
      </c>
      <c r="B8371" s="3" t="inlineStr">
        <is>
          <t>111-9642205-9617015</t>
        </is>
      </c>
      <c r="C8371" s="3" t="inlineStr">
        <is>
          <t>RockyMountain</t>
        </is>
      </c>
    </row>
    <row collapsed="false" customFormat="false" customHeight="false" hidden="false" ht="12.1" outlineLevel="0" r="8372">
      <c r="A8372" s="3" t="s">
        <f>=HYPERLINK("https://mp39851918.megaplan.ua/deals/138827/card/","23640")</f>
      </c>
      <c r="B8372" s="3" t="inlineStr">
        <is>
          <t>112-3751122-1554643</t>
        </is>
      </c>
      <c r="C8372" s="3" t="inlineStr">
        <is>
          <t>Autodist</t>
        </is>
      </c>
    </row>
    <row collapsed="false" customFormat="false" customHeight="false" hidden="false" ht="12.1" outlineLevel="0" r="8373">
      <c r="A8373" s="3" t="s">
        <f>=HYPERLINK("https://mp39851918.megaplan.ua/deals/138829/card/","23641")</f>
      </c>
      <c r="B8373" s="3" t="inlineStr">
        <is>
          <t>114-4924094-6008229</t>
        </is>
      </c>
      <c r="C8373" s="3" t="inlineStr">
        <is>
          <t>TuckerRocky</t>
        </is>
      </c>
    </row>
    <row collapsed="false" customFormat="false" customHeight="false" hidden="false" ht="12.1" outlineLevel="0" r="8374">
      <c r="A8374" s="3" t="s">
        <f>=HYPERLINK("https://mp39851918.megaplan.ua/deals/138836/card/","23642")</f>
      </c>
      <c r="B8374" s="3" t="inlineStr">
        <is>
          <t>114-1922610-0351444</t>
        </is>
      </c>
      <c r="C8374" s="3" t="inlineStr">
        <is>
          <t>Autodist</t>
        </is>
      </c>
    </row>
    <row collapsed="false" customFormat="false" customHeight="false" hidden="false" ht="12.1" outlineLevel="0" r="8375">
      <c r="A8375" s="3" t="s">
        <f>=HYPERLINK("https://mp39851918.megaplan.ua/deals/138844/card/","23643")</f>
      </c>
      <c r="B8375" s="3" t="inlineStr">
        <is>
          <t>114-7010938-4572219</t>
        </is>
      </c>
      <c r="C8375" s="3" t="inlineStr">
        <is>
          <t>TuckerRocky</t>
        </is>
      </c>
    </row>
    <row collapsed="false" customFormat="false" customHeight="false" hidden="false" ht="12.1" outlineLevel="0" r="8376">
      <c r="A8376" s="3" t="s">
        <f>=HYPERLINK("https://mp39851918.megaplan.ua/deals/138845/card/","23644")</f>
      </c>
      <c r="B8376" s="3" t="inlineStr">
        <is>
          <t>114-5176959-2471419</t>
        </is>
      </c>
      <c r="C8376" s="3" t="inlineStr">
        <is>
          <t>RockyMountain</t>
        </is>
      </c>
    </row>
    <row collapsed="false" customFormat="false" customHeight="false" hidden="false" ht="12.1" outlineLevel="0" r="8377">
      <c r="A8377" s="3" t="s">
        <f>=HYPERLINK("https://mp39851918.megaplan.ua/deals/138846/card/","23645")</f>
      </c>
      <c r="B8377" s="3" t="inlineStr">
        <is>
          <t>113-1858430-0705869</t>
        </is>
      </c>
      <c r="C8377" s="3" t="inlineStr">
        <is>
          <t>Autodist</t>
        </is>
      </c>
    </row>
    <row collapsed="false" customFormat="false" customHeight="false" hidden="false" ht="12.1" outlineLevel="0" r="8378">
      <c r="A8378" s="3" t="s">
        <f>=HYPERLINK("https://mp39851918.megaplan.ua/deals/138854/card/","23646")</f>
      </c>
      <c r="B8378" s="3" t="inlineStr">
        <is>
          <t>113-8539856-3398666</t>
        </is>
      </c>
      <c r="C8378" s="3" t="inlineStr">
        <is>
          <t>Autodist</t>
        </is>
      </c>
    </row>
    <row collapsed="false" customFormat="false" customHeight="false" hidden="false" ht="12.1" outlineLevel="0" r="8379">
      <c r="A8379" s="3" t="s">
        <f>=HYPERLINK("https://mp39851918.megaplan.ua/deals/138856/card/","23647")</f>
      </c>
      <c r="B8379" s="3" t="inlineStr">
        <is>
          <t>113-8132227-5825069</t>
        </is>
      </c>
      <c r="C8379" s="3" t="inlineStr">
        <is>
          <t>RockyMountain</t>
        </is>
      </c>
    </row>
    <row collapsed="false" customFormat="false" customHeight="false" hidden="false" ht="12.1" outlineLevel="0" r="8380">
      <c r="A8380" s="3" t="s">
        <f>=HYPERLINK("https://mp39851918.megaplan.ua/deals/138858/card/","23648")</f>
      </c>
      <c r="B8380" s="3" t="inlineStr">
        <is>
          <t>113-3670321-6728258</t>
        </is>
      </c>
      <c r="C8380" s="3" t="inlineStr">
        <is>
          <t>RockyMountain</t>
        </is>
      </c>
    </row>
    <row collapsed="false" customFormat="false" customHeight="false" hidden="false" ht="12.1" outlineLevel="0" r="8381">
      <c r="A8381" s="3" t="s">
        <f>=HYPERLINK("https://mp39851918.megaplan.ua/deals/138859/card/","23649")</f>
      </c>
      <c r="B8381" s="3" t="inlineStr">
        <is>
          <t>111-9069866-2629064</t>
        </is>
      </c>
      <c r="C8381" s="3" t="inlineStr">
        <is>
          <t>RockyMountain</t>
        </is>
      </c>
    </row>
    <row collapsed="false" customFormat="false" customHeight="false" hidden="false" ht="12.1" outlineLevel="0" r="8382">
      <c r="A8382" s="3" t="s">
        <f>=HYPERLINK("https://mp39851918.megaplan.ua/deals/138860/card/","23650")</f>
      </c>
      <c r="B8382" s="3" t="inlineStr">
        <is>
          <t>113-7073104-8631412</t>
        </is>
      </c>
      <c r="C8382" s="3" t="inlineStr">
        <is>
          <t>RockyMountain</t>
        </is>
      </c>
    </row>
    <row collapsed="false" customFormat="false" customHeight="false" hidden="false" ht="12.1" outlineLevel="0" r="8383">
      <c r="A8383" s="3" t="s">
        <f>=HYPERLINK("https://mp39851918.megaplan.ua/deals/138861/card/","23651")</f>
      </c>
      <c r="B8383" s="3" t="inlineStr">
        <is>
          <t>112-0408715-2317804</t>
        </is>
      </c>
      <c r="C8383" s="3" t="inlineStr">
        <is>
          <t>Autodist</t>
        </is>
      </c>
    </row>
    <row collapsed="false" customFormat="false" customHeight="false" hidden="false" ht="12.1" outlineLevel="0" r="8384">
      <c r="A8384" s="3" t="s">
        <f>=HYPERLINK("https://mp39851918.megaplan.ua/deals/138862/card/","23652")</f>
      </c>
      <c r="B8384" s="3" t="inlineStr">
        <is>
          <t>112-6982300-0138662</t>
        </is>
      </c>
      <c r="C8384" s="3" t="inlineStr">
        <is>
          <t>RockyMountain</t>
        </is>
      </c>
    </row>
    <row collapsed="false" customFormat="false" customHeight="false" hidden="false" ht="12.1" outlineLevel="0" r="8385">
      <c r="A8385" s="3" t="s">
        <f>=HYPERLINK("https://mp39851918.megaplan.ua/deals/138863/card/","23653")</f>
      </c>
      <c r="B8385" s="3" t="inlineStr">
        <is>
          <t>113-7152902-7808234</t>
        </is>
      </c>
      <c r="C8385" s="3" t="inlineStr">
        <is>
          <t>Autodist</t>
        </is>
      </c>
    </row>
    <row collapsed="false" customFormat="false" customHeight="false" hidden="false" ht="12.1" outlineLevel="0" r="8386">
      <c r="A8386" s="3" t="s">
        <f>=HYPERLINK("https://mp39851918.megaplan.ua/deals/138864/card/","23654")</f>
      </c>
      <c r="B8386" s="3" t="inlineStr">
        <is>
          <t>113-0868477-2496253</t>
        </is>
      </c>
      <c r="C8386" s="3" t="inlineStr">
        <is>
          <t>TuckerRocky</t>
        </is>
      </c>
    </row>
    <row collapsed="false" customFormat="false" customHeight="false" hidden="false" ht="12.1" outlineLevel="0" r="8387">
      <c r="A8387" s="3" t="s">
        <f>=HYPERLINK("https://mp39851918.megaplan.ua/deals/138866/card/","23655")</f>
      </c>
      <c r="B8387" s="3" t="inlineStr">
        <is>
          <t>111-1682526-1386661</t>
        </is>
      </c>
      <c r="C8387" s="3" t="inlineStr">
        <is>
          <t>Autodist</t>
        </is>
      </c>
    </row>
    <row collapsed="false" customFormat="false" customHeight="false" hidden="false" ht="12.1" outlineLevel="0" r="8388">
      <c r="A8388" s="3" t="s">
        <f>=HYPERLINK("https://mp39851918.megaplan.ua/deals/138874/card/","23656")</f>
      </c>
      <c r="B8388" s="3" t="inlineStr">
        <is>
          <t>111-0053017-7424221</t>
        </is>
      </c>
      <c r="C8388" s="3" t="inlineStr">
        <is>
          <t>TuckerRocky</t>
        </is>
      </c>
    </row>
    <row collapsed="false" customFormat="false" customHeight="false" hidden="false" ht="12.1" outlineLevel="0" r="8389">
      <c r="A8389" s="3" t="s">
        <f>=HYPERLINK("https://mp39851918.megaplan.ua/deals/138878/card/","23657")</f>
      </c>
      <c r="B8389" s="3" t="inlineStr">
        <is>
          <t>112-2734155-7658633</t>
        </is>
      </c>
      <c r="C8389" s="3" t="inlineStr">
        <is>
          <t>TuckerRocky</t>
        </is>
      </c>
    </row>
    <row collapsed="false" customFormat="false" customHeight="false" hidden="false" ht="12.1" outlineLevel="0" r="8390">
      <c r="A8390" s="3" t="s">
        <f>=HYPERLINK("https://mp39851918.megaplan.ua/deals/138879/card/","23658")</f>
      </c>
      <c r="B8390" s="3" t="inlineStr">
        <is>
          <t>114-8057601-8328201</t>
        </is>
      </c>
      <c r="C8390" s="3" t="inlineStr">
        <is>
          <t>PartsUnlimited</t>
        </is>
      </c>
    </row>
    <row collapsed="false" customFormat="false" customHeight="false" hidden="false" ht="12.1" outlineLevel="0" r="8391">
      <c r="A8391" s="3" t="s">
        <f>=HYPERLINK("https://mp39851918.megaplan.ua/deals/138883/card/","23659")</f>
      </c>
      <c r="B8391" s="3" t="inlineStr">
        <is>
          <t>112-9676196-7618660</t>
        </is>
      </c>
      <c r="C8391" s="3" t="inlineStr">
        <is>
          <t>TuckerRocky</t>
        </is>
      </c>
    </row>
    <row collapsed="false" customFormat="false" customHeight="false" hidden="false" ht="12.1" outlineLevel="0" r="8392">
      <c r="A8392" s="3" t="s">
        <f>=HYPERLINK("https://mp39851918.megaplan.ua/deals/138884/card/","23660")</f>
      </c>
      <c r="B8392" s="3" t="inlineStr">
        <is>
          <t>113-5358246-0522653</t>
        </is>
      </c>
      <c r="C8392" s="3" t="inlineStr">
        <is>
          <t>PartsUnlimited</t>
        </is>
      </c>
    </row>
    <row collapsed="false" customFormat="false" customHeight="false" hidden="false" ht="12.1" outlineLevel="0" r="8393">
      <c r="A8393" s="3" t="s">
        <f>=HYPERLINK("https://mp39851918.megaplan.ua/deals/138887/card/","23661")</f>
      </c>
      <c r="B8393" s="3" t="inlineStr">
        <is>
          <t>113-4934479-6873820</t>
        </is>
      </c>
      <c r="C8393" s="3" t="inlineStr">
        <is>
          <t>RockyMountain</t>
        </is>
      </c>
    </row>
    <row collapsed="false" customFormat="false" customHeight="false" hidden="false" ht="12.1" outlineLevel="0" r="8394">
      <c r="A8394" s="3" t="s">
        <f>=HYPERLINK("https://mp39851918.megaplan.ua/deals/138889/card/","23662")</f>
      </c>
      <c r="B8394" s="3" t="inlineStr">
        <is>
          <t>113-2354927-9152232</t>
        </is>
      </c>
      <c r="C8394" s="3" t="inlineStr">
        <is>
          <t>Autodist</t>
        </is>
      </c>
    </row>
    <row collapsed="false" customFormat="false" customHeight="false" hidden="false" ht="12.1" outlineLevel="0" r="8395">
      <c r="A8395" s="3" t="s">
        <f>=HYPERLINK("https://mp39851918.megaplan.ua/deals/138890/card/","23663")</f>
      </c>
      <c r="B8395" s="3" t="inlineStr">
        <is>
          <t>112-3973288-2168216</t>
        </is>
      </c>
      <c r="C8395" s="3" t="inlineStr">
        <is>
          <t>RockyMountain</t>
        </is>
      </c>
    </row>
    <row collapsed="false" customFormat="false" customHeight="false" hidden="false" ht="12.1" outlineLevel="0" r="8396">
      <c r="A8396" s="3" t="s">
        <f>=HYPERLINK("https://mp39851918.megaplan.ua/deals/138892/card/","23664")</f>
      </c>
      <c r="B8396" s="3" t="inlineStr">
        <is>
          <t>114-5738740-5880245</t>
        </is>
      </c>
      <c r="C8396" s="3" t="inlineStr">
        <is>
          <t>RockyMountain</t>
        </is>
      </c>
    </row>
    <row collapsed="false" customFormat="false" customHeight="false" hidden="false" ht="12.1" outlineLevel="0" r="8397">
      <c r="A8397" s="3" t="s">
        <f>=HYPERLINK("https://mp39851918.megaplan.ua/deals/138893/card/","23665")</f>
      </c>
      <c r="B8397" s="3" t="inlineStr">
        <is>
          <t>114-6987871-2969858</t>
        </is>
      </c>
      <c r="C8397" s="3" t="inlineStr">
        <is>
          <t>RockyMountain</t>
        </is>
      </c>
    </row>
    <row collapsed="false" customFormat="false" customHeight="false" hidden="false" ht="12.1" outlineLevel="0" r="8398">
      <c r="A8398" s="3" t="s">
        <f>=HYPERLINK("https://mp39851918.megaplan.ua/deals/138894/card/","23666")</f>
      </c>
      <c r="B8398" s="3" t="inlineStr">
        <is>
          <t>113-1083655-5205864</t>
        </is>
      </c>
      <c r="C8398" s="3" t="inlineStr">
        <is>
          <t>Autodist</t>
        </is>
      </c>
    </row>
    <row collapsed="false" customFormat="false" customHeight="false" hidden="false" ht="12.1" outlineLevel="0" r="8399">
      <c r="A8399" s="3" t="s">
        <f>=HYPERLINK("https://mp39851918.megaplan.ua/deals/138895/card/","23667")</f>
      </c>
      <c r="B8399" s="3" t="inlineStr">
        <is>
          <t>111-0327120-4946606</t>
        </is>
      </c>
      <c r="C8399" s="3" t="inlineStr">
        <is>
          <t>RockyMountain</t>
        </is>
      </c>
    </row>
    <row collapsed="false" customFormat="false" customHeight="false" hidden="false" ht="12.1" outlineLevel="0" r="8400">
      <c r="A8400" s="3" t="s">
        <f>=HYPERLINK("https://mp39851918.megaplan.ua/deals/138896/card/","23668")</f>
      </c>
      <c r="B8400" s="3" t="inlineStr">
        <is>
          <t>112-4854938-6089021</t>
        </is>
      </c>
      <c r="C8400" s="3" t="inlineStr">
        <is>
          <t>RockyMountain</t>
        </is>
      </c>
    </row>
    <row collapsed="false" customFormat="false" customHeight="false" hidden="false" ht="12.1" outlineLevel="0" r="8401">
      <c r="A8401" s="3" t="s">
        <f>=HYPERLINK("https://mp39851918.megaplan.ua/deals/138897/card/","23669")</f>
      </c>
      <c r="B8401" s="3" t="inlineStr">
        <is>
          <t>111-2600910-2969002</t>
        </is>
      </c>
      <c r="C8401" s="3" t="inlineStr">
        <is>
          <t>TuckerRocky</t>
        </is>
      </c>
    </row>
    <row collapsed="false" customFormat="false" customHeight="false" hidden="false" ht="12.1" outlineLevel="0" r="8402">
      <c r="A8402" s="3" t="s">
        <f>=HYPERLINK("https://mp39851918.megaplan.ua/deals/138899/card/","23670")</f>
      </c>
      <c r="B8402" s="3" t="inlineStr">
        <is>
          <t>111-0234720-2497055</t>
        </is>
      </c>
      <c r="C8402" s="3" t="inlineStr">
        <is>
          <t>RockyMountain</t>
        </is>
      </c>
    </row>
    <row collapsed="false" customFormat="false" customHeight="false" hidden="false" ht="12.1" outlineLevel="0" r="8403">
      <c r="A8403" s="3" t="s">
        <f>=HYPERLINK("https://mp39851918.megaplan.ua/deals/138907/card/","23674")</f>
      </c>
      <c r="B8403" s="3" t="inlineStr">
        <is>
          <t>113-5447213-4102625</t>
        </is>
      </c>
      <c r="C8403" s="3" t="inlineStr">
        <is>
          <t>Autodist</t>
        </is>
      </c>
    </row>
    <row collapsed="false" customFormat="false" customHeight="false" hidden="false" ht="12.1" outlineLevel="0" r="8404">
      <c r="A8404" s="3" t="s">
        <f>=HYPERLINK("https://mp39851918.megaplan.ua/deals/138913/card/","23675")</f>
      </c>
      <c r="B8404" s="3" t="inlineStr">
        <is>
          <t>113-3823865-6375455</t>
        </is>
      </c>
      <c r="C8404" s="3" t="inlineStr">
        <is>
          <t>TuckerRocky</t>
        </is>
      </c>
    </row>
    <row collapsed="false" customFormat="false" customHeight="false" hidden="false" ht="12.1" outlineLevel="0" r="8405">
      <c r="A8405" s="3" t="s">
        <f>=HYPERLINK("https://mp39851918.megaplan.ua/deals/138923/card/","23676")</f>
      </c>
      <c r="B8405" s="3" t="inlineStr">
        <is>
          <t>114-7670734-5168231</t>
        </is>
      </c>
      <c r="C8405" s="3" t="inlineStr">
        <is>
          <t>Autodist</t>
        </is>
      </c>
    </row>
    <row collapsed="false" customFormat="false" customHeight="false" hidden="false" ht="12.1" outlineLevel="0" r="8406">
      <c r="A8406" s="3" t="s">
        <f>=HYPERLINK("https://mp39851918.megaplan.ua/deals/138932/card/","23677")</f>
      </c>
      <c r="B8406" s="3" t="inlineStr">
        <is>
          <t>114-3548608-5777050</t>
        </is>
      </c>
      <c r="C8406" s="3" t="inlineStr">
        <is>
          <t>RockyMountain</t>
        </is>
      </c>
    </row>
    <row collapsed="false" customFormat="false" customHeight="false" hidden="false" ht="12.1" outlineLevel="0" r="8407">
      <c r="A8407" s="3" t="s">
        <f>=HYPERLINK("https://mp39851918.megaplan.ua/deals/138939/card/","23678")</f>
      </c>
      <c r="B8407" s="3" t="inlineStr">
        <is>
          <t>111-0233864-7997054</t>
        </is>
      </c>
      <c r="C8407" s="3" t="inlineStr">
        <is>
          <t>Autodist</t>
        </is>
      </c>
    </row>
    <row collapsed="false" customFormat="false" customHeight="false" hidden="false" ht="12.1" outlineLevel="0" r="8408">
      <c r="A8408" s="3" t="s">
        <f>=HYPERLINK("https://mp39851918.megaplan.ua/deals/138949/card/","23679")</f>
      </c>
      <c r="B8408" s="3" t="inlineStr">
        <is>
          <t>111-7213220-0033851</t>
        </is>
      </c>
      <c r="C8408" s="3" t="inlineStr">
        <is>
          <t>Autodist</t>
        </is>
      </c>
    </row>
    <row collapsed="false" customFormat="false" customHeight="false" hidden="false" ht="12.1" outlineLevel="0" r="8409">
      <c r="A8409" s="3" t="s">
        <f>=HYPERLINK("https://mp39851918.megaplan.ua/deals/138950/card/","23680")</f>
      </c>
      <c r="B8409" s="3" t="inlineStr">
        <is>
          <t>114-0646562-1878634</t>
        </is>
      </c>
      <c r="C8409" s="3" t="inlineStr">
        <is>
          <t>Autodist</t>
        </is>
      </c>
    </row>
    <row collapsed="false" customFormat="false" customHeight="false" hidden="false" ht="12.1" outlineLevel="0" r="8410">
      <c r="A8410" s="3" t="s">
        <f>=HYPERLINK("https://mp39851918.megaplan.ua/deals/138954/card/","23681")</f>
      </c>
      <c r="B8410" s="3" t="inlineStr">
        <is>
          <t>112-4430856-3133867</t>
        </is>
      </c>
      <c r="C8410" s="3" t="inlineStr">
        <is>
          <t>RockyMountain</t>
        </is>
      </c>
    </row>
    <row collapsed="false" customFormat="false" customHeight="false" hidden="false" ht="12.1" outlineLevel="0" r="8411">
      <c r="A8411" s="3" t="s">
        <f>=HYPERLINK("https://mp39851918.megaplan.ua/deals/138955/card/","23682")</f>
      </c>
      <c r="B8411" s="3" t="inlineStr">
        <is>
          <t>114-1994034-7218631</t>
        </is>
      </c>
      <c r="C8411" s="3" t="inlineStr">
        <is>
          <t>RockyMountain</t>
        </is>
      </c>
    </row>
    <row collapsed="false" customFormat="false" customHeight="false" hidden="false" ht="12.1" outlineLevel="0" r="8412">
      <c r="A8412" s="3" t="s">
        <f>=HYPERLINK("https://mp39851918.megaplan.ua/deals/138959/card/","23683")</f>
      </c>
      <c r="B8412" s="3" t="inlineStr">
        <is>
          <t>113-6001862-2296245</t>
        </is>
      </c>
      <c r="C8412" s="3" t="inlineStr">
        <is>
          <t>RockyMountain</t>
        </is>
      </c>
    </row>
    <row collapsed="false" customFormat="false" customHeight="false" hidden="false" ht="12.1" outlineLevel="0" r="8413">
      <c r="A8413" s="3" t="s">
        <f>=HYPERLINK("https://mp39851918.megaplan.ua/deals/138978/card/","23684")</f>
      </c>
      <c r="B8413" s="3" t="inlineStr">
        <is>
          <t>111-0098699-5227408</t>
        </is>
      </c>
      <c r="C8413" s="3" t="inlineStr">
        <is>
          <t>PartsUnlimited</t>
        </is>
      </c>
    </row>
    <row collapsed="false" customFormat="false" customHeight="false" hidden="false" ht="12.1" outlineLevel="0" r="8414">
      <c r="A8414" s="3" t="s">
        <f>=HYPERLINK("https://mp39851918.megaplan.ua/deals/138981/card/","23686")</f>
      </c>
      <c r="B8414" s="3" t="inlineStr">
        <is>
          <t>112-6220168-0522616</t>
        </is>
      </c>
      <c r="C8414" s="3" t="inlineStr">
        <is>
          <t>TuckerRocky</t>
        </is>
      </c>
    </row>
    <row collapsed="false" customFormat="false" customHeight="false" hidden="false" ht="12.1" outlineLevel="0" r="8415">
      <c r="A8415" s="3" t="s">
        <f>=HYPERLINK("https://mp39851918.megaplan.ua/deals/138982/card/","23687")</f>
      </c>
      <c r="B8415" s="3" t="inlineStr">
        <is>
          <t>112-0557318-9545844</t>
        </is>
      </c>
      <c r="C8415" s="3" t="inlineStr">
        <is>
          <t>RockyMountain</t>
        </is>
      </c>
    </row>
    <row collapsed="false" customFormat="false" customHeight="false" hidden="false" ht="12.1" outlineLevel="0" r="8416">
      <c r="A8416" s="3" t="s">
        <f>=HYPERLINK("https://mp39851918.megaplan.ua/deals/138983/card/","23688")</f>
      </c>
      <c r="B8416" s="3" t="inlineStr">
        <is>
          <t>114-8466387-1220241</t>
        </is>
      </c>
      <c r="C8416" s="3" t="inlineStr">
        <is>
          <t>RockyMountain</t>
        </is>
      </c>
    </row>
    <row collapsed="false" customFormat="false" customHeight="false" hidden="false" ht="12.1" outlineLevel="0" r="8417">
      <c r="A8417" s="3" t="s">
        <f>=HYPERLINK("https://mp39851918.megaplan.ua/deals/138988/card/","23689")</f>
      </c>
      <c r="B8417" s="3" t="inlineStr">
        <is>
          <t>111-5815529-9433817</t>
        </is>
      </c>
      <c r="C8417" s="3" t="inlineStr">
        <is>
          <t>RockyMountain</t>
        </is>
      </c>
    </row>
    <row collapsed="false" customFormat="false" customHeight="false" hidden="false" ht="12.1" outlineLevel="0" r="8418">
      <c r="A8418" s="3" t="s">
        <f>=HYPERLINK("https://mp39851918.megaplan.ua/deals/138989/card/","23690")</f>
      </c>
      <c r="B8418" s="3" t="inlineStr">
        <is>
          <t>113-5277281-6088228</t>
        </is>
      </c>
      <c r="C8418" s="3" t="inlineStr">
        <is>
          <t>RockyMountain</t>
        </is>
      </c>
    </row>
    <row collapsed="false" customFormat="false" customHeight="false" hidden="false" ht="12.1" outlineLevel="0" r="8419">
      <c r="A8419" s="3" t="s">
        <f>=HYPERLINK("https://mp39851918.megaplan.ua/deals/138990/card/","23691")</f>
      </c>
      <c r="B8419" s="3" t="inlineStr">
        <is>
          <t>114-3315132-9084268</t>
        </is>
      </c>
      <c r="C8419" s="3" t="inlineStr">
        <is>
          <t>RockyMountain</t>
        </is>
      </c>
    </row>
    <row collapsed="false" customFormat="false" customHeight="false" hidden="false" ht="12.1" outlineLevel="0" r="8420">
      <c r="A8420" s="3" t="s">
        <f>=HYPERLINK("https://mp39851918.megaplan.ua/deals/138991/card/","23692")</f>
      </c>
      <c r="B8420" s="3" t="inlineStr">
        <is>
          <t>112-7540225-2135441</t>
        </is>
      </c>
      <c r="C8420" s="3" t="inlineStr">
        <is>
          <t>Autodist</t>
        </is>
      </c>
    </row>
    <row collapsed="false" customFormat="false" customHeight="false" hidden="false" ht="12.1" outlineLevel="0" r="8421">
      <c r="A8421" s="3" t="s">
        <f>=HYPERLINK("https://mp39851918.megaplan.ua/deals/139001/card/","23693")</f>
      </c>
      <c r="B8421" s="3" t="inlineStr">
        <is>
          <t>111-4530781-4245867</t>
        </is>
      </c>
      <c r="C8421" s="3" t="inlineStr">
        <is>
          <t>RockyMountain</t>
        </is>
      </c>
    </row>
    <row collapsed="false" customFormat="false" customHeight="false" hidden="false" ht="12.1" outlineLevel="0" r="8422">
      <c r="A8422" s="3" t="s">
        <f>=HYPERLINK("https://mp39851918.megaplan.ua/deals/139004/card/","23694")</f>
      </c>
      <c r="B8422" s="3" t="inlineStr">
        <is>
          <t>112-5257121-0098603</t>
        </is>
      </c>
      <c r="C8422" s="3" t="inlineStr">
        <is>
          <t>Autodist</t>
        </is>
      </c>
    </row>
    <row collapsed="false" customFormat="false" customHeight="false" hidden="false" ht="12.1" outlineLevel="0" r="8423">
      <c r="A8423" s="3" t="s">
        <f>=HYPERLINK("https://mp39851918.megaplan.ua/deals/139005/card/","23695")</f>
      </c>
      <c r="B8423" s="3" t="inlineStr">
        <is>
          <t>114-0757606-0727421</t>
        </is>
      </c>
      <c r="C8423" s="3" t="inlineStr">
        <is>
          <t>Autodist</t>
        </is>
      </c>
    </row>
    <row collapsed="false" customFormat="false" customHeight="false" hidden="false" ht="12.1" outlineLevel="0" r="8424">
      <c r="A8424" s="3" t="s">
        <f>=HYPERLINK("https://mp39851918.megaplan.ua/deals/139006/card/","23696")</f>
      </c>
      <c r="B8424" s="3" t="inlineStr">
        <is>
          <t>113-4345148-3268218</t>
        </is>
      </c>
      <c r="C8424" s="3" t="inlineStr">
        <is>
          <t>Autodist</t>
        </is>
      </c>
    </row>
    <row collapsed="false" customFormat="false" customHeight="false" hidden="false" ht="12.1" outlineLevel="0" r="8425">
      <c r="A8425" s="3" t="s">
        <f>=HYPERLINK("https://mp39851918.megaplan.ua/deals/139023/card/","23697")</f>
      </c>
      <c r="B8425" s="3" t="inlineStr">
        <is>
          <t>113-0443970-5269061</t>
        </is>
      </c>
      <c r="C8425" s="3" t="inlineStr">
        <is>
          <t>RockyMountain</t>
        </is>
      </c>
    </row>
    <row collapsed="false" customFormat="false" customHeight="false" hidden="false" ht="12.1" outlineLevel="0" r="8426">
      <c r="A8426" s="3" t="s">
        <f>=HYPERLINK("https://mp39851918.megaplan.ua/deals/139054/card/","23699")</f>
      </c>
      <c r="B8426" s="3" t="inlineStr">
        <is>
          <t>113-8161416-9961040</t>
        </is>
      </c>
      <c r="C8426" s="3" t="inlineStr">
        <is>
          <t>TuckerRocky</t>
        </is>
      </c>
    </row>
    <row collapsed="false" customFormat="false" customHeight="false" hidden="false" ht="12.1" outlineLevel="0" r="8427">
      <c r="A8427" s="3" t="s">
        <f>=HYPERLINK("https://mp39851918.megaplan.ua/deals/139055/card/","23700")</f>
      </c>
      <c r="B8427" s="3" t="inlineStr">
        <is>
          <t>112-0843623-5597838</t>
        </is>
      </c>
      <c r="C8427" s="3" t="inlineStr">
        <is>
          <t>Autodist</t>
        </is>
      </c>
    </row>
    <row collapsed="false" customFormat="false" customHeight="false" hidden="false" ht="12.1" outlineLevel="0" r="8428">
      <c r="A8428" s="3" t="s">
        <f>=HYPERLINK("https://mp39851918.megaplan.ua/deals/139062/card/","23701")</f>
      </c>
      <c r="B8428" s="3" t="inlineStr">
        <is>
          <t>112-4391919-1098650</t>
        </is>
      </c>
      <c r="C8428" s="3" t="inlineStr">
        <is>
          <t>Autodist</t>
        </is>
      </c>
    </row>
    <row collapsed="false" customFormat="false" customHeight="false" hidden="false" ht="12.1" outlineLevel="0" r="8429">
      <c r="A8429" s="3" t="s">
        <f>=HYPERLINK("https://mp39851918.megaplan.ua/deals/139063/card/","23702")</f>
      </c>
      <c r="B8429" s="3" t="inlineStr">
        <is>
          <t>114-2984066-9617047</t>
        </is>
      </c>
      <c r="C8429" s="3" t="inlineStr">
        <is>
          <t>TuckerRocky</t>
        </is>
      </c>
    </row>
    <row collapsed="false" customFormat="false" customHeight="false" hidden="false" ht="12.1" outlineLevel="0" r="8430">
      <c r="A8430" s="3" t="s">
        <f>=HYPERLINK("https://mp39851918.megaplan.ua/deals/139080/card/","23704")</f>
      </c>
      <c r="B8430" s="3" t="inlineStr">
        <is>
          <t>111-2872263-1637805</t>
        </is>
      </c>
      <c r="C8430" s="3" t="inlineStr">
        <is>
          <t>RockyMountain</t>
        </is>
      </c>
    </row>
    <row collapsed="false" customFormat="false" customHeight="false" hidden="false" ht="12.1" outlineLevel="0" r="8431">
      <c r="A8431" s="3" t="s">
        <f>=HYPERLINK("https://mp39851918.megaplan.ua/deals/139081/card/","23705")</f>
      </c>
      <c r="B8431" s="3" t="inlineStr">
        <is>
          <t>112-9678381-2472262</t>
        </is>
      </c>
      <c r="C8431" s="3" t="inlineStr">
        <is>
          <t>Autodist</t>
        </is>
      </c>
    </row>
    <row collapsed="false" customFormat="false" customHeight="false" hidden="false" ht="12.1" outlineLevel="0" r="8432">
      <c r="A8432" s="3" t="s">
        <f>=HYPERLINK("https://mp39851918.megaplan.ua/deals/139082/card/","23706")</f>
      </c>
      <c r="B8432" s="3" t="inlineStr">
        <is>
          <t>114-1359084-7831459</t>
        </is>
      </c>
      <c r="C8432" s="3" t="inlineStr">
        <is>
          <t>Autodist</t>
        </is>
      </c>
    </row>
    <row collapsed="false" customFormat="false" customHeight="false" hidden="false" ht="12.1" outlineLevel="0" r="8433">
      <c r="A8433" s="3" t="s">
        <f>=HYPERLINK("https://mp39851918.megaplan.ua/deals/139083/card/","23707")</f>
      </c>
      <c r="B8433" s="3" t="inlineStr">
        <is>
          <t>114-6518274-1683405</t>
        </is>
      </c>
      <c r="C8433" s="3" t="inlineStr">
        <is>
          <t>Autodist</t>
        </is>
      </c>
    </row>
    <row collapsed="false" customFormat="false" customHeight="false" hidden="false" ht="12.1" outlineLevel="0" r="8434">
      <c r="A8434" s="3" t="s">
        <f>=HYPERLINK("https://mp39851918.megaplan.ua/deals/139085/card/","23708")</f>
      </c>
      <c r="B8434" s="3" t="inlineStr">
        <is>
          <t>114-3899835-1506656</t>
        </is>
      </c>
      <c r="C8434" s="3" t="inlineStr">
        <is>
          <t>RockyMountain</t>
        </is>
      </c>
    </row>
    <row collapsed="false" customFormat="false" customHeight="false" hidden="false" ht="12.1" outlineLevel="0" r="8435">
      <c r="A8435" s="3" t="s">
        <f>=HYPERLINK("https://mp39851918.megaplan.ua/deals/139088/card/","23709")</f>
      </c>
      <c r="B8435" s="3" t="inlineStr">
        <is>
          <t>111-8001906-9063456</t>
        </is>
      </c>
      <c r="C8435" s="3" t="inlineStr">
        <is>
          <t>RockyMountain</t>
        </is>
      </c>
    </row>
    <row collapsed="false" customFormat="false" customHeight="false" hidden="false" ht="12.1" outlineLevel="0" r="8436">
      <c r="A8436" s="3" t="s">
        <f>=HYPERLINK("https://mp39851918.megaplan.ua/deals/139114/card/","23712")</f>
      </c>
      <c r="B8436" s="3" t="inlineStr">
        <is>
          <t>112-4585396-6975446</t>
        </is>
      </c>
      <c r="C8436" s="3" t="inlineStr">
        <is>
          <t>Autodist</t>
        </is>
      </c>
    </row>
    <row collapsed="false" customFormat="false" customHeight="false" hidden="false" ht="12.1" outlineLevel="0" r="8437">
      <c r="A8437" s="3" t="s">
        <f>=HYPERLINK("https://mp39851918.megaplan.ua/deals/139124/card/","23713")</f>
      </c>
      <c r="B8437" s="3" t="inlineStr">
        <is>
          <t>112-0489349-7890631</t>
        </is>
      </c>
      <c r="C8437" s="3" t="inlineStr">
        <is>
          <t>Autodist</t>
        </is>
      </c>
    </row>
    <row collapsed="false" customFormat="false" customHeight="false" hidden="false" ht="12.1" outlineLevel="0" r="8438">
      <c r="A8438" s="3" t="s">
        <f>=HYPERLINK("https://mp39851918.megaplan.ua/deals/139126/card/","23714")</f>
      </c>
      <c r="B8438" s="3" t="inlineStr">
        <is>
          <t>113-1103829-4969012</t>
        </is>
      </c>
      <c r="C8438" s="3" t="inlineStr">
        <is>
          <t>Autodist</t>
        </is>
      </c>
    </row>
    <row collapsed="false" customFormat="false" customHeight="false" hidden="false" ht="12.1" outlineLevel="0" r="8439">
      <c r="A8439" s="3" t="s">
        <f>=HYPERLINK("https://mp39851918.megaplan.ua/deals/139128/card/","23715")</f>
      </c>
      <c r="B8439" s="3" t="inlineStr">
        <is>
          <t>113-9030756-7277834</t>
        </is>
      </c>
      <c r="C8439" s="3" t="inlineStr">
        <is>
          <t>RockyMountain</t>
        </is>
      </c>
    </row>
    <row collapsed="false" customFormat="false" customHeight="false" hidden="false" ht="12.1" outlineLevel="0" r="8440">
      <c r="A8440" s="3" t="s">
        <f>=HYPERLINK("https://mp39851918.megaplan.ua/deals/139135/card/","23716")</f>
      </c>
      <c r="B8440" s="3" t="inlineStr">
        <is>
          <t>112-7648242-2635459</t>
        </is>
      </c>
      <c r="C8440" s="3" t="inlineStr">
        <is>
          <t>RockyMountain</t>
        </is>
      </c>
    </row>
    <row collapsed="false" customFormat="false" customHeight="false" hidden="false" ht="12.1" outlineLevel="0" r="8441">
      <c r="A8441" s="3" t="s">
        <f>=HYPERLINK("https://mp39851918.megaplan.ua/deals/139136/card/","23717")</f>
      </c>
      <c r="B8441" s="3" t="inlineStr">
        <is>
          <t>113-7210530-4321068</t>
        </is>
      </c>
      <c r="C8441" s="3" t="inlineStr">
        <is>
          <t>RockyMountain</t>
        </is>
      </c>
    </row>
    <row collapsed="false" customFormat="false" customHeight="false" hidden="false" ht="12.1" outlineLevel="0" r="8442">
      <c r="A8442" s="3" t="s">
        <f>=HYPERLINK("https://mp39851918.megaplan.ua/deals/139157/card/","23720")</f>
      </c>
      <c r="B8442" s="3" t="inlineStr">
        <is>
          <t>111-7322092-5990639</t>
        </is>
      </c>
      <c r="C8442" s="3" t="inlineStr">
        <is>
          <t>PartsUnlimited</t>
        </is>
      </c>
    </row>
    <row collapsed="false" customFormat="false" customHeight="false" hidden="false" ht="12.1" outlineLevel="0" r="8443">
      <c r="A8443" s="3" t="s">
        <f>=HYPERLINK("https://mp39851918.megaplan.ua/deals/139158/card/","23721")</f>
      </c>
      <c r="B8443" s="3" t="inlineStr">
        <is>
          <t>113-8094608-3523433</t>
        </is>
      </c>
      <c r="C8443" s="3" t="inlineStr">
        <is>
          <t>TuckerRocky</t>
        </is>
      </c>
    </row>
    <row collapsed="false" customFormat="false" customHeight="false" hidden="false" ht="12.1" outlineLevel="0" r="8444">
      <c r="A8444" s="3" t="s">
        <f>=HYPERLINK("https://mp39851918.megaplan.ua/deals/139167/card/","23722")</f>
      </c>
      <c r="B8444" s="3" t="inlineStr">
        <is>
          <t>111-6534632-2563400</t>
        </is>
      </c>
      <c r="C8444" s="3" t="inlineStr">
        <is>
          <t>Autodist</t>
        </is>
      </c>
    </row>
    <row collapsed="false" customFormat="false" customHeight="false" hidden="false" ht="12.1" outlineLevel="0" r="8445">
      <c r="A8445" s="3" t="s">
        <f>=HYPERLINK("https://mp39851918.megaplan.ua/deals/139178/card/","23723")</f>
      </c>
      <c r="B8445" s="3" t="inlineStr">
        <is>
          <t>112-9012273-2031457</t>
        </is>
      </c>
      <c r="C8445" s="3" t="inlineStr">
        <is>
          <t>RockyMountain</t>
        </is>
      </c>
    </row>
    <row collapsed="false" customFormat="false" customHeight="false" hidden="false" ht="12.1" outlineLevel="0" r="8446">
      <c r="A8446" s="3" t="s">
        <f>=HYPERLINK("https://mp39851918.megaplan.ua/deals/139184/card/","23725")</f>
      </c>
      <c r="B8446" s="3" t="inlineStr">
        <is>
          <t>111-3472163-7625867</t>
        </is>
      </c>
      <c r="C8446" s="3" t="inlineStr">
        <is>
          <t>RockyMountain</t>
        </is>
      </c>
    </row>
    <row collapsed="false" customFormat="false" customHeight="false" hidden="false" ht="12.1" outlineLevel="0" r="8447">
      <c r="A8447" s="3" t="s">
        <f>=HYPERLINK("https://mp39851918.megaplan.ua/deals/139197/card/","23726")</f>
      </c>
      <c r="B8447" s="3" t="inlineStr">
        <is>
          <t>112-7996200-8341048</t>
        </is>
      </c>
      <c r="C8447" s="3" t="inlineStr">
        <is>
          <t>RockyMountain</t>
        </is>
      </c>
    </row>
    <row collapsed="false" customFormat="false" customHeight="false" hidden="false" ht="12.1" outlineLevel="0" r="8448">
      <c r="A8448" s="3" t="s">
        <f>=HYPERLINK("https://mp39851918.megaplan.ua/deals/139200/card/","23727")</f>
      </c>
      <c r="B8448" s="3" t="inlineStr">
        <is>
          <t>111-4830834-3912217</t>
        </is>
      </c>
      <c r="C8448" s="3" t="inlineStr">
        <is>
          <t>Autodist</t>
        </is>
      </c>
    </row>
    <row collapsed="false" customFormat="false" customHeight="false" hidden="false" ht="12.1" outlineLevel="0" r="8449">
      <c r="A8449" s="3" t="s">
        <f>=HYPERLINK("https://mp39851918.megaplan.ua/deals/139201/card/","23728")</f>
      </c>
      <c r="B8449" s="3" t="inlineStr">
        <is>
          <t>112-3389171-8680268</t>
        </is>
      </c>
      <c r="C8449" s="3" t="inlineStr">
        <is>
          <t>Autodist</t>
        </is>
      </c>
    </row>
    <row collapsed="false" customFormat="false" customHeight="false" hidden="false" ht="12.1" outlineLevel="0" r="8450">
      <c r="A8450" s="3" t="s">
        <f>=HYPERLINK("https://mp39851918.megaplan.ua/deals/139202/card/","23729")</f>
      </c>
      <c r="B8450" s="3" t="inlineStr">
        <is>
          <t>112-8090524-8362666</t>
        </is>
      </c>
      <c r="C8450" s="3" t="inlineStr">
        <is>
          <t>RockyMountain</t>
        </is>
      </c>
    </row>
    <row collapsed="false" customFormat="false" customHeight="false" hidden="false" ht="12.1" outlineLevel="0" r="8451">
      <c r="A8451" s="3" t="s">
        <f>=HYPERLINK("https://mp39851918.megaplan.ua/deals/139209/card/","23730")</f>
      </c>
      <c r="B8451" s="3" t="inlineStr">
        <is>
          <t>114-2806879-6041811</t>
        </is>
      </c>
      <c r="C8451" s="3" t="inlineStr">
        <is>
          <t>PartsUnlimited</t>
        </is>
      </c>
    </row>
    <row collapsed="false" customFormat="false" customHeight="false" hidden="false" ht="12.1" outlineLevel="0" r="8452">
      <c r="A8452" s="3" t="s">
        <f>=HYPERLINK("https://mp39851918.megaplan.ua/deals/139216/card/","23731")</f>
      </c>
      <c r="B8452" s="3" t="inlineStr">
        <is>
          <t>112-7688105-1501031</t>
        </is>
      </c>
      <c r="C8452" s="3" t="inlineStr">
        <is>
          <t>TuckerRocky</t>
        </is>
      </c>
    </row>
    <row collapsed="false" customFormat="false" customHeight="false" hidden="false" ht="12.1" outlineLevel="0" r="8453">
      <c r="A8453" s="3" t="s">
        <f>=HYPERLINK("https://mp39851918.megaplan.ua/deals/139217/card/","23732")</f>
      </c>
      <c r="B8453" s="3" t="inlineStr">
        <is>
          <t>113-8832112-6709038</t>
        </is>
      </c>
      <c r="C8453" s="3" t="inlineStr">
        <is>
          <t>Autodist</t>
        </is>
      </c>
    </row>
    <row collapsed="false" customFormat="false" customHeight="false" hidden="false" ht="12.1" outlineLevel="0" r="8454">
      <c r="A8454" s="3" t="s">
        <f>=HYPERLINK("https://mp39851918.megaplan.ua/deals/139222/card/","23733")</f>
      </c>
      <c r="B8454" s="3" t="inlineStr">
        <is>
          <t>111-7223114-1301046</t>
        </is>
      </c>
      <c r="C8454" s="3" t="inlineStr">
        <is>
          <t>Autodist</t>
        </is>
      </c>
    </row>
    <row collapsed="false" customFormat="false" customHeight="false" hidden="false" ht="12.1" outlineLevel="0" r="8455">
      <c r="A8455" s="3" t="s">
        <f>=HYPERLINK("https://mp39851918.megaplan.ua/deals/139223/card/","23734")</f>
      </c>
      <c r="B8455" s="3" t="inlineStr">
        <is>
          <t>112-4885087-5945805</t>
        </is>
      </c>
      <c r="C8455" s="3" t="inlineStr">
        <is>
          <t>RockyMountain</t>
        </is>
      </c>
    </row>
    <row collapsed="false" customFormat="false" customHeight="false" hidden="false" ht="12.1" outlineLevel="0" r="8456">
      <c r="A8456" s="3" t="s">
        <f>=HYPERLINK("https://mp39851918.megaplan.ua/deals/139224/card/","23735")</f>
      </c>
      <c r="B8456" s="3" t="inlineStr">
        <is>
          <t>113-7042602-1165848</t>
        </is>
      </c>
      <c r="C8456" s="3" t="inlineStr">
        <is>
          <t>RockyMountain</t>
        </is>
      </c>
    </row>
    <row collapsed="false" customFormat="false" customHeight="false" hidden="false" ht="12.1" outlineLevel="0" r="8457">
      <c r="A8457" s="3" t="s">
        <f>=HYPERLINK("https://mp39851918.megaplan.ua/deals/139225/card/","23736")</f>
      </c>
      <c r="B8457" s="3" t="inlineStr">
        <is>
          <t>114-1317903-2537860</t>
        </is>
      </c>
      <c r="C8457" s="3" t="inlineStr">
        <is>
          <t>RockyMountain</t>
        </is>
      </c>
    </row>
    <row collapsed="false" customFormat="false" customHeight="false" hidden="false" ht="12.1" outlineLevel="0" r="8458">
      <c r="A8458" s="3" t="s">
        <f>=HYPERLINK("https://mp39851918.megaplan.ua/deals/139230/card/","23737")</f>
      </c>
      <c r="B8458" s="3" t="inlineStr">
        <is>
          <t>111-6506919-8001006</t>
        </is>
      </c>
      <c r="C8458" s="3" t="inlineStr">
        <is>
          <t>RockyMountain</t>
        </is>
      </c>
    </row>
    <row collapsed="false" customFormat="false" customHeight="false" hidden="false" ht="12.1" outlineLevel="0" r="8459">
      <c r="A8459" s="3" t="s">
        <f>=HYPERLINK("https://mp39851918.megaplan.ua/deals/139231/card/","23738")</f>
      </c>
      <c r="B8459" s="3" t="inlineStr">
        <is>
          <t>112-0336823-8214645</t>
        </is>
      </c>
      <c r="C8459" s="3" t="inlineStr">
        <is>
          <t>Autodist</t>
        </is>
      </c>
    </row>
    <row collapsed="false" customFormat="false" customHeight="false" hidden="false" ht="12.1" outlineLevel="0" r="8460">
      <c r="A8460" s="3" t="s">
        <f>=HYPERLINK("https://mp39851918.megaplan.ua/deals/139236/card/","23739")</f>
      </c>
      <c r="B8460" s="3" t="inlineStr">
        <is>
          <t>114-0917811-5814659</t>
        </is>
      </c>
      <c r="C8460" s="3" t="inlineStr">
        <is>
          <t>RockyMountain</t>
        </is>
      </c>
    </row>
    <row collapsed="false" customFormat="false" customHeight="false" hidden="false" ht="12.1" outlineLevel="0" r="8461">
      <c r="A8461" s="3" t="s">
        <f>=HYPERLINK("https://mp39851918.megaplan.ua/deals/139237/card/","23740")</f>
      </c>
      <c r="B8461" s="3" t="inlineStr">
        <is>
          <t>111-8109019-8691467</t>
        </is>
      </c>
      <c r="C8461" s="3" t="inlineStr">
        <is>
          <t>Autodist</t>
        </is>
      </c>
    </row>
    <row collapsed="false" customFormat="false" customHeight="false" hidden="false" ht="12.1" outlineLevel="0" r="8462">
      <c r="A8462" s="3" t="s">
        <f>=HYPERLINK("https://mp39851918.megaplan.ua/deals/139246/card/","23741")</f>
      </c>
      <c r="B8462" s="3" t="inlineStr">
        <is>
          <t>112-1993862-5901803</t>
        </is>
      </c>
      <c r="C8462" s="3" t="inlineStr">
        <is>
          <t>Autodist</t>
        </is>
      </c>
    </row>
    <row collapsed="false" customFormat="false" customHeight="false" hidden="false" ht="12.1" outlineLevel="0" r="8463">
      <c r="A8463" s="3" t="s">
        <f>=HYPERLINK("https://mp39851918.megaplan.ua/deals/139248/card/","23742")</f>
      </c>
      <c r="B8463" s="3" t="inlineStr">
        <is>
          <t>113-3671629-6554628</t>
        </is>
      </c>
      <c r="C8463" s="3" t="inlineStr">
        <is>
          <t>RockyMountain</t>
        </is>
      </c>
    </row>
    <row collapsed="false" customFormat="false" customHeight="false" hidden="false" ht="12.1" outlineLevel="0" r="8464">
      <c r="A8464" s="3" t="s">
        <f>=HYPERLINK("https://mp39851918.megaplan.ua/deals/139255/card/","23744")</f>
      </c>
      <c r="B8464" s="3" t="inlineStr">
        <is>
          <t>111-0501510-8012210</t>
        </is>
      </c>
      <c r="C8464" s="3" t="inlineStr">
        <is>
          <t>RockyMountain</t>
        </is>
      </c>
    </row>
    <row collapsed="false" customFormat="false" customHeight="false" hidden="false" ht="12.1" outlineLevel="0" r="8465">
      <c r="A8465" s="3" t="s">
        <f>=HYPERLINK("https://mp39851918.megaplan.ua/deals/139256/card/","23745")</f>
      </c>
      <c r="B8465" s="3" t="inlineStr">
        <is>
          <t>112-9540682-8528259</t>
        </is>
      </c>
      <c r="C8465" s="3" t="inlineStr">
        <is>
          <t>RockyMountain</t>
        </is>
      </c>
    </row>
    <row collapsed="false" customFormat="false" customHeight="false" hidden="false" ht="12.1" outlineLevel="0" r="8466">
      <c r="A8466" s="3" t="s">
        <f>=HYPERLINK("https://mp39851918.megaplan.ua/deals/139258/card/","23746")</f>
      </c>
      <c r="B8466" s="3" t="inlineStr">
        <is>
          <t>112-3840484-1123418</t>
        </is>
      </c>
      <c r="C8466" s="3" t="inlineStr">
        <is>
          <t>RockyMountain</t>
        </is>
      </c>
    </row>
    <row collapsed="false" customFormat="false" customHeight="false" hidden="false" ht="12.1" outlineLevel="0" r="8467">
      <c r="A8467" s="3" t="s">
        <f>=HYPERLINK("https://mp39851918.megaplan.ua/deals/139263/card/","23747")</f>
      </c>
      <c r="B8467" s="3" t="inlineStr">
        <is>
          <t>111-5119835-7030655</t>
        </is>
      </c>
      <c r="C8467" s="3" t="inlineStr">
        <is>
          <t>Autodist</t>
        </is>
      </c>
    </row>
    <row collapsed="false" customFormat="false" customHeight="false" hidden="false" ht="12.1" outlineLevel="0" r="8468">
      <c r="A8468" s="3" t="s">
        <f>=HYPERLINK("https://mp39851918.megaplan.ua/deals/139264/card/","23748")</f>
      </c>
      <c r="B8468" s="3" t="inlineStr">
        <is>
          <t>111-5506144-7837849</t>
        </is>
      </c>
      <c r="C8468" s="3" t="inlineStr">
        <is>
          <t>PartsUnlimited</t>
        </is>
      </c>
    </row>
    <row collapsed="false" customFormat="false" customHeight="false" hidden="false" ht="12.1" outlineLevel="0" r="8469">
      <c r="A8469" s="3" t="s">
        <f>=HYPERLINK("https://mp39851918.megaplan.ua/deals/139265/card/","23749")</f>
      </c>
      <c r="B8469" s="3" t="inlineStr">
        <is>
          <t>113-3549593-0316258</t>
        </is>
      </c>
      <c r="C8469" s="3" t="inlineStr">
        <is>
          <t>RockyMountain</t>
        </is>
      </c>
    </row>
    <row collapsed="false" customFormat="false" customHeight="false" hidden="false" ht="12.1" outlineLevel="0" r="8470">
      <c r="A8470" s="3" t="s">
        <f>=HYPERLINK("https://mp39851918.megaplan.ua/deals/139269/card/","23750")</f>
      </c>
      <c r="B8470" s="3" t="inlineStr">
        <is>
          <t>112-3919420-8120224</t>
        </is>
      </c>
      <c r="C8470" s="3" t="inlineStr">
        <is>
          <t>Autodist</t>
        </is>
      </c>
    </row>
    <row collapsed="false" customFormat="false" customHeight="false" hidden="false" ht="12.1" outlineLevel="0" r="8471">
      <c r="A8471" s="3" t="s">
        <f>=HYPERLINK("https://mp39851918.megaplan.ua/deals/139271/card/","23751")</f>
      </c>
      <c r="B8471" s="3" t="inlineStr">
        <is>
          <t>111-5503787-2672248</t>
        </is>
      </c>
      <c r="C8471" s="3" t="inlineStr">
        <is>
          <t>RockyMountain</t>
        </is>
      </c>
    </row>
    <row collapsed="false" customFormat="false" customHeight="false" hidden="false" ht="12.1" outlineLevel="0" r="8472">
      <c r="A8472" s="3" t="s">
        <f>=HYPERLINK("https://mp39851918.megaplan.ua/deals/139274/card/","23752")</f>
      </c>
      <c r="B8472" s="3" t="inlineStr">
        <is>
          <t>112-8769124-2816204</t>
        </is>
      </c>
      <c r="C8472" s="3" t="inlineStr">
        <is>
          <t>Autodist</t>
        </is>
      </c>
    </row>
    <row collapsed="false" customFormat="false" customHeight="false" hidden="false" ht="12.1" outlineLevel="0" r="8473">
      <c r="A8473" s="3" t="s">
        <f>=HYPERLINK("https://mp39851918.megaplan.ua/deals/139280/card/","23753")</f>
      </c>
      <c r="B8473" s="3" t="inlineStr">
        <is>
          <t>111-1135130-4705014</t>
        </is>
      </c>
      <c r="C8473" s="3" t="inlineStr">
        <is>
          <t>RockyMountain</t>
        </is>
      </c>
    </row>
    <row collapsed="false" customFormat="false" customHeight="false" hidden="false" ht="12.1" outlineLevel="0" r="8474">
      <c r="A8474" s="3" t="s">
        <f>=HYPERLINK("https://mp39851918.megaplan.ua/deals/139284/card/","23754")</f>
      </c>
      <c r="B8474" s="3" t="inlineStr">
        <is>
          <t>114-9277474-8318646</t>
        </is>
      </c>
      <c r="C8474" s="3" t="inlineStr">
        <is>
          <t>PartsUnlimited</t>
        </is>
      </c>
    </row>
    <row collapsed="false" customFormat="false" customHeight="false" hidden="false" ht="12.1" outlineLevel="0" r="8475">
      <c r="A8475" s="3" t="s">
        <f>=HYPERLINK("https://mp39851918.megaplan.ua/deals/139285/card/","23755")</f>
      </c>
      <c r="B8475" s="3" t="inlineStr">
        <is>
          <t>113-0032126-7121048</t>
        </is>
      </c>
      <c r="C8475" s="3" t="inlineStr">
        <is>
          <t>Autodist</t>
        </is>
      </c>
    </row>
    <row collapsed="false" customFormat="false" customHeight="false" hidden="false" ht="12.1" outlineLevel="0" r="8476">
      <c r="A8476" s="3" t="s">
        <f>=HYPERLINK("https://mp39851918.megaplan.ua/deals/139286/card/","23756")</f>
      </c>
      <c r="B8476" s="3" t="inlineStr">
        <is>
          <t>112-4902259-0817069</t>
        </is>
      </c>
      <c r="C8476" s="3" t="inlineStr">
        <is>
          <t>Autodist</t>
        </is>
      </c>
    </row>
    <row collapsed="false" customFormat="false" customHeight="false" hidden="false" ht="12.1" outlineLevel="0" r="8477">
      <c r="A8477" s="3" t="s">
        <f>=HYPERLINK("https://mp39851918.megaplan.ua/deals/139289/card/","23757")</f>
      </c>
      <c r="B8477" s="3" t="inlineStr">
        <is>
          <t>113-5229362-6065009</t>
        </is>
      </c>
      <c r="C8477" s="3" t="inlineStr">
        <is>
          <t>RockyMountain</t>
        </is>
      </c>
    </row>
    <row collapsed="false" customFormat="false" customHeight="false" hidden="false" ht="12.1" outlineLevel="0" r="8478">
      <c r="A8478" s="3" t="s">
        <f>=HYPERLINK("https://mp39851918.megaplan.ua/deals/139290/card/","23758")</f>
      </c>
      <c r="B8478" s="3" t="inlineStr">
        <is>
          <t>111-1998293-2989864</t>
        </is>
      </c>
      <c r="C8478" s="3" t="inlineStr">
        <is>
          <t>RockyMountain</t>
        </is>
      </c>
    </row>
    <row collapsed="false" customFormat="false" customHeight="false" hidden="false" ht="12.1" outlineLevel="0" r="8479">
      <c r="A8479" s="3" t="s">
        <f>=HYPERLINK("https://mp39851918.megaplan.ua/deals/139292/card/","23759")</f>
      </c>
      <c r="B8479" s="3" t="inlineStr">
        <is>
          <t>114-2420267-8469867</t>
        </is>
      </c>
      <c r="C8479" s="3" t="inlineStr">
        <is>
          <t>RockyMountain</t>
        </is>
      </c>
    </row>
    <row collapsed="false" customFormat="false" customHeight="false" hidden="false" ht="12.1" outlineLevel="0" r="8480">
      <c r="A8480" s="3" t="s">
        <f>=HYPERLINK("https://mp39851918.megaplan.ua/deals/139295/card/","23760")</f>
      </c>
      <c r="B8480" s="3" t="inlineStr">
        <is>
          <t>114-4503642-6621833</t>
        </is>
      </c>
      <c r="C8480" s="3" t="inlineStr">
        <is>
          <t>Autodist</t>
        </is>
      </c>
    </row>
    <row collapsed="false" customFormat="false" customHeight="false" hidden="false" ht="12.1" outlineLevel="0" r="8481">
      <c r="A8481" s="3" t="s">
        <f>=HYPERLINK("https://mp39851918.megaplan.ua/deals/139296/card/","23761")</f>
      </c>
      <c r="B8481" s="3" t="inlineStr">
        <is>
          <t>114-9895126-3226639</t>
        </is>
      </c>
      <c r="C8481" s="3" t="inlineStr">
        <is>
          <t>Autodist</t>
        </is>
      </c>
    </row>
    <row collapsed="false" customFormat="false" customHeight="false" hidden="false" ht="12.1" outlineLevel="0" r="8482">
      <c r="A8482" s="3" t="s">
        <f>=HYPERLINK("https://mp39851918.megaplan.ua/deals/139300/card/","23762")</f>
      </c>
      <c r="B8482" s="3" t="inlineStr">
        <is>
          <t>114-1224242-7014622</t>
        </is>
      </c>
      <c r="C8482" s="3" t="inlineStr">
        <is>
          <t>Autodist</t>
        </is>
      </c>
    </row>
    <row collapsed="false" customFormat="false" customHeight="false" hidden="false" ht="12.1" outlineLevel="0" r="8483">
      <c r="A8483" s="3" t="s">
        <f>=HYPERLINK("https://mp39851918.megaplan.ua/deals/139303/card/","23763")</f>
      </c>
      <c r="B8483" s="3" t="inlineStr">
        <is>
          <t>113-6471920-2744208</t>
        </is>
      </c>
      <c r="C8483" s="3" t="inlineStr">
        <is>
          <t>RockyMountain</t>
        </is>
      </c>
    </row>
    <row collapsed="false" customFormat="false" customHeight="false" hidden="false" ht="12.1" outlineLevel="0" r="8484">
      <c r="A8484" s="3" t="s">
        <f>=HYPERLINK("https://mp39851918.megaplan.ua/deals/139304/card/","23764")</f>
      </c>
      <c r="B8484" s="3" t="inlineStr">
        <is>
          <t>114-2599941-4769060</t>
        </is>
      </c>
      <c r="C8484" s="3" t="inlineStr">
        <is>
          <t>RockyMountain</t>
        </is>
      </c>
    </row>
    <row collapsed="false" customFormat="false" customHeight="false" hidden="false" ht="12.1" outlineLevel="0" r="8485">
      <c r="A8485" s="3" t="s">
        <f>=HYPERLINK("https://mp39851918.megaplan.ua/deals/139305/card/","23765")</f>
      </c>
      <c r="B8485" s="3" t="inlineStr">
        <is>
          <t>111-4121051-8341807</t>
        </is>
      </c>
      <c r="C8485" s="3" t="inlineStr">
        <is>
          <t>RockyMountain</t>
        </is>
      </c>
    </row>
    <row collapsed="false" customFormat="false" customHeight="false" hidden="false" ht="12.1" outlineLevel="0" r="8486">
      <c r="A8486" s="3" t="s">
        <f>=HYPERLINK("https://mp39851918.megaplan.ua/deals/139316/card/","23767")</f>
      </c>
      <c r="B8486" s="3" t="inlineStr">
        <is>
          <t>111-1114834-4337010</t>
        </is>
      </c>
      <c r="C8486" s="3" t="inlineStr">
        <is>
          <t>TuckerRocky</t>
        </is>
      </c>
    </row>
    <row collapsed="false" customFormat="false" customHeight="false" hidden="false" ht="12.1" outlineLevel="0" r="8487">
      <c r="A8487" s="3" t="s">
        <f>=HYPERLINK("https://mp39851918.megaplan.ua/deals/139335/card/","23769")</f>
      </c>
      <c r="B8487" s="3" t="inlineStr">
        <is>
          <t>113-1410721-5749864</t>
        </is>
      </c>
      <c r="C8487" s="3" t="inlineStr">
        <is>
          <t>Autodist</t>
        </is>
      </c>
    </row>
    <row collapsed="false" customFormat="false" customHeight="false" hidden="false" ht="12.1" outlineLevel="0" r="8488">
      <c r="A8488" s="3" t="s">
        <f>=HYPERLINK("https://mp39851918.megaplan.ua/deals/139340/card/","23770")</f>
      </c>
      <c r="B8488" s="3" t="inlineStr">
        <is>
          <t>114-9132576-2595466</t>
        </is>
      </c>
      <c r="C8488" s="3" t="inlineStr">
        <is>
          <t>RockyMountain</t>
        </is>
      </c>
    </row>
    <row collapsed="false" customFormat="false" customHeight="false" hidden="false" ht="12.1" outlineLevel="0" r="8489">
      <c r="A8489" s="3" t="s">
        <f>=HYPERLINK("https://mp39851918.megaplan.ua/deals/139341/card/","23771")</f>
      </c>
      <c r="B8489" s="3" t="inlineStr">
        <is>
          <t>111-1230214-8698606</t>
        </is>
      </c>
      <c r="C8489" s="3" t="inlineStr">
        <is>
          <t>Autodist</t>
        </is>
      </c>
    </row>
    <row collapsed="false" customFormat="false" customHeight="false" hidden="false" ht="12.1" outlineLevel="0" r="8490">
      <c r="A8490" s="3" t="s">
        <f>=HYPERLINK("https://mp39851918.megaplan.ua/deals/139346/card/","23772")</f>
      </c>
      <c r="B8490" s="3" t="inlineStr">
        <is>
          <t>112-3973288-2168216</t>
        </is>
      </c>
      <c r="C8490" s="3" t="inlineStr">
        <is>
          <t>other</t>
        </is>
      </c>
    </row>
    <row collapsed="false" customFormat="false" customHeight="false" hidden="false" ht="12.1" outlineLevel="0" r="8491">
      <c r="A8491" s="3" t="s">
        <f>=HYPERLINK("https://mp39851918.megaplan.ua/deals/139347/card/","23773")</f>
      </c>
      <c r="B8491" s="3" t="inlineStr">
        <is>
          <t>114-5738740-5880245</t>
        </is>
      </c>
      <c r="C8491" s="3" t="inlineStr">
        <is>
          <t>other</t>
        </is>
      </c>
    </row>
    <row collapsed="false" customFormat="false" customHeight="false" hidden="false" ht="12.1" outlineLevel="0" r="8492">
      <c r="A8492" s="3" t="s">
        <f>=HYPERLINK("https://mp39851918.megaplan.ua/deals/139348/card/","23774")</f>
      </c>
      <c r="B8492" s="3" t="inlineStr">
        <is>
          <t>111-0327120-4946606</t>
        </is>
      </c>
      <c r="C8492" s="3" t="inlineStr">
        <is>
          <t>other</t>
        </is>
      </c>
    </row>
    <row collapsed="false" customFormat="false" customHeight="false" hidden="false" ht="12.1" outlineLevel="0" r="8493">
      <c r="A8493" s="3" t="s">
        <f>=HYPERLINK("https://mp39851918.megaplan.ua/deals/139349/card/","23775")</f>
      </c>
      <c r="B8493" s="3" t="inlineStr">
        <is>
          <t>112-4854938-6089021</t>
        </is>
      </c>
      <c r="C8493" s="3" t="inlineStr">
        <is>
          <t>other</t>
        </is>
      </c>
    </row>
    <row collapsed="false" customFormat="false" customHeight="false" hidden="false" ht="12.1" outlineLevel="0" r="8494">
      <c r="A8494" s="3" t="s">
        <f>=HYPERLINK("https://mp39851918.megaplan.ua/deals/139358/card/","23776")</f>
      </c>
      <c r="B8494" s="3" t="inlineStr">
        <is>
          <t>113-1514163-8925033</t>
        </is>
      </c>
      <c r="C8494" s="3" t="inlineStr">
        <is>
          <t>TuckerRocky</t>
        </is>
      </c>
    </row>
    <row collapsed="false" customFormat="false" customHeight="false" hidden="false" ht="12.1" outlineLevel="0" r="8495">
      <c r="A8495" s="3" t="s">
        <f>=HYPERLINK("https://mp39851918.megaplan.ua/deals/139360/card/","23777")</f>
      </c>
      <c r="B8495" s="3" t="inlineStr">
        <is>
          <t>112-3960984-1557858</t>
        </is>
      </c>
      <c r="C8495" s="3" t="inlineStr">
        <is>
          <t>other</t>
        </is>
      </c>
    </row>
    <row collapsed="false" customFormat="false" customHeight="false" hidden="false" ht="12.1" outlineLevel="0" r="8496">
      <c r="A8496" s="3" t="s">
        <f>=HYPERLINK("https://mp39851918.megaplan.ua/deals/139361/card/","23778")</f>
      </c>
      <c r="B8496" s="3" t="inlineStr">
        <is>
          <t>112-1466964-5450663</t>
        </is>
      </c>
      <c r="C8496" s="3" t="inlineStr">
        <is>
          <t>other</t>
        </is>
      </c>
    </row>
    <row collapsed="false" customFormat="false" customHeight="false" hidden="false" ht="12.1" outlineLevel="0" r="8497">
      <c r="A8497" s="3" t="s">
        <f>=HYPERLINK("https://mp39851918.megaplan.ua/deals/139365/card/","23779")</f>
      </c>
      <c r="B8497" s="3" t="inlineStr">
        <is>
          <t>113-4934479-6873820</t>
        </is>
      </c>
      <c r="C8497" s="3" t="inlineStr">
        <is>
          <t>other</t>
        </is>
      </c>
    </row>
    <row collapsed="false" customFormat="false" customHeight="false" hidden="false" ht="12.1" outlineLevel="0" r="8498">
      <c r="A8498" s="3" t="s">
        <f>=HYPERLINK("https://mp39851918.megaplan.ua/deals/139366/card/","23780")</f>
      </c>
      <c r="B8498" s="3" t="inlineStr">
        <is>
          <t>112-3840484-1123418</t>
        </is>
      </c>
      <c r="C8498" s="3" t="inlineStr">
        <is>
          <t>other</t>
        </is>
      </c>
    </row>
    <row collapsed="false" customFormat="false" customHeight="false" hidden="false" ht="12.1" outlineLevel="0" r="8499">
      <c r="A8499" s="3" t="s">
        <f>=HYPERLINK("https://mp39851918.megaplan.ua/deals/139367/card/","23781")</f>
      </c>
      <c r="B8499" s="3" t="inlineStr">
        <is>
          <t>111-1135130-4705014</t>
        </is>
      </c>
      <c r="C8499" s="3" t="inlineStr">
        <is>
          <t>other</t>
        </is>
      </c>
    </row>
    <row collapsed="false" customFormat="false" customHeight="false" hidden="false" ht="12.1" outlineLevel="0" r="8500">
      <c r="A8500" s="3" t="s">
        <f>=HYPERLINK("https://mp39851918.megaplan.ua/deals/139370/card/","23782")</f>
      </c>
      <c r="B8500" s="3" t="inlineStr">
        <is>
          <t>114-5234851-0354612</t>
        </is>
      </c>
      <c r="C8500" s="3" t="inlineStr">
        <is>
          <t>Autodist</t>
        </is>
      </c>
    </row>
    <row collapsed="false" customFormat="false" customHeight="false" hidden="false" ht="12.1" outlineLevel="0" r="8501">
      <c r="A8501" s="3" t="s">
        <f>=HYPERLINK("https://mp39851918.megaplan.ua/deals/139375/card/","23784")</f>
      </c>
      <c r="B8501" s="3" t="inlineStr">
        <is>
          <t>114-7486128-4065824</t>
        </is>
      </c>
      <c r="C8501" s="3" t="inlineStr">
        <is>
          <t>RockyMountain</t>
        </is>
      </c>
    </row>
    <row collapsed="false" customFormat="false" customHeight="false" hidden="false" ht="12.1" outlineLevel="0" r="8502">
      <c r="A8502" s="3" t="s">
        <f>=HYPERLINK("https://mp39851918.megaplan.ua/deals/139376/card/","23785")</f>
      </c>
      <c r="B8502" s="3" t="inlineStr">
        <is>
          <t>114-1733089-0149851</t>
        </is>
      </c>
      <c r="C8502" s="3" t="inlineStr">
        <is>
          <t>Autodist</t>
        </is>
      </c>
    </row>
    <row collapsed="false" customFormat="false" customHeight="false" hidden="false" ht="12.1" outlineLevel="0" r="8503">
      <c r="A8503" s="3" t="s">
        <f>=HYPERLINK("https://mp39851918.megaplan.ua/deals/139389/card/","23786")</f>
      </c>
      <c r="B8503" s="3" t="inlineStr">
        <is>
          <t>113-2399390-2386653</t>
        </is>
      </c>
      <c r="C8503" s="3" t="inlineStr">
        <is>
          <t>RockyMountain</t>
        </is>
      </c>
    </row>
    <row collapsed="false" customFormat="false" customHeight="false" hidden="false" ht="12.1" outlineLevel="0" r="8504">
      <c r="A8504" s="3" t="s">
        <f>=HYPERLINK("https://mp39851918.megaplan.ua/deals/139395/card/","23787")</f>
      </c>
      <c r="B8504" s="3" t="inlineStr">
        <is>
          <t>112-9762495-1262621</t>
        </is>
      </c>
      <c r="C8504" s="3" t="inlineStr">
        <is>
          <t>RockyMountain</t>
        </is>
      </c>
    </row>
    <row collapsed="false" customFormat="false" customHeight="false" hidden="false" ht="12.1" outlineLevel="0" r="8505">
      <c r="A8505" s="3" t="s">
        <f>=HYPERLINK("https://mp39851918.megaplan.ua/deals/139397/card/","23788")</f>
      </c>
      <c r="B8505" s="3" t="inlineStr">
        <is>
          <t>114-2142192-2916254</t>
        </is>
      </c>
      <c r="C8505" s="3" t="inlineStr">
        <is>
          <t>Autodist</t>
        </is>
      </c>
    </row>
    <row collapsed="false" customFormat="false" customHeight="false" hidden="false" ht="12.1" outlineLevel="0" r="8506">
      <c r="A8506" s="3" t="s">
        <f>=HYPERLINK("https://mp39851918.megaplan.ua/deals/139398/card/","23789")</f>
      </c>
      <c r="B8506" s="3" t="inlineStr">
        <is>
          <t>111-2649885-8399411</t>
        </is>
      </c>
      <c r="C8506" s="3" t="inlineStr">
        <is>
          <t>Autodist</t>
        </is>
      </c>
    </row>
    <row collapsed="false" customFormat="false" customHeight="false" hidden="false" ht="12.1" outlineLevel="0" r="8507">
      <c r="A8507" s="3" t="s">
        <f>=HYPERLINK("https://mp39851918.megaplan.ua/deals/139404/card/","23790")</f>
      </c>
      <c r="B8507" s="3" t="inlineStr">
        <is>
          <t>111-9441080-0274637</t>
        </is>
      </c>
      <c r="C8507" s="3" t="inlineStr">
        <is>
          <t>TuckerRocky</t>
        </is>
      </c>
    </row>
    <row collapsed="false" customFormat="false" customHeight="false" hidden="false" ht="12.1" outlineLevel="0" r="8508">
      <c r="A8508" s="3" t="s">
        <f>=HYPERLINK("https://mp39851918.megaplan.ua/deals/139409/card/","23791")</f>
      </c>
      <c r="B8508" s="3" t="inlineStr">
        <is>
          <t>113-3945191-5748226</t>
        </is>
      </c>
      <c r="C8508" s="3" t="inlineStr">
        <is>
          <t>RockyMountain</t>
        </is>
      </c>
    </row>
    <row collapsed="false" customFormat="false" customHeight="false" hidden="false" ht="12.1" outlineLevel="0" r="8509">
      <c r="A8509" s="3" t="s">
        <f>=HYPERLINK("https://mp39851918.megaplan.ua/deals/139410/card/","23792")</f>
      </c>
      <c r="B8509" s="3" t="inlineStr">
        <is>
          <t>113-9374620-4819400</t>
        </is>
      </c>
      <c r="C8509" s="3" t="inlineStr">
        <is>
          <t>Autodist</t>
        </is>
      </c>
    </row>
    <row collapsed="false" customFormat="false" customHeight="false" hidden="false" ht="12.1" outlineLevel="0" r="8510">
      <c r="A8510" s="3" t="s">
        <f>=HYPERLINK("https://mp39851918.megaplan.ua/deals/139422/card/","23794")</f>
      </c>
      <c r="B8510" s="3" t="inlineStr">
        <is>
          <t>112-7700127-3838609</t>
        </is>
      </c>
      <c r="C8510" s="3" t="inlineStr">
        <is>
          <t>TuckerRocky</t>
        </is>
      </c>
    </row>
    <row collapsed="false" customFormat="false" customHeight="false" hidden="false" ht="12.1" outlineLevel="0" r="8511">
      <c r="A8511" s="3" t="s">
        <f>=HYPERLINK("https://mp39851918.megaplan.ua/deals/139423/card/","23795")</f>
      </c>
      <c r="B8511" s="3" t="inlineStr">
        <is>
          <t>113-5732842-1506626</t>
        </is>
      </c>
      <c r="C8511" s="3" t="inlineStr">
        <is>
          <t>RockyMountain</t>
        </is>
      </c>
    </row>
    <row collapsed="false" customFormat="false" customHeight="false" hidden="false" ht="12.1" outlineLevel="0" r="8512">
      <c r="A8512" s="3" t="s">
        <f>=HYPERLINK("https://mp39851918.megaplan.ua/deals/139424/card/","23796")</f>
      </c>
      <c r="B8512" s="3" t="inlineStr">
        <is>
          <t>114-4604531-5125845</t>
        </is>
      </c>
      <c r="C8512" s="3" t="inlineStr">
        <is>
          <t>PartsUnlimited</t>
        </is>
      </c>
    </row>
    <row collapsed="false" customFormat="false" customHeight="false" hidden="false" ht="12.1" outlineLevel="0" r="8513">
      <c r="A8513" s="3" t="s">
        <f>=HYPERLINK("https://mp39851918.megaplan.ua/deals/139425/card/","23797")</f>
      </c>
      <c r="B8513" s="3" t="inlineStr">
        <is>
          <t>113-0675359-1120252</t>
        </is>
      </c>
      <c r="C8513" s="3" t="inlineStr">
        <is>
          <t>Autodist</t>
        </is>
      </c>
    </row>
    <row collapsed="false" customFormat="false" customHeight="false" hidden="false" ht="12.1" outlineLevel="0" r="8514">
      <c r="A8514" s="3" t="s">
        <f>=HYPERLINK("https://mp39851918.megaplan.ua/deals/139433/card/","23799")</f>
      </c>
      <c r="B8514" s="3" t="inlineStr">
        <is>
          <t>111-9575428-3975407</t>
        </is>
      </c>
      <c r="C8514" s="3" t="inlineStr">
        <is>
          <t>PartsUnlimited</t>
        </is>
      </c>
    </row>
    <row collapsed="false" customFormat="false" customHeight="false" hidden="false" ht="12.1" outlineLevel="0" r="8515">
      <c r="A8515" s="3" t="s">
        <f>=HYPERLINK("https://mp39851918.megaplan.ua/deals/139437/card/","23800")</f>
      </c>
      <c r="B8515" s="3" t="inlineStr">
        <is>
          <t>112-2456771-5841040</t>
        </is>
      </c>
      <c r="C8515" s="3" t="inlineStr">
        <is>
          <t>Autodist</t>
        </is>
      </c>
    </row>
    <row collapsed="false" customFormat="false" customHeight="false" hidden="false" ht="12.1" outlineLevel="0" r="8516">
      <c r="A8516" s="3" t="s">
        <f>=HYPERLINK("https://mp39851918.megaplan.ua/deals/139438/card/","23801")</f>
      </c>
      <c r="B8516" s="3" t="inlineStr">
        <is>
          <t>113-7829947-9028208</t>
        </is>
      </c>
      <c r="C8516" s="3" t="inlineStr">
        <is>
          <t>Autodist</t>
        </is>
      </c>
    </row>
    <row collapsed="false" customFormat="false" customHeight="false" hidden="false" ht="12.1" outlineLevel="0" r="8517">
      <c r="A8517" s="3" t="s">
        <f>=HYPERLINK("https://mp39851918.megaplan.ua/deals/139445/card/","23803")</f>
      </c>
      <c r="B8517" s="3" t="inlineStr">
        <is>
          <t>112-2091499-9004211</t>
        </is>
      </c>
      <c r="C8517" s="3" t="inlineStr">
        <is>
          <t>Autodist</t>
        </is>
      </c>
    </row>
    <row collapsed="false" customFormat="false" customHeight="false" hidden="false" ht="12.1" outlineLevel="0" r="8518">
      <c r="A8518" s="3" t="s">
        <f>=HYPERLINK("https://mp39851918.megaplan.ua/deals/139448/card/","23804")</f>
      </c>
      <c r="B8518" s="3" t="inlineStr">
        <is>
          <t>114-1129062-1233013</t>
        </is>
      </c>
      <c r="C8518" s="3" t="inlineStr">
        <is>
          <t>TuckerRocky</t>
        </is>
      </c>
    </row>
    <row collapsed="false" customFormat="false" customHeight="false" hidden="false" ht="12.1" outlineLevel="0" r="8519">
      <c r="A8519" s="3" t="s">
        <f>=HYPERLINK("https://mp39851918.megaplan.ua/deals/139451/card/","23805")</f>
      </c>
      <c r="B8519" s="3" t="inlineStr">
        <is>
          <t>113-2389125-0009027</t>
        </is>
      </c>
      <c r="C8519" s="3" t="inlineStr">
        <is>
          <t>PartsUnlimited</t>
        </is>
      </c>
    </row>
    <row collapsed="false" customFormat="false" customHeight="false" hidden="false" ht="12.1" outlineLevel="0" r="8520">
      <c r="A8520" s="3" t="s">
        <f>=HYPERLINK("https://mp39851918.megaplan.ua/deals/139452/card/","23806")</f>
      </c>
      <c r="B8520" s="3" t="inlineStr">
        <is>
          <t>113-7136571-9231429</t>
        </is>
      </c>
      <c r="C8520" s="3" t="inlineStr">
        <is>
          <t>RockyMountain</t>
        </is>
      </c>
    </row>
    <row collapsed="false" customFormat="false" customHeight="false" hidden="false" ht="12.1" outlineLevel="0" r="8521">
      <c r="A8521" s="3" t="s">
        <f>=HYPERLINK("https://mp39851918.megaplan.ua/deals/139461/card/","23807")</f>
      </c>
      <c r="B8521" s="3" t="inlineStr">
        <is>
          <t>114-3882288-6836209</t>
        </is>
      </c>
      <c r="C8521" s="3" t="inlineStr">
        <is>
          <t>Autodist</t>
        </is>
      </c>
    </row>
    <row collapsed="false" customFormat="false" customHeight="false" hidden="false" ht="12.1" outlineLevel="0" r="8522">
      <c r="A8522" s="3" t="s">
        <f>=HYPERLINK("https://mp39851918.megaplan.ua/deals/139464/card/","23808")</f>
      </c>
      <c r="B8522" s="3" t="inlineStr">
        <is>
          <t>111-9190463-8118664</t>
        </is>
      </c>
      <c r="C8522" s="3" t="inlineStr">
        <is>
          <t>RockyMountain</t>
        </is>
      </c>
    </row>
    <row collapsed="false" customFormat="false" customHeight="false" hidden="false" ht="12.1" outlineLevel="0" r="8523">
      <c r="A8523" s="3" t="s">
        <f>=HYPERLINK("https://mp39851918.megaplan.ua/deals/139467/card/","23809")</f>
      </c>
      <c r="B8523" s="3" t="inlineStr">
        <is>
          <t>112-9530853-2186610</t>
        </is>
      </c>
      <c r="C8523" s="3" t="inlineStr">
        <is>
          <t>Autodist</t>
        </is>
      </c>
    </row>
    <row collapsed="false" customFormat="false" customHeight="false" hidden="false" ht="12.1" outlineLevel="0" r="8524">
      <c r="A8524" s="3" t="s">
        <f>=HYPERLINK("https://mp39851918.megaplan.ua/deals/139468/card/","23810")</f>
      </c>
      <c r="B8524" s="3" t="inlineStr">
        <is>
          <t>114-8633530-0172202</t>
        </is>
      </c>
      <c r="C8524" s="3" t="inlineStr">
        <is>
          <t>RockyMountain</t>
        </is>
      </c>
    </row>
    <row collapsed="false" customFormat="false" customHeight="false" hidden="false" ht="12.1" outlineLevel="0" r="8525">
      <c r="A8525" s="3" t="s">
        <f>=HYPERLINK("https://mp39851918.megaplan.ua/deals/139479/card/","23811")</f>
      </c>
      <c r="B8525" s="3" t="inlineStr">
        <is>
          <t>111-6542734-9601000</t>
        </is>
      </c>
      <c r="C8525" s="3" t="inlineStr">
        <is>
          <t>Autodist</t>
        </is>
      </c>
    </row>
    <row collapsed="false" customFormat="false" customHeight="false" hidden="false" ht="12.1" outlineLevel="0" r="8526">
      <c r="A8526" s="3" t="s">
        <f>=HYPERLINK("https://mp39851918.megaplan.ua/deals/139487/card/","23812")</f>
      </c>
      <c r="B8526" s="3" t="inlineStr">
        <is>
          <t>114-1219362-2539439</t>
        </is>
      </c>
      <c r="C8526" s="3" t="inlineStr">
        <is>
          <t>RockyMountain</t>
        </is>
      </c>
    </row>
    <row collapsed="false" customFormat="false" customHeight="false" hidden="false" ht="12.1" outlineLevel="0" r="8527">
      <c r="A8527" s="3" t="s">
        <f>=HYPERLINK("https://mp39851918.megaplan.ua/deals/139490/card/","23813")</f>
      </c>
      <c r="B8527" s="3" t="inlineStr">
        <is>
          <t>112-6340875-5313808</t>
        </is>
      </c>
      <c r="C8527" s="3" t="inlineStr">
        <is>
          <t>TuckerRocky</t>
        </is>
      </c>
    </row>
    <row collapsed="false" customFormat="false" customHeight="false" hidden="false" ht="12.1" outlineLevel="0" r="8528">
      <c r="A8528" s="3" t="s">
        <f>=HYPERLINK("https://mp39851918.megaplan.ua/deals/139491/card/","23814")</f>
      </c>
      <c r="B8528" s="3" t="inlineStr">
        <is>
          <t>112-8117763-7886637</t>
        </is>
      </c>
      <c r="C8528" s="3" t="inlineStr">
        <is>
          <t>Autodist</t>
        </is>
      </c>
    </row>
    <row collapsed="false" customFormat="false" customHeight="false" hidden="false" ht="12.1" outlineLevel="0" r="8529">
      <c r="A8529" s="3" t="s">
        <f>=HYPERLINK("https://mp39851918.megaplan.ua/deals/139492/card/","23815")</f>
      </c>
      <c r="B8529" s="3" t="inlineStr">
        <is>
          <t>113-1913322-3185808</t>
        </is>
      </c>
      <c r="C8529" s="3" t="inlineStr">
        <is>
          <t>RockyMountain</t>
        </is>
      </c>
    </row>
    <row collapsed="false" customFormat="false" customHeight="false" hidden="false" ht="12.1" outlineLevel="0" r="8530">
      <c r="A8530" s="3" t="s">
        <f>=HYPERLINK("https://mp39851918.megaplan.ua/deals/139497/card/","23816")</f>
      </c>
      <c r="B8530" s="3" t="inlineStr">
        <is>
          <t>111-3117824-4231409</t>
        </is>
      </c>
      <c r="C8530" s="3" t="inlineStr">
        <is>
          <t>Autodist</t>
        </is>
      </c>
    </row>
    <row collapsed="false" customFormat="false" customHeight="false" hidden="false" ht="12.1" outlineLevel="0" r="8531">
      <c r="A8531" s="3" t="s">
        <f>=HYPERLINK("https://mp39851918.megaplan.ua/deals/139502/card/","23817")</f>
      </c>
      <c r="B8531" s="3" t="inlineStr">
        <is>
          <t>111-5143700-4981836</t>
        </is>
      </c>
      <c r="C8531" s="3" t="inlineStr">
        <is>
          <t>PartsUnlimited</t>
        </is>
      </c>
    </row>
    <row collapsed="false" customFormat="false" customHeight="false" hidden="false" ht="12.1" outlineLevel="0" r="8532">
      <c r="A8532" s="3" t="s">
        <f>=HYPERLINK("https://mp39851918.megaplan.ua/deals/139503/card/","23818")</f>
      </c>
      <c r="B8532" s="3" t="inlineStr">
        <is>
          <t>113-4173486-5717039</t>
        </is>
      </c>
      <c r="C8532" s="3" t="inlineStr">
        <is>
          <t>RockyMountain</t>
        </is>
      </c>
    </row>
    <row collapsed="false" customFormat="false" customHeight="false" hidden="false" ht="12.1" outlineLevel="0" r="8533">
      <c r="A8533" s="3" t="s">
        <f>=HYPERLINK("https://mp39851918.megaplan.ua/deals/139547/card/","23819")</f>
      </c>
      <c r="B8533" s="3" t="inlineStr">
        <is>
          <t>114-3823196-7813804</t>
        </is>
      </c>
      <c r="C8533" s="3" t="inlineStr">
        <is>
          <t>Autodist</t>
        </is>
      </c>
    </row>
    <row collapsed="false" customFormat="false" customHeight="false" hidden="false" ht="12.1" outlineLevel="0" r="8534">
      <c r="A8534" s="3" t="s">
        <f>=HYPERLINK("https://mp39851918.megaplan.ua/deals/139549/card/","23820")</f>
      </c>
      <c r="B8534" s="3" t="inlineStr">
        <is>
          <t>111-4815127-7181818</t>
        </is>
      </c>
      <c r="C8534" s="3" t="inlineStr">
        <is>
          <t>PartsUnlimited</t>
        </is>
      </c>
    </row>
    <row collapsed="false" customFormat="false" customHeight="false" hidden="false" ht="12.1" outlineLevel="0" r="8535">
      <c r="A8535" s="3" t="s">
        <f>=HYPERLINK("https://mp39851918.megaplan.ua/deals/139555/card/","23821")</f>
      </c>
      <c r="B8535" s="3" t="inlineStr">
        <is>
          <t>112-8426684-9711461</t>
        </is>
      </c>
      <c r="C8535" s="3" t="inlineStr">
        <is>
          <t>TuckerRocky</t>
        </is>
      </c>
    </row>
    <row collapsed="false" customFormat="false" customHeight="false" hidden="false" ht="12.1" outlineLevel="0" r="8536">
      <c r="A8536" s="3" t="s">
        <f>=HYPERLINK("https://mp39851918.megaplan.ua/deals/139556/card/","23822")</f>
      </c>
      <c r="B8536" s="3" t="inlineStr">
        <is>
          <t>114-4921086-7453865</t>
        </is>
      </c>
      <c r="C8536" s="3" t="inlineStr">
        <is>
          <t>PartsUnlimited</t>
        </is>
      </c>
    </row>
    <row collapsed="false" customFormat="false" customHeight="false" hidden="false" ht="12.1" outlineLevel="0" r="8537">
      <c r="A8537" s="3" t="s">
        <f>=HYPERLINK("https://mp39851918.megaplan.ua/deals/139560/card/","23824")</f>
      </c>
      <c r="B8537" s="3" t="inlineStr">
        <is>
          <t>114-0127377-7561853</t>
        </is>
      </c>
      <c r="C8537" s="3" t="inlineStr">
        <is>
          <t>RockyMountain</t>
        </is>
      </c>
    </row>
    <row collapsed="false" customFormat="false" customHeight="false" hidden="false" ht="12.1" outlineLevel="0" r="8538">
      <c r="A8538" s="3" t="s">
        <f>=HYPERLINK("https://mp39851918.megaplan.ua/deals/139561/card/","23825")</f>
      </c>
      <c r="B8538" s="3" t="inlineStr">
        <is>
          <t>111-1014958-6469061</t>
        </is>
      </c>
      <c r="C8538" s="3" t="inlineStr">
        <is>
          <t>Autodist</t>
        </is>
      </c>
    </row>
    <row collapsed="false" customFormat="false" customHeight="false" hidden="false" ht="12.1" outlineLevel="0" r="8539">
      <c r="A8539" s="3" t="s">
        <f>=HYPERLINK("https://mp39851918.megaplan.ua/deals/139562/card/","23826")</f>
      </c>
      <c r="B8539" s="3" t="inlineStr">
        <is>
          <t>112-0344536-6404265</t>
        </is>
      </c>
      <c r="C8539" s="3" t="inlineStr">
        <is>
          <t>RockyMountain</t>
        </is>
      </c>
    </row>
    <row collapsed="false" customFormat="false" customHeight="false" hidden="false" ht="12.1" outlineLevel="0" r="8540">
      <c r="A8540" s="3" t="s">
        <f>=HYPERLINK("https://mp39851918.megaplan.ua/deals/139563/card/","23827")</f>
      </c>
      <c r="B8540" s="3" t="inlineStr">
        <is>
          <t>112-3953456-8399453</t>
        </is>
      </c>
      <c r="C8540" s="3" t="inlineStr">
        <is>
          <t>RockyMountain</t>
        </is>
      </c>
    </row>
    <row collapsed="false" customFormat="false" customHeight="false" hidden="false" ht="12.1" outlineLevel="0" r="8541">
      <c r="A8541" s="3" t="s">
        <f>=HYPERLINK("https://mp39851918.megaplan.ua/deals/139564/card/","23828")</f>
      </c>
      <c r="B8541" s="3" t="inlineStr">
        <is>
          <t>113-8783243-2469024</t>
        </is>
      </c>
      <c r="C8541" s="3" t="inlineStr">
        <is>
          <t>RockyMountain</t>
        </is>
      </c>
    </row>
    <row collapsed="false" customFormat="false" customHeight="false" hidden="false" ht="12.1" outlineLevel="0" r="8542">
      <c r="A8542" s="3" t="s">
        <f>=HYPERLINK("https://mp39851918.megaplan.ua/deals/139566/card/","23829")</f>
      </c>
      <c r="B8542" s="3" t="inlineStr">
        <is>
          <t>114-3294340-1691412</t>
        </is>
      </c>
      <c r="C8542" s="3" t="inlineStr">
        <is>
          <t>PartsUnlimited</t>
        </is>
      </c>
    </row>
    <row collapsed="false" customFormat="false" customHeight="false" hidden="false" ht="12.1" outlineLevel="0" r="8543">
      <c r="A8543" s="3" t="s">
        <f>=HYPERLINK("https://mp39851918.megaplan.ua/deals/139568/card/","23830")</f>
      </c>
      <c r="B8543" s="3" t="inlineStr">
        <is>
          <t>111-8491539-3182603</t>
        </is>
      </c>
      <c r="C8543" s="3" t="inlineStr">
        <is>
          <t>Autodist</t>
        </is>
      </c>
    </row>
    <row collapsed="false" customFormat="false" customHeight="false" hidden="false" ht="12.1" outlineLevel="0" r="8544">
      <c r="A8544" s="3" t="s">
        <f>=HYPERLINK("https://mp39851918.megaplan.ua/deals/139572/card/","23831")</f>
      </c>
      <c r="B8544" s="3" t="inlineStr">
        <is>
          <t>112-8201974-2483450</t>
        </is>
      </c>
      <c r="C8544" s="3" t="inlineStr">
        <is>
          <t>Autodist</t>
        </is>
      </c>
    </row>
    <row collapsed="false" customFormat="false" customHeight="false" hidden="false" ht="12.1" outlineLevel="0" r="8545">
      <c r="A8545" s="3" t="s">
        <f>=HYPERLINK("https://mp39851918.megaplan.ua/deals/139573/card/","23832")</f>
      </c>
      <c r="B8545" s="3" t="inlineStr">
        <is>
          <t>112-1960674-5395461</t>
        </is>
      </c>
      <c r="C8545" s="3" t="inlineStr">
        <is>
          <t>RockyMountain</t>
        </is>
      </c>
    </row>
    <row collapsed="false" customFormat="false" customHeight="false" hidden="false" ht="12.1" outlineLevel="0" r="8546">
      <c r="A8546" s="3" t="s">
        <f>=HYPERLINK("https://mp39851918.megaplan.ua/deals/139575/card/","23833")</f>
      </c>
      <c r="B8546" s="3" t="inlineStr">
        <is>
          <t>114-1076965-4889039</t>
        </is>
      </c>
      <c r="C8546" s="3" t="inlineStr">
        <is>
          <t>RockyMountain</t>
        </is>
      </c>
    </row>
    <row collapsed="false" customFormat="false" customHeight="false" hidden="false" ht="12.1" outlineLevel="0" r="8547">
      <c r="A8547" s="3" t="s">
        <f>=HYPERLINK("https://mp39851918.megaplan.ua/deals/139576/card/","23834")</f>
      </c>
      <c r="B8547" s="3" t="inlineStr">
        <is>
          <t>113-1975710-6919415</t>
        </is>
      </c>
      <c r="C8547" s="3" t="inlineStr">
        <is>
          <t>RockyMountain</t>
        </is>
      </c>
    </row>
    <row collapsed="false" customFormat="false" customHeight="false" hidden="false" ht="12.1" outlineLevel="0" r="8548">
      <c r="A8548" s="3" t="s">
        <f>=HYPERLINK("https://mp39851918.megaplan.ua/deals/139577/card/","23835")</f>
      </c>
      <c r="B8548" s="3" t="inlineStr">
        <is>
          <t>114-4746043-4857009</t>
        </is>
      </c>
      <c r="C8548" s="3" t="inlineStr">
        <is>
          <t>RockyMountain</t>
        </is>
      </c>
    </row>
    <row collapsed="false" customFormat="false" customHeight="false" hidden="false" ht="12.1" outlineLevel="0" r="8549">
      <c r="A8549" s="3" t="s">
        <f>=HYPERLINK("https://mp39851918.megaplan.ua/deals/139584/card/","23836")</f>
      </c>
      <c r="B8549" s="3" t="inlineStr">
        <is>
          <t>112-1571890-2993054</t>
        </is>
      </c>
      <c r="C8549" s="3" t="inlineStr">
        <is>
          <t>PartsUnlimited</t>
        </is>
      </c>
    </row>
    <row collapsed="false" customFormat="false" customHeight="false" hidden="false" ht="12.1" outlineLevel="0" r="8550">
      <c r="A8550" s="3" t="s">
        <f>=HYPERLINK("https://mp39851918.megaplan.ua/deals/139585/card/","23837")</f>
      </c>
      <c r="B8550" s="3" t="inlineStr">
        <is>
          <t>113-1778809-0179418</t>
        </is>
      </c>
      <c r="C8550" s="3" t="inlineStr">
        <is>
          <t>RockyMountain</t>
        </is>
      </c>
    </row>
    <row collapsed="false" customFormat="false" customHeight="false" hidden="false" ht="12.1" outlineLevel="0" r="8551">
      <c r="A8551" s="3" t="s">
        <f>=HYPERLINK("https://mp39851918.megaplan.ua/deals/139591/card/","23838")</f>
      </c>
      <c r="B8551" s="3" t="inlineStr">
        <is>
          <t>111-8174374-5493000</t>
        </is>
      </c>
      <c r="C8551" s="3" t="inlineStr">
        <is>
          <t>RockyMountain</t>
        </is>
      </c>
    </row>
    <row collapsed="false" customFormat="false" customHeight="false" hidden="false" ht="12.1" outlineLevel="0" r="8552">
      <c r="A8552" s="3" t="s">
        <f>=HYPERLINK("https://mp39851918.megaplan.ua/deals/139593/card/","23839")</f>
      </c>
      <c r="B8552" s="3" t="inlineStr">
        <is>
          <t>114-6307876-5117010</t>
        </is>
      </c>
      <c r="C8552" s="3" t="inlineStr">
        <is>
          <t>RockyMountain</t>
        </is>
      </c>
    </row>
    <row collapsed="false" customFormat="false" customHeight="false" hidden="false" ht="12.1" outlineLevel="0" r="8553">
      <c r="A8553" s="3" t="s">
        <f>=HYPERLINK("https://mp39851918.megaplan.ua/deals/139595/card/","23840")</f>
      </c>
      <c r="B8553" s="3" t="inlineStr">
        <is>
          <t>112-4372081-4894631</t>
        </is>
      </c>
      <c r="C8553" s="3" t="inlineStr">
        <is>
          <t>Autodist</t>
        </is>
      </c>
    </row>
    <row collapsed="false" customFormat="false" customHeight="false" hidden="false" ht="12.1" outlineLevel="0" r="8554">
      <c r="A8554" s="3" t="s">
        <f>=HYPERLINK("https://mp39851918.megaplan.ua/deals/139597/card/","23841")</f>
      </c>
      <c r="B8554" s="3" t="inlineStr">
        <is>
          <t>112-9090130-6014652</t>
        </is>
      </c>
      <c r="C8554" s="3" t="inlineStr">
        <is>
          <t>Autodist</t>
        </is>
      </c>
    </row>
    <row collapsed="false" customFormat="false" customHeight="false" hidden="false" ht="12.1" outlineLevel="0" r="8555">
      <c r="A8555" s="3" t="s">
        <f>=HYPERLINK("https://mp39851918.megaplan.ua/deals/139602/card/","23842")</f>
      </c>
      <c r="B8555" s="3" t="inlineStr">
        <is>
          <t>112-8823157-4659427</t>
        </is>
      </c>
      <c r="C8555" s="3" t="inlineStr">
        <is>
          <t>Autodist</t>
        </is>
      </c>
    </row>
    <row collapsed="false" customFormat="false" customHeight="false" hidden="false" ht="12.1" outlineLevel="0" r="8556">
      <c r="A8556" s="3" t="s">
        <f>=HYPERLINK("https://mp39851918.megaplan.ua/deals/139605/card/","23843")</f>
      </c>
      <c r="B8556" s="3" t="inlineStr">
        <is>
          <t>114-5302776-9271400</t>
        </is>
      </c>
      <c r="C8556" s="3" t="inlineStr">
        <is>
          <t>RockyMountain</t>
        </is>
      </c>
    </row>
    <row collapsed="false" customFormat="false" customHeight="false" hidden="false" ht="12.1" outlineLevel="0" r="8557">
      <c r="A8557" s="3" t="s">
        <f>=HYPERLINK("https://mp39851918.megaplan.ua/deals/139609/card/","23844")</f>
      </c>
      <c r="B8557" s="3" t="inlineStr">
        <is>
          <t>111-3026455-0684214</t>
        </is>
      </c>
      <c r="C8557" s="3" t="inlineStr">
        <is>
          <t>Autodist</t>
        </is>
      </c>
    </row>
    <row collapsed="false" customFormat="false" customHeight="false" hidden="false" ht="12.1" outlineLevel="0" r="8558">
      <c r="A8558" s="3" t="s">
        <f>=HYPERLINK("https://mp39851918.megaplan.ua/deals/139614/card/","23845")</f>
      </c>
      <c r="B8558" s="3" t="inlineStr">
        <is>
          <t>111-1346508-4075427</t>
        </is>
      </c>
      <c r="C8558" s="3" t="inlineStr">
        <is>
          <t>PartsUnlimited</t>
        </is>
      </c>
    </row>
    <row collapsed="false" customFormat="false" customHeight="false" hidden="false" ht="12.1" outlineLevel="0" r="8559">
      <c r="A8559" s="3" t="s">
        <f>=HYPERLINK("https://mp39851918.megaplan.ua/deals/139622/card/","23847")</f>
      </c>
      <c r="B8559" s="3" t="inlineStr">
        <is>
          <t>111-7759774-7726643</t>
        </is>
      </c>
      <c r="C8559" s="3" t="inlineStr">
        <is>
          <t>Autodist</t>
        </is>
      </c>
    </row>
    <row collapsed="false" customFormat="false" customHeight="false" hidden="false" ht="12.1" outlineLevel="0" r="8560">
      <c r="A8560" s="3" t="s">
        <f>=HYPERLINK("https://mp39851918.megaplan.ua/deals/139631/card/","23850")</f>
      </c>
      <c r="B8560" s="3" t="inlineStr">
        <is>
          <t>111-6873693-2135418</t>
        </is>
      </c>
      <c r="C8560" s="3" t="inlineStr">
        <is>
          <t>RockyMountain</t>
        </is>
      </c>
    </row>
    <row collapsed="false" customFormat="false" customHeight="false" hidden="false" ht="12.1" outlineLevel="0" r="8561">
      <c r="A8561" s="3" t="s">
        <f>=HYPERLINK("https://mp39851918.megaplan.ua/deals/139632/card/","23851")</f>
      </c>
      <c r="B8561" s="3" t="inlineStr">
        <is>
          <t>114-6581314-5751408</t>
        </is>
      </c>
      <c r="C8561" s="3" t="inlineStr">
        <is>
          <t>PartsUnlimited</t>
        </is>
      </c>
    </row>
    <row collapsed="false" customFormat="false" customHeight="false" hidden="false" ht="12.1" outlineLevel="0" r="8562">
      <c r="A8562" s="3" t="s">
        <f>=HYPERLINK("https://mp39851918.megaplan.ua/deals/139633/card/","23852")</f>
      </c>
      <c r="B8562" s="3" t="inlineStr">
        <is>
          <t>112-5533231-1731455</t>
        </is>
      </c>
      <c r="C8562" s="3" t="inlineStr">
        <is>
          <t>RockyMountain</t>
        </is>
      </c>
    </row>
    <row collapsed="false" customFormat="false" customHeight="false" hidden="false" ht="12.1" outlineLevel="0" r="8563">
      <c r="A8563" s="3" t="s">
        <f>=HYPERLINK("https://mp39851918.megaplan.ua/deals/139634/card/","23853")</f>
      </c>
      <c r="B8563" s="3" t="inlineStr">
        <is>
          <t>114-3337632-1940222</t>
        </is>
      </c>
      <c r="C8563" s="3" t="inlineStr">
        <is>
          <t>Autodist</t>
        </is>
      </c>
    </row>
    <row collapsed="false" customFormat="false" customHeight="false" hidden="false" ht="12.1" outlineLevel="0" r="8564">
      <c r="A8564" s="3" t="s">
        <f>=HYPERLINK("https://mp39851918.megaplan.ua/deals/139635/card/","23854")</f>
      </c>
      <c r="B8564" s="3" t="inlineStr">
        <is>
          <t>113-4722121-1715402</t>
        </is>
      </c>
      <c r="C8564" s="3" t="inlineStr">
        <is>
          <t>Autodist</t>
        </is>
      </c>
    </row>
    <row collapsed="false" customFormat="false" customHeight="false" hidden="false" ht="12.1" outlineLevel="0" r="8565">
      <c r="A8565" s="3" t="s">
        <f>=HYPERLINK("https://mp39851918.megaplan.ua/deals/139636/card/","23855")</f>
      </c>
      <c r="B8565" s="3" t="inlineStr">
        <is>
          <t>114-3532258-2568248</t>
        </is>
      </c>
      <c r="C8565" s="3" t="inlineStr">
        <is>
          <t>RockyMountain</t>
        </is>
      </c>
    </row>
    <row collapsed="false" customFormat="false" customHeight="false" hidden="false" ht="12.1" outlineLevel="0" r="8566">
      <c r="A8566" s="3" t="s">
        <f>=HYPERLINK("https://mp39851918.megaplan.ua/deals/139637/card/","23856")</f>
      </c>
      <c r="B8566" s="3" t="inlineStr">
        <is>
          <t>114-6679765-9727427</t>
        </is>
      </c>
      <c r="C8566" s="3" t="inlineStr">
        <is>
          <t>Autodist</t>
        </is>
      </c>
    </row>
    <row collapsed="false" customFormat="false" customHeight="false" hidden="false" ht="12.1" outlineLevel="0" r="8567">
      <c r="A8567" s="3" t="s">
        <f>=HYPERLINK("https://mp39851918.megaplan.ua/deals/139638/card/","23857")</f>
      </c>
      <c r="B8567" s="3" t="inlineStr">
        <is>
          <t>112-7675541-5694654</t>
        </is>
      </c>
      <c r="C8567" s="3" t="inlineStr">
        <is>
          <t>RockyMountain</t>
        </is>
      </c>
    </row>
    <row collapsed="false" customFormat="false" customHeight="false" hidden="false" ht="12.1" outlineLevel="0" r="8568">
      <c r="A8568" s="3" t="s">
        <f>=HYPERLINK("https://mp39851918.megaplan.ua/deals/139640/card/","23858")</f>
      </c>
      <c r="B8568" s="3" t="inlineStr">
        <is>
          <t>112-8511044-5301043</t>
        </is>
      </c>
      <c r="C8568" s="3" t="inlineStr">
        <is>
          <t>PartsUnlimited</t>
        </is>
      </c>
    </row>
    <row collapsed="false" customFormat="false" customHeight="false" hidden="false" ht="12.1" outlineLevel="0" r="8569">
      <c r="A8569" s="3" t="s">
        <f>=HYPERLINK("https://mp39851918.megaplan.ua/deals/139643/card/","23859")</f>
      </c>
      <c r="B8569" s="3" t="inlineStr">
        <is>
          <t>114-3152371-8890641</t>
        </is>
      </c>
      <c r="C8569" s="3" t="inlineStr">
        <is>
          <t>Autodist</t>
        </is>
      </c>
    </row>
    <row collapsed="false" customFormat="false" customHeight="false" hidden="false" ht="12.1" outlineLevel="0" r="8570">
      <c r="A8570" s="3" t="s">
        <f>=HYPERLINK("https://mp39851918.megaplan.ua/deals/139681/card/","23864")</f>
      </c>
      <c r="B8570" s="3" t="inlineStr">
        <is>
          <t>112-5737289-5433059</t>
        </is>
      </c>
      <c r="C8570" s="3" t="inlineStr">
        <is>
          <t>RockyMountain</t>
        </is>
      </c>
    </row>
    <row collapsed="false" customFormat="false" customHeight="false" hidden="false" ht="12.1" outlineLevel="0" r="8571">
      <c r="A8571" s="3" t="s">
        <f>=HYPERLINK("https://mp39851918.megaplan.ua/deals/139682/card/","23865")</f>
      </c>
      <c r="B8571" s="3" t="inlineStr">
        <is>
          <t>114-0573445-6967467</t>
        </is>
      </c>
      <c r="C8571" s="3" t="inlineStr">
        <is>
          <t>RockyMountain</t>
        </is>
      </c>
    </row>
    <row collapsed="false" customFormat="false" customHeight="false" hidden="false" ht="12.1" outlineLevel="0" r="8572">
      <c r="A8572" s="3" t="s">
        <f>=HYPERLINK("https://mp39851918.megaplan.ua/deals/139690/card/","23866")</f>
      </c>
      <c r="B8572" s="3" t="inlineStr">
        <is>
          <t>113-1684298-6864217</t>
        </is>
      </c>
      <c r="C8572" s="3" t="inlineStr">
        <is>
          <t>RockyMountain</t>
        </is>
      </c>
    </row>
    <row collapsed="false" customFormat="false" customHeight="false" hidden="false" ht="12.1" outlineLevel="0" r="8573">
      <c r="A8573" s="3" t="s">
        <f>=HYPERLINK("https://mp39851918.megaplan.ua/deals/139706/card/","23867")</f>
      </c>
      <c r="B8573" s="3" t="inlineStr">
        <is>
          <t>111-6629566-2280213</t>
        </is>
      </c>
      <c r="C8573" s="3" t="inlineStr">
        <is>
          <t>Autodist</t>
        </is>
      </c>
    </row>
    <row collapsed="false" customFormat="false" customHeight="false" hidden="false" ht="12.1" outlineLevel="0" r="8574">
      <c r="A8574" s="3" t="s">
        <f>=HYPERLINK("https://mp39851918.megaplan.ua/deals/139707/card/","23868")</f>
      </c>
      <c r="B8574" s="3" t="inlineStr">
        <is>
          <t>113-8370264-0029069</t>
        </is>
      </c>
      <c r="C8574" s="3" t="inlineStr">
        <is>
          <t>TuckerRocky</t>
        </is>
      </c>
    </row>
    <row collapsed="false" customFormat="false" customHeight="false" hidden="false" ht="12.1" outlineLevel="0" r="8575">
      <c r="A8575" s="3" t="s">
        <f>=HYPERLINK("https://mp39851918.megaplan.ua/deals/139720/card/","23869")</f>
      </c>
      <c r="B8575" s="3" t="inlineStr">
        <is>
          <t>111-4616175-5430634</t>
        </is>
      </c>
      <c r="C8575" s="3" t="inlineStr">
        <is>
          <t>RockyMountain</t>
        </is>
      </c>
    </row>
    <row collapsed="false" customFormat="false" customHeight="false" hidden="false" ht="12.1" outlineLevel="0" r="8576">
      <c r="A8576" s="3" t="s">
        <f>=HYPERLINK("https://mp39851918.megaplan.ua/deals/139742/card/","23870")</f>
      </c>
      <c r="B8576" s="3" t="inlineStr">
        <is>
          <t>111-6441580-4445860</t>
        </is>
      </c>
      <c r="C8576" s="3" t="inlineStr">
        <is>
          <t>PartsUnlimited</t>
        </is>
      </c>
    </row>
    <row collapsed="false" customFormat="false" customHeight="false" hidden="false" ht="12.1" outlineLevel="0" r="8577">
      <c r="A8577" s="3" t="s">
        <f>=HYPERLINK("https://mp39851918.megaplan.ua/deals/139743/card/","23871")</f>
      </c>
      <c r="B8577" s="3" t="inlineStr">
        <is>
          <t>111-3597598-8317069</t>
        </is>
      </c>
      <c r="C8577" s="3" t="inlineStr">
        <is>
          <t>PartsUnlimited</t>
        </is>
      </c>
    </row>
    <row collapsed="false" customFormat="false" customHeight="false" hidden="false" ht="12.1" outlineLevel="0" r="8578">
      <c r="A8578" s="3" t="s">
        <f>=HYPERLINK("https://mp39851918.megaplan.ua/deals/139755/card/","23872")</f>
      </c>
      <c r="B8578" s="3" t="inlineStr">
        <is>
          <t>111-6873693-2135418</t>
        </is>
      </c>
      <c r="C8578" s="3" t="inlineStr">
        <is>
          <t>other</t>
        </is>
      </c>
    </row>
    <row collapsed="false" customFormat="false" customHeight="false" hidden="false" ht="12.1" outlineLevel="0" r="8579">
      <c r="A8579" s="3" t="s">
        <f>=HYPERLINK("https://mp39851918.megaplan.ua/deals/139759/card/","23873")</f>
      </c>
      <c r="B8579" s="3" t="inlineStr">
        <is>
          <t>112-5533231-1731455</t>
        </is>
      </c>
      <c r="C8579" s="3" t="inlineStr">
        <is>
          <t>other</t>
        </is>
      </c>
    </row>
    <row collapsed="false" customFormat="false" customHeight="false" hidden="false" ht="12.1" outlineLevel="0" r="8580">
      <c r="A8580" s="3" t="s">
        <f>=HYPERLINK("https://mp39851918.megaplan.ua/deals/139760/card/","23874")</f>
      </c>
      <c r="B8580" s="3" t="inlineStr">
        <is>
          <t>112-7588976-6597816</t>
        </is>
      </c>
      <c r="C8580" s="3" t="inlineStr">
        <is>
          <t>TuckerRocky</t>
        </is>
      </c>
    </row>
    <row collapsed="false" customFormat="false" customHeight="false" hidden="false" ht="12.1" outlineLevel="0" r="8581">
      <c r="A8581" s="3" t="s">
        <f>=HYPERLINK("https://mp39851918.megaplan.ua/deals/139761/card/","23875")</f>
      </c>
      <c r="B8581" s="3" t="inlineStr">
        <is>
          <t>113-4101172-6964208</t>
        </is>
      </c>
      <c r="C8581" s="3" t="inlineStr">
        <is>
          <t>TuckerRocky</t>
        </is>
      </c>
    </row>
    <row collapsed="false" customFormat="false" customHeight="false" hidden="false" ht="12.1" outlineLevel="0" r="8582">
      <c r="A8582" s="3" t="s">
        <f>=HYPERLINK("https://mp39851918.megaplan.ua/deals/139764/card/","23876")</f>
      </c>
      <c r="B8582" s="3" t="inlineStr">
        <is>
          <t>113-8021352-2356241</t>
        </is>
      </c>
      <c r="C8582" s="3" t="inlineStr">
        <is>
          <t>Autodist</t>
        </is>
      </c>
    </row>
    <row collapsed="false" customFormat="false" customHeight="false" hidden="false" ht="12.1" outlineLevel="0" r="8583">
      <c r="A8583" s="3" t="s">
        <f>=HYPERLINK("https://mp39851918.megaplan.ua/deals/139765/card/","23877")</f>
      </c>
      <c r="B8583" s="3" t="inlineStr">
        <is>
          <t>114-5617269-7613854</t>
        </is>
      </c>
      <c r="C8583" s="3" t="inlineStr">
        <is>
          <t>RockyMountain</t>
        </is>
      </c>
    </row>
    <row collapsed="false" customFormat="false" customHeight="false" hidden="false" ht="12.1" outlineLevel="0" r="8584">
      <c r="A8584" s="3" t="s">
        <f>=HYPERLINK("https://mp39851918.megaplan.ua/deals/139766/card/","23878")</f>
      </c>
      <c r="B8584" s="3" t="inlineStr">
        <is>
          <t>113-4533610-1869042</t>
        </is>
      </c>
      <c r="C8584" s="3" t="inlineStr">
        <is>
          <t>PartsUnlimited</t>
        </is>
      </c>
    </row>
    <row collapsed="false" customFormat="false" customHeight="false" hidden="false" ht="12.1" outlineLevel="0" r="8585">
      <c r="A8585" s="3" t="s">
        <f>=HYPERLINK("https://mp39851918.megaplan.ua/deals/139773/card/","23880")</f>
      </c>
      <c r="B8585" s="3" t="inlineStr">
        <is>
          <t>114-4013002-8349807</t>
        </is>
      </c>
      <c r="C8585" s="3" t="inlineStr">
        <is>
          <t>Autodist</t>
        </is>
      </c>
    </row>
    <row collapsed="false" customFormat="false" customHeight="false" hidden="false" ht="12.1" outlineLevel="0" r="8586">
      <c r="A8586" s="3" t="s">
        <f>=HYPERLINK("https://mp39851918.megaplan.ua/deals/139801/card/","23881")</f>
      </c>
      <c r="B8586" s="3" t="inlineStr">
        <is>
          <t>113-8124023-4694631</t>
        </is>
      </c>
      <c r="C8586" s="3" t="inlineStr">
        <is>
          <t>Autodist</t>
        </is>
      </c>
    </row>
    <row collapsed="false" customFormat="false" customHeight="false" hidden="false" ht="12.1" outlineLevel="0" r="8587">
      <c r="A8587" s="3" t="s">
        <f>=HYPERLINK("https://mp39851918.megaplan.ua/deals/139812/card/","23884")</f>
      </c>
      <c r="B8587" s="3" t="inlineStr">
        <is>
          <t>113-4537999-7208222</t>
        </is>
      </c>
      <c r="C8587" s="3" t="inlineStr">
        <is>
          <t>PartsUnlimited</t>
        </is>
      </c>
    </row>
    <row collapsed="false" customFormat="false" customHeight="false" hidden="false" ht="12.1" outlineLevel="0" r="8588">
      <c r="A8588" s="3" t="s">
        <f>=HYPERLINK("https://mp39851918.megaplan.ua/deals/139813/card/","23885")</f>
      </c>
      <c r="B8588" s="3" t="inlineStr">
        <is>
          <t>114-1307542-2809012</t>
        </is>
      </c>
      <c r="C8588" s="3" t="inlineStr">
        <is>
          <t>RockyMountain</t>
        </is>
      </c>
    </row>
    <row collapsed="false" customFormat="false" customHeight="false" hidden="false" ht="12.1" outlineLevel="0" r="8589">
      <c r="A8589" s="3" t="s">
        <f>=HYPERLINK("https://mp39851918.megaplan.ua/deals/139819/card/","23886")</f>
      </c>
      <c r="B8589" s="3" t="inlineStr">
        <is>
          <t>112-5141760-1751425</t>
        </is>
      </c>
      <c r="C8589" s="3" t="inlineStr">
        <is>
          <t>Autodist</t>
        </is>
      </c>
    </row>
    <row collapsed="false" customFormat="false" customHeight="false" hidden="false" ht="12.1" outlineLevel="0" r="8590">
      <c r="A8590" s="3" t="s">
        <f>=HYPERLINK("https://mp39851918.megaplan.ua/deals/139820/card/","23887")</f>
      </c>
      <c r="B8590" s="3" t="inlineStr">
        <is>
          <t>113-6060431-5361845</t>
        </is>
      </c>
      <c r="C8590" s="3" t="inlineStr">
        <is>
          <t>RockyMountain</t>
        </is>
      </c>
    </row>
    <row collapsed="false" customFormat="false" customHeight="false" hidden="false" ht="12.1" outlineLevel="0" r="8591">
      <c r="A8591" s="3" t="s">
        <f>=HYPERLINK("https://mp39851918.megaplan.ua/deals/139831/card/","23888")</f>
      </c>
      <c r="B8591" s="3" t="inlineStr">
        <is>
          <t>112-1460406-7508221</t>
        </is>
      </c>
      <c r="C8591" s="3" t="inlineStr">
        <is>
          <t>Autodist</t>
        </is>
      </c>
    </row>
    <row collapsed="false" customFormat="false" customHeight="false" hidden="false" ht="12.1" outlineLevel="0" r="8592">
      <c r="A8592" s="3" t="s">
        <f>=HYPERLINK("https://mp39851918.megaplan.ua/deals/139832/card/","23889")</f>
      </c>
      <c r="B8592" s="3" t="inlineStr">
        <is>
          <t>112-8490303-5199455</t>
        </is>
      </c>
      <c r="C8592" s="3" t="inlineStr">
        <is>
          <t>RockyMountain</t>
        </is>
      </c>
    </row>
    <row collapsed="false" customFormat="false" customHeight="false" hidden="false" ht="12.1" outlineLevel="0" r="8593">
      <c r="A8593" s="3" t="s">
        <f>=HYPERLINK("https://mp39851918.megaplan.ua/deals/139844/card/","23890")</f>
      </c>
      <c r="B8593" s="3" t="inlineStr">
        <is>
          <t>113-8742962-1573050</t>
        </is>
      </c>
      <c r="C8593" s="3" t="inlineStr">
        <is>
          <t>Autodist</t>
        </is>
      </c>
    </row>
    <row collapsed="false" customFormat="false" customHeight="false" hidden="false" ht="12.1" outlineLevel="0" r="8594">
      <c r="A8594" s="3" t="s">
        <f>=HYPERLINK("https://mp39851918.megaplan.ua/deals/139854/card/","23892")</f>
      </c>
      <c r="B8594" s="3" t="inlineStr">
        <is>
          <t>114-8697332-7865045</t>
        </is>
      </c>
      <c r="C8594" s="3" t="inlineStr">
        <is>
          <t>Autodist</t>
        </is>
      </c>
    </row>
    <row collapsed="false" customFormat="false" customHeight="false" hidden="false" ht="12.1" outlineLevel="0" r="8595">
      <c r="A8595" s="3" t="s">
        <f>=HYPERLINK("https://mp39851918.megaplan.ua/deals/139855/card/","23893")</f>
      </c>
      <c r="B8595" s="3" t="inlineStr">
        <is>
          <t>112-1590668-9580213</t>
        </is>
      </c>
      <c r="C8595" s="3" t="inlineStr">
        <is>
          <t>RockyMountain</t>
        </is>
      </c>
    </row>
    <row collapsed="false" customFormat="false" customHeight="false" hidden="false" ht="12.1" outlineLevel="0" r="8596">
      <c r="A8596" s="3" t="s">
        <f>=HYPERLINK("https://mp39851918.megaplan.ua/deals/139879/card/","23895")</f>
      </c>
      <c r="B8596" s="3" t="inlineStr">
        <is>
          <t>114-8596092-2617811</t>
        </is>
      </c>
      <c r="C8596" s="3" t="inlineStr">
        <is>
          <t>PartsUnlimited</t>
        </is>
      </c>
    </row>
    <row collapsed="false" customFormat="false" customHeight="false" hidden="false" ht="12.1" outlineLevel="0" r="8597">
      <c r="A8597" s="3" t="s">
        <f>=HYPERLINK("https://mp39851918.megaplan.ua/deals/139889/card/","23896")</f>
      </c>
      <c r="B8597" s="3" t="inlineStr">
        <is>
          <t>114-6050169-6266630</t>
        </is>
      </c>
      <c r="C8597" s="3" t="inlineStr">
        <is>
          <t>RockyMountain</t>
        </is>
      </c>
    </row>
    <row collapsed="false" customFormat="false" customHeight="false" hidden="false" ht="12.1" outlineLevel="0" r="8598">
      <c r="A8598" s="3" t="s">
        <f>=HYPERLINK("https://mp39851918.megaplan.ua/deals/139899/card/","23897")</f>
      </c>
      <c r="B8598" s="3" t="inlineStr">
        <is>
          <t>112-2846296-8239464</t>
        </is>
      </c>
      <c r="C8598" s="3" t="inlineStr">
        <is>
          <t>RockyMountain</t>
        </is>
      </c>
    </row>
    <row collapsed="false" customFormat="false" customHeight="false" hidden="false" ht="12.1" outlineLevel="0" r="8599">
      <c r="A8599" s="3" t="s">
        <f>=HYPERLINK("https://mp39851918.megaplan.ua/deals/139900/card/","23898")</f>
      </c>
      <c r="B8599" s="3" t="inlineStr">
        <is>
          <t>111-2797094-8145822</t>
        </is>
      </c>
      <c r="C8599" s="3" t="inlineStr">
        <is>
          <t>RockyMountain</t>
        </is>
      </c>
    </row>
    <row collapsed="false" customFormat="false" customHeight="false" hidden="false" ht="12.1" outlineLevel="0" r="8600">
      <c r="A8600" s="3" t="s">
        <f>=HYPERLINK("https://mp39851918.megaplan.ua/deals/139904/card/","23899")</f>
      </c>
      <c r="B8600" s="3" t="inlineStr">
        <is>
          <t>114-5223125-5649058</t>
        </is>
      </c>
      <c r="C8600" s="3" t="inlineStr">
        <is>
          <t>RockyMountain</t>
        </is>
      </c>
    </row>
    <row collapsed="false" customFormat="false" customHeight="false" hidden="false" ht="12.1" outlineLevel="0" r="8601">
      <c r="A8601" s="3" t="s">
        <f>=HYPERLINK("https://mp39851918.megaplan.ua/deals/139911/card/","23900")</f>
      </c>
      <c r="B8601" s="3" t="inlineStr">
        <is>
          <t>113-6890834-6669010</t>
        </is>
      </c>
      <c r="C8601" s="3" t="inlineStr">
        <is>
          <t>Autodist</t>
        </is>
      </c>
    </row>
    <row collapsed="false" customFormat="false" customHeight="false" hidden="false" ht="12.1" outlineLevel="0" r="8602">
      <c r="A8602" s="3" t="s">
        <f>=HYPERLINK("https://mp39851918.megaplan.ua/deals/139913/card/","23901")</f>
      </c>
      <c r="B8602" s="3" t="inlineStr">
        <is>
          <t>112-1352561-2528253</t>
        </is>
      </c>
      <c r="C8602" s="3" t="inlineStr">
        <is>
          <t>RockyMountain</t>
        </is>
      </c>
    </row>
    <row collapsed="false" customFormat="false" customHeight="false" hidden="false" ht="12.1" outlineLevel="0" r="8603">
      <c r="A8603" s="3" t="s">
        <f>=HYPERLINK("https://mp39851918.megaplan.ua/deals/139914/card/","23902")</f>
      </c>
      <c r="B8603" s="3" t="inlineStr">
        <is>
          <t>114-9822313-2862629</t>
        </is>
      </c>
      <c r="C8603" s="3" t="inlineStr">
        <is>
          <t>PartsUnlimited</t>
        </is>
      </c>
    </row>
    <row collapsed="false" customFormat="false" customHeight="false" hidden="false" ht="12.1" outlineLevel="0" r="8604">
      <c r="A8604" s="3" t="s">
        <f>=HYPERLINK("https://mp39851918.megaplan.ua/deals/139915/card/","23903")</f>
      </c>
      <c r="B8604" s="3" t="inlineStr">
        <is>
          <t>112-5235232-2109007</t>
        </is>
      </c>
      <c r="C8604" s="3" t="inlineStr">
        <is>
          <t>RockyMountain</t>
        </is>
      </c>
    </row>
    <row collapsed="false" customFormat="false" customHeight="false" hidden="false" ht="12.1" outlineLevel="0" r="8605">
      <c r="A8605" s="3" t="s">
        <f>=HYPERLINK("https://mp39851918.megaplan.ua/deals/139924/card/","23904")</f>
      </c>
      <c r="B8605" s="3" t="inlineStr">
        <is>
          <t>113-9245752-6667413</t>
        </is>
      </c>
      <c r="C8605" s="3" t="inlineStr">
        <is>
          <t>RockyMountain</t>
        </is>
      </c>
    </row>
    <row collapsed="false" customFormat="false" customHeight="false" hidden="false" ht="12.1" outlineLevel="0" r="8606">
      <c r="A8606" s="3" t="s">
        <f>=HYPERLINK("https://mp39851918.megaplan.ua/deals/139932/card/","23906")</f>
      </c>
      <c r="B8606" s="3" t="inlineStr">
        <is>
          <t>113-5196417-1229067</t>
        </is>
      </c>
      <c r="C8606" s="3" t="inlineStr">
        <is>
          <t>Autodist</t>
        </is>
      </c>
    </row>
    <row collapsed="false" customFormat="false" customHeight="false" hidden="false" ht="12.1" outlineLevel="0" r="8607">
      <c r="A8607" s="3" t="s">
        <f>=HYPERLINK("https://mp39851918.megaplan.ua/deals/139936/card/","23907")</f>
      </c>
      <c r="B8607" s="3" t="inlineStr">
        <is>
          <t>112-5856524-5004203</t>
        </is>
      </c>
      <c r="C8607" s="3" t="inlineStr">
        <is>
          <t>Autodist</t>
        </is>
      </c>
    </row>
    <row collapsed="false" customFormat="false" customHeight="false" hidden="false" ht="12.1" outlineLevel="0" r="8608">
      <c r="A8608" s="3" t="s">
        <f>=HYPERLINK("https://mp39851918.megaplan.ua/deals/139937/card/","23908")</f>
      </c>
      <c r="B8608" s="3" t="inlineStr">
        <is>
          <t>114-2672168-6233069</t>
        </is>
      </c>
      <c r="C8608" s="3" t="inlineStr">
        <is>
          <t>RockyMountain</t>
        </is>
      </c>
    </row>
    <row collapsed="false" customFormat="false" customHeight="false" hidden="false" ht="12.1" outlineLevel="0" r="8609">
      <c r="A8609" s="3" t="s">
        <f>=HYPERLINK("https://mp39851918.megaplan.ua/deals/139953/card/","23910")</f>
      </c>
      <c r="B8609" s="3" t="inlineStr">
        <is>
          <t>111-9947387-0835468</t>
        </is>
      </c>
      <c r="C8609" s="3" t="inlineStr">
        <is>
          <t>RockyMountain</t>
        </is>
      </c>
    </row>
    <row collapsed="false" customFormat="false" customHeight="false" hidden="false" ht="12.1" outlineLevel="0" r="8610">
      <c r="A8610" s="3" t="s">
        <f>=HYPERLINK("https://mp39851918.megaplan.ua/deals/139957/card/","23911")</f>
      </c>
      <c r="B8610" s="3" t="inlineStr">
        <is>
          <t>114-2674702-1558638</t>
        </is>
      </c>
      <c r="C8610" s="3" t="inlineStr">
        <is>
          <t>Autodist</t>
        </is>
      </c>
    </row>
    <row collapsed="false" customFormat="false" customHeight="false" hidden="false" ht="12.1" outlineLevel="0" r="8611">
      <c r="A8611" s="3" t="s">
        <f>=HYPERLINK("https://mp39851918.megaplan.ua/deals/139968/card/","23912")</f>
      </c>
      <c r="B8611" s="3" t="inlineStr">
        <is>
          <t>114-3621954-1746668</t>
        </is>
      </c>
      <c r="C8611" s="3" t="inlineStr">
        <is>
          <t>Autodist</t>
        </is>
      </c>
    </row>
    <row collapsed="false" customFormat="false" customHeight="false" hidden="false" ht="12.1" outlineLevel="0" r="8612">
      <c r="A8612" s="3" t="s">
        <f>=HYPERLINK("https://mp39851918.megaplan.ua/deals/139979/card/","23913")</f>
      </c>
      <c r="B8612" s="3" t="inlineStr">
        <is>
          <t>112-4637500-5983460</t>
        </is>
      </c>
      <c r="C8612" s="3" t="inlineStr">
        <is>
          <t>RockyMountain</t>
        </is>
      </c>
    </row>
    <row collapsed="false" customFormat="false" customHeight="false" hidden="false" ht="12.1" outlineLevel="0" r="8613">
      <c r="A8613" s="3" t="s">
        <f>=HYPERLINK("https://mp39851918.megaplan.ua/deals/139985/card/","23914")</f>
      </c>
      <c r="B8613" s="3" t="inlineStr">
        <is>
          <t>114-5969765-7805065</t>
        </is>
      </c>
      <c r="C8613" s="3" t="inlineStr">
        <is>
          <t>RockyMountain</t>
        </is>
      </c>
    </row>
    <row collapsed="false" customFormat="false" customHeight="false" hidden="false" ht="12.1" outlineLevel="0" r="8614">
      <c r="A8614" s="3" t="s">
        <f>=HYPERLINK("https://mp39851918.megaplan.ua/deals/139987/card/","23915")</f>
      </c>
      <c r="B8614" s="3" t="inlineStr">
        <is>
          <t>114-2385691-9708224</t>
        </is>
      </c>
      <c r="C8614" s="3" t="inlineStr">
        <is>
          <t>TuckerRocky</t>
        </is>
      </c>
    </row>
    <row collapsed="false" customFormat="false" customHeight="false" hidden="false" ht="12.1" outlineLevel="0" r="8615">
      <c r="A8615" s="3" t="s">
        <f>=HYPERLINK("https://mp39851918.megaplan.ua/deals/139991/card/","23916")</f>
      </c>
      <c r="B8615" s="3" t="inlineStr">
        <is>
          <t>111-0848683-3636245</t>
        </is>
      </c>
      <c r="C8615" s="3" t="inlineStr">
        <is>
          <t>Autodist</t>
        </is>
      </c>
    </row>
    <row collapsed="false" customFormat="false" customHeight="false" hidden="false" ht="12.1" outlineLevel="0" r="8616">
      <c r="A8616" s="3" t="s">
        <f>=HYPERLINK("https://mp39851918.megaplan.ua/deals/139993/card/","23917")</f>
      </c>
      <c r="B8616" s="3" t="inlineStr">
        <is>
          <t>114-1941634-9305061</t>
        </is>
      </c>
      <c r="C8616" s="3" t="inlineStr">
        <is>
          <t>RockyMountain</t>
        </is>
      </c>
    </row>
    <row collapsed="false" customFormat="false" customHeight="false" hidden="false" ht="12.1" outlineLevel="0" r="8617">
      <c r="A8617" s="3" t="s">
        <f>=HYPERLINK("https://mp39851918.megaplan.ua/deals/140000/card/","23918")</f>
      </c>
      <c r="B8617" s="3" t="inlineStr">
        <is>
          <t>113-2589060-1100226</t>
        </is>
      </c>
      <c r="C8617" s="3" t="inlineStr">
        <is>
          <t>RockyMountain</t>
        </is>
      </c>
    </row>
    <row collapsed="false" customFormat="false" customHeight="false" hidden="false" ht="12.1" outlineLevel="0" r="8618">
      <c r="A8618" s="3" t="s">
        <f>=HYPERLINK("https://mp39851918.megaplan.ua/deals/140008/card/","23919")</f>
      </c>
      <c r="B8618" s="3" t="inlineStr">
        <is>
          <t>111-6544989-4888250</t>
        </is>
      </c>
      <c r="C8618" s="3" t="inlineStr">
        <is>
          <t>PartsUnlimited</t>
        </is>
      </c>
    </row>
    <row collapsed="false" customFormat="false" customHeight="false" hidden="false" ht="12.1" outlineLevel="0" r="8619">
      <c r="A8619" s="3" t="s">
        <f>=HYPERLINK("https://mp39851918.megaplan.ua/deals/140011/card/","23920")</f>
      </c>
      <c r="B8619" s="3" t="inlineStr">
        <is>
          <t>111-1685599-6877853</t>
        </is>
      </c>
      <c r="C8619" s="3" t="inlineStr">
        <is>
          <t>PartsUnlimited</t>
        </is>
      </c>
    </row>
    <row collapsed="false" customFormat="false" customHeight="false" hidden="false" ht="12.1" outlineLevel="0" r="8620">
      <c r="A8620" s="3" t="s">
        <f>=HYPERLINK("https://mp39851918.megaplan.ua/deals/140013/card/","23921")</f>
      </c>
      <c r="B8620" s="3" t="inlineStr">
        <is>
          <t>111-6412235-0969066</t>
        </is>
      </c>
      <c r="C8620" s="3" t="inlineStr">
        <is>
          <t>RockyMountain</t>
        </is>
      </c>
    </row>
    <row collapsed="false" customFormat="false" customHeight="false" hidden="false" ht="12.1" outlineLevel="0" r="8621">
      <c r="A8621" s="3" t="s">
        <f>=HYPERLINK("https://mp39851918.megaplan.ua/deals/140018/card/","23922")</f>
      </c>
      <c r="B8621" s="3" t="inlineStr">
        <is>
          <t>111-6639936-3098648</t>
        </is>
      </c>
      <c r="C8621" s="3" t="inlineStr">
        <is>
          <t>RockyMountain</t>
        </is>
      </c>
    </row>
    <row collapsed="false" customFormat="false" customHeight="false" hidden="false" ht="12.1" outlineLevel="0" r="8622">
      <c r="A8622" s="3" t="s">
        <f>=HYPERLINK("https://mp39851918.megaplan.ua/deals/140022/card/","23923")</f>
      </c>
      <c r="B8622" s="3" t="inlineStr">
        <is>
          <t>113-8228217-8785830</t>
        </is>
      </c>
      <c r="C8622" s="3" t="inlineStr">
        <is>
          <t>RockyMountain</t>
        </is>
      </c>
    </row>
    <row collapsed="false" customFormat="false" customHeight="false" hidden="false" ht="12.1" outlineLevel="0" r="8623">
      <c r="A8623" s="3" t="s">
        <f>=HYPERLINK("https://mp39851918.megaplan.ua/deals/140026/card/","23924")</f>
      </c>
      <c r="B8623" s="3" t="inlineStr">
        <is>
          <t>113-1629678-1134647</t>
        </is>
      </c>
      <c r="C8623" s="3" t="inlineStr">
        <is>
          <t>RockyMountain</t>
        </is>
      </c>
    </row>
    <row collapsed="false" customFormat="false" customHeight="false" hidden="false" ht="12.1" outlineLevel="0" r="8624">
      <c r="A8624" s="3" t="s">
        <f>=HYPERLINK("https://mp39851918.megaplan.ua/deals/140030/card/","23925")</f>
      </c>
      <c r="B8624" s="3" t="inlineStr">
        <is>
          <t>114-6813413-3389065</t>
        </is>
      </c>
      <c r="C8624" s="3" t="inlineStr">
        <is>
          <t>Autodist</t>
        </is>
      </c>
    </row>
    <row collapsed="false" customFormat="false" customHeight="false" hidden="false" ht="12.1" outlineLevel="0" r="8625">
      <c r="A8625" s="3" t="s">
        <f>=HYPERLINK("https://mp39851918.megaplan.ua/deals/140055/card/","23926")</f>
      </c>
      <c r="B8625" s="3" t="inlineStr">
        <is>
          <t>113-4008592-5229048</t>
        </is>
      </c>
      <c r="C8625" s="3" t="inlineStr">
        <is>
          <t>RockyMountain</t>
        </is>
      </c>
    </row>
    <row collapsed="false" customFormat="false" customHeight="false" hidden="false" ht="12.1" outlineLevel="0" r="8626">
      <c r="A8626" s="3" t="s">
        <f>=HYPERLINK("https://mp39851918.megaplan.ua/deals/140059/card/","23927")</f>
      </c>
      <c r="B8626" s="3" t="inlineStr">
        <is>
          <t>112-0787069-2817028</t>
        </is>
      </c>
      <c r="C8626" s="3" t="inlineStr">
        <is>
          <t>TuckerRocky</t>
        </is>
      </c>
    </row>
    <row collapsed="false" customFormat="false" customHeight="false" hidden="false" ht="12.1" outlineLevel="0" r="8627">
      <c r="A8627" s="3" t="s">
        <f>=HYPERLINK("https://mp39851918.megaplan.ua/deals/140060/card/","23928")</f>
      </c>
      <c r="B8627" s="3" t="inlineStr">
        <is>
          <t>114-9300315-7249062</t>
        </is>
      </c>
      <c r="C8627" s="3" t="inlineStr">
        <is>
          <t>Autodist</t>
        </is>
      </c>
    </row>
    <row collapsed="false" customFormat="false" customHeight="false" hidden="false" ht="12.1" outlineLevel="0" r="8628">
      <c r="A8628" s="3" t="s">
        <f>=HYPERLINK("https://mp39851918.megaplan.ua/deals/140079/card/","23929")</f>
      </c>
      <c r="B8628" s="3" t="inlineStr">
        <is>
          <t>112-6351266-2437848</t>
        </is>
      </c>
      <c r="C8628" s="3" t="inlineStr">
        <is>
          <t>TuckerRocky</t>
        </is>
      </c>
    </row>
    <row collapsed="false" customFormat="false" customHeight="false" hidden="false" ht="12.1" outlineLevel="0" r="8629">
      <c r="A8629" s="3" t="s">
        <f>=HYPERLINK("https://mp39851918.megaplan.ua/deals/140085/card/","23930")</f>
      </c>
      <c r="B8629" s="3" t="inlineStr">
        <is>
          <t>111-9356056-7110633</t>
        </is>
      </c>
      <c r="C8629" s="3" t="inlineStr">
        <is>
          <t>TuckerRocky</t>
        </is>
      </c>
    </row>
    <row collapsed="false" customFormat="false" customHeight="false" hidden="false" ht="12.1" outlineLevel="0" r="8630">
      <c r="A8630" s="3" t="s">
        <f>=HYPERLINK("https://mp39851918.megaplan.ua/deals/140086/card/","23931")</f>
      </c>
      <c r="B8630" s="3" t="inlineStr">
        <is>
          <t>113-6678822-0485825</t>
        </is>
      </c>
      <c r="C8630" s="3" t="inlineStr">
        <is>
          <t>RockyMountain</t>
        </is>
      </c>
    </row>
    <row collapsed="false" customFormat="false" customHeight="false" hidden="false" ht="12.1" outlineLevel="0" r="8631">
      <c r="A8631" s="3" t="s">
        <f>=HYPERLINK("https://mp39851918.megaplan.ua/deals/140097/card/","23932")</f>
      </c>
      <c r="B8631" s="3" t="inlineStr">
        <is>
          <t>114-4702092-0682648</t>
        </is>
      </c>
      <c r="C8631" s="3" t="inlineStr">
        <is>
          <t>RockyMountain</t>
        </is>
      </c>
    </row>
    <row collapsed="false" customFormat="false" customHeight="false" hidden="false" ht="12.1" outlineLevel="0" r="8632">
      <c r="A8632" s="3" t="s">
        <f>=HYPERLINK("https://mp39851918.megaplan.ua/deals/140098/card/","23933")</f>
      </c>
      <c r="B8632" s="3" t="inlineStr">
        <is>
          <t>113-2648966-4820211</t>
        </is>
      </c>
      <c r="C8632" s="3" t="inlineStr">
        <is>
          <t>TuckerRocky</t>
        </is>
      </c>
    </row>
    <row collapsed="false" customFormat="false" customHeight="false" hidden="false" ht="12.1" outlineLevel="0" r="8633">
      <c r="A8633" s="3" t="s">
        <f>=HYPERLINK("https://mp39851918.megaplan.ua/deals/140112/card/","23934")</f>
      </c>
      <c r="B8633" s="3" t="inlineStr">
        <is>
          <t>114-6996033-1538600</t>
        </is>
      </c>
      <c r="C8633" s="3" t="inlineStr">
        <is>
          <t>RockyMountain</t>
        </is>
      </c>
    </row>
    <row collapsed="false" customFormat="false" customHeight="false" hidden="false" ht="12.1" outlineLevel="0" r="8634">
      <c r="A8634" s="3" t="s">
        <f>=HYPERLINK("https://mp39851918.megaplan.ua/deals/140113/card/","23935")</f>
      </c>
      <c r="B8634" s="3" t="inlineStr">
        <is>
          <t>114-2211410-9277047</t>
        </is>
      </c>
      <c r="C8634" s="3" t="inlineStr">
        <is>
          <t>RockyMountain</t>
        </is>
      </c>
    </row>
    <row collapsed="false" customFormat="false" customHeight="false" hidden="false" ht="12.1" outlineLevel="0" r="8635">
      <c r="A8635" s="3" t="s">
        <f>=HYPERLINK("https://mp39851918.megaplan.ua/deals/140115/card/","23936")</f>
      </c>
      <c r="B8635" s="3" t="inlineStr">
        <is>
          <t>111-1219530-8109868</t>
        </is>
      </c>
      <c r="C8635" s="3" t="inlineStr">
        <is>
          <t>RockyMountain</t>
        </is>
      </c>
    </row>
    <row collapsed="false" customFormat="false" customHeight="false" hidden="false" ht="12.1" outlineLevel="0" r="8636">
      <c r="A8636" s="3" t="s">
        <f>=HYPERLINK("https://mp39851918.megaplan.ua/deals/140117/card/","23937")</f>
      </c>
      <c r="B8636" s="3" t="inlineStr">
        <is>
          <t>111-6398658-5890627</t>
        </is>
      </c>
      <c r="C8636" s="3" t="inlineStr">
        <is>
          <t>RockyMountain</t>
        </is>
      </c>
    </row>
    <row collapsed="false" customFormat="false" customHeight="false" hidden="false" ht="12.1" outlineLevel="0" r="8637">
      <c r="A8637" s="3" t="s">
        <f>=HYPERLINK("https://mp39851918.megaplan.ua/deals/140118/card/","23938")</f>
      </c>
      <c r="B8637" s="3" t="inlineStr">
        <is>
          <t>113-5954730-4140251</t>
        </is>
      </c>
      <c r="C8637" s="3" t="inlineStr">
        <is>
          <t>Autodist</t>
        </is>
      </c>
    </row>
    <row collapsed="false" customFormat="false" customHeight="false" hidden="false" ht="12.1" outlineLevel="0" r="8638">
      <c r="A8638" s="3" t="s">
        <f>=HYPERLINK("https://mp39851918.megaplan.ua/deals/140122/card/","23939")</f>
      </c>
      <c r="B8638" s="3" t="inlineStr">
        <is>
          <t>111-0955138-0454613</t>
        </is>
      </c>
      <c r="C8638" s="3" t="inlineStr">
        <is>
          <t>RockyMountain</t>
        </is>
      </c>
    </row>
    <row collapsed="false" customFormat="false" customHeight="false" hidden="false" ht="12.1" outlineLevel="0" r="8639">
      <c r="A8639" s="3" t="s">
        <f>=HYPERLINK("https://mp39851918.megaplan.ua/deals/140124/card/","23940")</f>
      </c>
      <c r="B8639" s="3" t="inlineStr">
        <is>
          <t>113-3431830-3233030</t>
        </is>
      </c>
      <c r="C8639" s="3" t="inlineStr">
        <is>
          <t>Autodist</t>
        </is>
      </c>
    </row>
    <row collapsed="false" customFormat="false" customHeight="false" hidden="false" ht="12.1" outlineLevel="0" r="8640">
      <c r="A8640" s="3" t="s">
        <f>=HYPERLINK("https://mp39851918.megaplan.ua/deals/140125/card/","23941")</f>
      </c>
      <c r="B8640" s="3" t="inlineStr">
        <is>
          <t>112-2325800-7401869</t>
        </is>
      </c>
      <c r="C8640" s="3" t="inlineStr">
        <is>
          <t>Autodist</t>
        </is>
      </c>
    </row>
    <row collapsed="false" customFormat="false" customHeight="false" hidden="false" ht="12.1" outlineLevel="0" r="8641">
      <c r="A8641" s="3" t="s">
        <f>=HYPERLINK("https://mp39851918.megaplan.ua/deals/140130/card/","23942")</f>
      </c>
      <c r="B8641" s="3" t="inlineStr">
        <is>
          <t>112-5723828-4198629</t>
        </is>
      </c>
      <c r="C8641" s="3" t="inlineStr">
        <is>
          <t>RockyMountain</t>
        </is>
      </c>
    </row>
    <row collapsed="false" customFormat="false" customHeight="false" hidden="false" ht="12.1" outlineLevel="0" r="8642">
      <c r="A8642" s="3" t="s">
        <f>=HYPERLINK("https://mp39851918.megaplan.ua/deals/140132/card/","23943")</f>
      </c>
      <c r="B8642" s="3" t="inlineStr">
        <is>
          <t>114-3208668-5076222</t>
        </is>
      </c>
      <c r="C8642" s="3" t="inlineStr">
        <is>
          <t>RockyMountain</t>
        </is>
      </c>
    </row>
    <row collapsed="false" customFormat="false" customHeight="false" hidden="false" ht="12.1" outlineLevel="0" r="8643">
      <c r="A8643" s="3" t="s">
        <f>=HYPERLINK("https://mp39851918.megaplan.ua/deals/140133/card/","23944")</f>
      </c>
      <c r="B8643" s="3" t="inlineStr">
        <is>
          <t>114-2572616-7978601</t>
        </is>
      </c>
      <c r="C8643" s="3" t="inlineStr">
        <is>
          <t>TuckerRocky</t>
        </is>
      </c>
    </row>
    <row collapsed="false" customFormat="false" customHeight="false" hidden="false" ht="12.1" outlineLevel="0" r="8644">
      <c r="A8644" s="3" t="s">
        <f>=HYPERLINK("https://mp39851918.megaplan.ua/deals/140138/card/","23945")</f>
      </c>
      <c r="B8644" s="3" t="inlineStr">
        <is>
          <t>111-2610097-1473840</t>
        </is>
      </c>
      <c r="C8644" s="3" t="inlineStr">
        <is>
          <t>RockyMountain</t>
        </is>
      </c>
    </row>
    <row collapsed="false" customFormat="false" customHeight="false" hidden="false" ht="12.1" outlineLevel="0" r="8645">
      <c r="A8645" s="3" t="s">
        <f>=HYPERLINK("https://mp39851918.megaplan.ua/deals/140144/card/","23946")</f>
      </c>
      <c r="B8645" s="3" t="inlineStr">
        <is>
          <t>111-1999735-4909818</t>
        </is>
      </c>
      <c r="C8645" s="3" t="inlineStr">
        <is>
          <t>RockyMountain</t>
        </is>
      </c>
    </row>
    <row collapsed="false" customFormat="false" customHeight="false" hidden="false" ht="12.1" outlineLevel="0" r="8646">
      <c r="A8646" s="3" t="s">
        <f>=HYPERLINK("https://mp39851918.megaplan.ua/deals/140147/card/","23947")</f>
      </c>
      <c r="B8646" s="3" t="inlineStr">
        <is>
          <t>111-7341392-7728261</t>
        </is>
      </c>
      <c r="C8646" s="3" t="inlineStr">
        <is>
          <t>Autodist</t>
        </is>
      </c>
    </row>
    <row collapsed="false" customFormat="false" customHeight="false" hidden="false" ht="12.1" outlineLevel="0" r="8647">
      <c r="A8647" s="3" t="s">
        <f>=HYPERLINK("https://mp39851918.megaplan.ua/deals/140148/card/","23948")</f>
      </c>
      <c r="B8647" s="3" t="inlineStr">
        <is>
          <t>113-4835870-5733834</t>
        </is>
      </c>
      <c r="C8647" s="3" t="inlineStr">
        <is>
          <t>RockyMountain</t>
        </is>
      </c>
    </row>
    <row collapsed="false" customFormat="false" customHeight="false" hidden="false" ht="12.1" outlineLevel="0" r="8648">
      <c r="A8648" s="3" t="s">
        <f>=HYPERLINK("https://mp39851918.megaplan.ua/deals/140161/card/","23949")</f>
      </c>
      <c r="B8648" s="3" t="inlineStr">
        <is>
          <t>113-7830076-1147434</t>
        </is>
      </c>
      <c r="C8648" s="3" t="inlineStr">
        <is>
          <t>RockyMountain</t>
        </is>
      </c>
    </row>
    <row collapsed="false" customFormat="false" customHeight="false" hidden="false" ht="12.1" outlineLevel="0" r="8649">
      <c r="A8649" s="3" t="s">
        <f>=HYPERLINK("https://mp39851918.megaplan.ua/deals/140175/card/","23950")</f>
      </c>
      <c r="B8649" s="3" t="inlineStr">
        <is>
          <t>114-5929070-1165851</t>
        </is>
      </c>
      <c r="C8649" s="3" t="inlineStr">
        <is>
          <t>RockyMountain</t>
        </is>
      </c>
    </row>
    <row collapsed="false" customFormat="false" customHeight="false" hidden="false" ht="12.1" outlineLevel="0" r="8650">
      <c r="A8650" s="3" t="s">
        <f>=HYPERLINK("https://mp39851918.megaplan.ua/deals/140177/card/","23951")</f>
      </c>
      <c r="B8650" s="3" t="inlineStr">
        <is>
          <t>111-7597890-7252223</t>
        </is>
      </c>
      <c r="C8650" s="3" t="inlineStr">
        <is>
          <t>TuckerRocky</t>
        </is>
      </c>
    </row>
    <row collapsed="false" customFormat="false" customHeight="false" hidden="false" ht="12.1" outlineLevel="0" r="8651">
      <c r="A8651" s="3" t="s">
        <f>=HYPERLINK("https://mp39851918.megaplan.ua/deals/140179/card/","23952")</f>
      </c>
      <c r="B8651" s="3" t="inlineStr">
        <is>
          <t>113-7906890-0270641</t>
        </is>
      </c>
      <c r="C8651" s="3" t="inlineStr">
        <is>
          <t>TuckerRocky</t>
        </is>
      </c>
    </row>
    <row collapsed="false" customFormat="false" customHeight="false" hidden="false" ht="12.1" outlineLevel="0" r="8652">
      <c r="A8652" s="3" t="s">
        <f>=HYPERLINK("https://mp39851918.megaplan.ua/deals/140200/card/","23953")</f>
      </c>
      <c r="B8652" s="3" t="inlineStr">
        <is>
          <t>111-1035865-2361839</t>
        </is>
      </c>
      <c r="C8652" s="3" t="inlineStr">
        <is>
          <t>Autodist</t>
        </is>
      </c>
    </row>
    <row collapsed="false" customFormat="false" customHeight="false" hidden="false" ht="12.1" outlineLevel="0" r="8653">
      <c r="A8653" s="3" t="s">
        <f>=HYPERLINK("https://mp39851918.megaplan.ua/deals/140201/card/","23954")</f>
      </c>
      <c r="B8653" s="3" t="inlineStr">
        <is>
          <t>113-4789282-0885813</t>
        </is>
      </c>
      <c r="C8653" s="3" t="inlineStr">
        <is>
          <t>RockyMountain</t>
        </is>
      </c>
    </row>
    <row collapsed="false" customFormat="false" customHeight="false" hidden="false" ht="12.1" outlineLevel="0" r="8654">
      <c r="A8654" s="3" t="s">
        <f>=HYPERLINK("https://mp39851918.megaplan.ua/deals/140202/card/","23955")</f>
      </c>
      <c r="B8654" s="3" t="inlineStr">
        <is>
          <t>112-4663284-0980251</t>
        </is>
      </c>
      <c r="C8654" s="3" t="inlineStr">
        <is>
          <t>Autodist</t>
        </is>
      </c>
    </row>
    <row collapsed="false" customFormat="false" customHeight="false" hidden="false" ht="12.1" outlineLevel="0" r="8655">
      <c r="A8655" s="3" t="s">
        <f>=HYPERLINK("https://mp39851918.megaplan.ua/deals/140203/card/","23956")</f>
      </c>
      <c r="B8655" s="3" t="inlineStr">
        <is>
          <t>114-5095950-2481841</t>
        </is>
      </c>
      <c r="C8655" s="3" t="inlineStr">
        <is>
          <t>RockyMountain</t>
        </is>
      </c>
    </row>
    <row collapsed="false" customFormat="false" customHeight="false" hidden="false" ht="12.1" outlineLevel="0" r="8656">
      <c r="A8656" s="3" t="s">
        <f>=HYPERLINK("https://mp39851918.megaplan.ua/deals/140204/card/","23957")</f>
      </c>
      <c r="B8656" s="3" t="inlineStr">
        <is>
          <t>114-4857449-0481845</t>
        </is>
      </c>
      <c r="C8656" s="3" t="inlineStr">
        <is>
          <t>Autodist</t>
        </is>
      </c>
    </row>
    <row collapsed="false" customFormat="false" customHeight="false" hidden="false" ht="12.1" outlineLevel="0" r="8657">
      <c r="A8657" s="3" t="s">
        <f>=HYPERLINK("https://mp39851918.megaplan.ua/deals/140207/card/","23958")</f>
      </c>
      <c r="B8657" s="3" t="inlineStr">
        <is>
          <t>111-0157989-4252256</t>
        </is>
      </c>
      <c r="C8657" s="3" t="inlineStr">
        <is>
          <t>RockyMountain</t>
        </is>
      </c>
    </row>
    <row collapsed="false" customFormat="false" customHeight="false" hidden="false" ht="12.1" outlineLevel="0" r="8658">
      <c r="A8658" s="3" t="s">
        <f>=HYPERLINK("https://mp39851918.megaplan.ua/deals/140208/card/","23959")</f>
      </c>
      <c r="B8658" s="3" t="inlineStr">
        <is>
          <t>114-6333484-8373019</t>
        </is>
      </c>
      <c r="C8658" s="3" t="inlineStr">
        <is>
          <t>TuckerRocky</t>
        </is>
      </c>
    </row>
    <row collapsed="false" customFormat="false" customHeight="false" hidden="false" ht="12.1" outlineLevel="0" r="8659">
      <c r="A8659" s="3" t="s">
        <f>=HYPERLINK("https://mp39851918.megaplan.ua/deals/140210/card/","23960")</f>
      </c>
      <c r="B8659" s="3" t="inlineStr">
        <is>
          <t>112-1179451-7140200</t>
        </is>
      </c>
      <c r="C8659" s="3" t="inlineStr">
        <is>
          <t>Autodist</t>
        </is>
      </c>
    </row>
    <row collapsed="false" customFormat="false" customHeight="false" hidden="false" ht="12.1" outlineLevel="0" r="8660">
      <c r="A8660" s="3" t="s">
        <f>=HYPERLINK("https://mp39851918.megaplan.ua/deals/140224/card/","23961")</f>
      </c>
      <c r="B8660" s="3" t="inlineStr">
        <is>
          <t>113-8471450-1131435</t>
        </is>
      </c>
      <c r="C8660" s="3" t="inlineStr">
        <is>
          <t>PartsUnlimited</t>
        </is>
      </c>
    </row>
    <row collapsed="false" customFormat="false" customHeight="false" hidden="false" ht="12.1" outlineLevel="0" r="8661">
      <c r="A8661" s="3" t="s">
        <f>=HYPERLINK("https://mp39851918.megaplan.ua/deals/140225/card/","23962")</f>
      </c>
      <c r="B8661" s="3" t="inlineStr">
        <is>
          <t>112-1310767-4301005</t>
        </is>
      </c>
      <c r="C8661" s="3" t="inlineStr">
        <is>
          <t>RockyMountain</t>
        </is>
      </c>
    </row>
    <row collapsed="false" customFormat="false" customHeight="false" hidden="false" ht="12.1" outlineLevel="0" r="8662">
      <c r="A8662" s="3" t="s">
        <f>=HYPERLINK("https://mp39851918.megaplan.ua/deals/140226/card/","23963")</f>
      </c>
      <c r="B8662" s="3" t="inlineStr">
        <is>
          <t>114-5543884-4174616</t>
        </is>
      </c>
      <c r="C8662" s="3" t="inlineStr">
        <is>
          <t>Autodist</t>
        </is>
      </c>
    </row>
    <row collapsed="false" customFormat="false" customHeight="false" hidden="false" ht="12.1" outlineLevel="0" r="8663">
      <c r="A8663" s="3" t="s">
        <f>=HYPERLINK("https://mp39851918.megaplan.ua/deals/140238/card/","23964")</f>
      </c>
      <c r="B8663" s="3" t="inlineStr">
        <is>
          <t>112-2401556-1976207</t>
        </is>
      </c>
      <c r="C8663" s="3" t="inlineStr">
        <is>
          <t>RockyMountain</t>
        </is>
      </c>
    </row>
    <row collapsed="false" customFormat="false" customHeight="false" hidden="false" ht="12.1" outlineLevel="0" r="8664">
      <c r="A8664" s="3" t="s">
        <f>=HYPERLINK("https://mp39851918.megaplan.ua/deals/140250/card/","23966")</f>
      </c>
      <c r="B8664" s="3" t="inlineStr">
        <is>
          <t>112-6957958-4526604</t>
        </is>
      </c>
      <c r="C8664" s="3" t="inlineStr">
        <is>
          <t>Autodist</t>
        </is>
      </c>
    </row>
    <row collapsed="false" customFormat="false" customHeight="false" hidden="false" ht="12.1" outlineLevel="0" r="8665">
      <c r="A8665" s="3" t="s">
        <f>=HYPERLINK("https://mp39851918.megaplan.ua/deals/140253/card/","23967")</f>
      </c>
      <c r="B8665" s="3" t="inlineStr">
        <is>
          <t>112-6743575-7265025</t>
        </is>
      </c>
      <c r="C8665" s="3" t="inlineStr">
        <is>
          <t>Autodist</t>
        </is>
      </c>
    </row>
    <row collapsed="false" customFormat="false" customHeight="false" hidden="false" ht="12.1" outlineLevel="0" r="8666">
      <c r="A8666" s="3" t="s">
        <f>=HYPERLINK("https://mp39851918.megaplan.ua/deals/140256/card/","23968")</f>
      </c>
      <c r="B8666" s="3" t="inlineStr">
        <is>
          <t>112-4079212-8935469</t>
        </is>
      </c>
      <c r="C8666" s="3" t="inlineStr">
        <is>
          <t>RockyMountain</t>
        </is>
      </c>
    </row>
    <row collapsed="false" customFormat="false" customHeight="false" hidden="false" ht="12.1" outlineLevel="0" r="8667">
      <c r="A8667" s="3" t="s">
        <f>=HYPERLINK("https://mp39851918.megaplan.ua/deals/140261/card/","23969")</f>
      </c>
      <c r="B8667" s="3" t="inlineStr">
        <is>
          <t>111-0829942-6593034</t>
        </is>
      </c>
      <c r="C8667" s="3" t="inlineStr">
        <is>
          <t>Autodist</t>
        </is>
      </c>
    </row>
    <row collapsed="false" customFormat="false" customHeight="false" hidden="false" ht="12.1" outlineLevel="0" r="8668">
      <c r="A8668" s="3" t="s">
        <f>=HYPERLINK("https://mp39851918.megaplan.ua/deals/140271/card/","23970")</f>
      </c>
      <c r="B8668" s="3" t="inlineStr">
        <is>
          <t>112-6411693-7803413</t>
        </is>
      </c>
      <c r="C8668" s="3" t="inlineStr">
        <is>
          <t>Autodist</t>
        </is>
      </c>
    </row>
    <row collapsed="false" customFormat="false" customHeight="false" hidden="false" ht="12.1" outlineLevel="0" r="8669">
      <c r="A8669" s="3" t="s">
        <f>=HYPERLINK("https://mp39851918.megaplan.ua/deals/140272/card/","23971")</f>
      </c>
      <c r="B8669" s="3" t="inlineStr">
        <is>
          <t>112-8006550-9247446</t>
        </is>
      </c>
      <c r="C8669" s="3" t="inlineStr">
        <is>
          <t>TuckerRocky</t>
        </is>
      </c>
    </row>
    <row collapsed="false" customFormat="false" customHeight="false" hidden="false" ht="12.1" outlineLevel="0" r="8670">
      <c r="A8670" s="3" t="s">
        <f>=HYPERLINK("https://mp39851918.megaplan.ua/deals/140283/card/","23972")</f>
      </c>
      <c r="B8670" s="3" t="inlineStr">
        <is>
          <t>114-0150596-0865857</t>
        </is>
      </c>
      <c r="C8670" s="3" t="inlineStr">
        <is>
          <t>RockyMountain</t>
        </is>
      </c>
    </row>
    <row collapsed="false" customFormat="false" customHeight="false" hidden="false" ht="12.1" outlineLevel="0" r="8671">
      <c r="A8671" s="3" t="s">
        <f>=HYPERLINK("https://mp39851918.megaplan.ua/deals/140284/card/","23973")</f>
      </c>
      <c r="B8671" s="3" t="inlineStr">
        <is>
          <t>111-9415002-7869813</t>
        </is>
      </c>
      <c r="C8671" s="3" t="inlineStr">
        <is>
          <t>Autodist</t>
        </is>
      </c>
    </row>
    <row collapsed="false" customFormat="false" customHeight="false" hidden="false" ht="12.1" outlineLevel="0" r="8672">
      <c r="A8672" s="3" t="s">
        <f>=HYPERLINK("https://mp39851918.megaplan.ua/deals/140287/card/","23974")</f>
      </c>
      <c r="B8672" s="3" t="inlineStr">
        <is>
          <t>112-1073819-0863429</t>
        </is>
      </c>
      <c r="C8672" s="3" t="inlineStr">
        <is>
          <t>TuckerRocky</t>
        </is>
      </c>
    </row>
    <row collapsed="false" customFormat="false" customHeight="false" hidden="false" ht="12.1" outlineLevel="0" r="8673">
      <c r="A8673" s="3" t="s">
        <f>=HYPERLINK("https://mp39851918.megaplan.ua/deals/140290/card/","23975")</f>
      </c>
      <c r="B8673" s="3" t="inlineStr">
        <is>
          <t>114-7433106-6279434</t>
        </is>
      </c>
      <c r="C8673" s="3" t="inlineStr">
        <is>
          <t>RockyMountain</t>
        </is>
      </c>
    </row>
    <row collapsed="false" customFormat="false" customHeight="false" hidden="false" ht="12.1" outlineLevel="0" r="8674">
      <c r="A8674" s="3" t="s">
        <f>=HYPERLINK("https://mp39851918.megaplan.ua/deals/140294/card/","23976")</f>
      </c>
      <c r="B8674" s="3" t="inlineStr">
        <is>
          <t>111-7875694-5222648</t>
        </is>
      </c>
      <c r="C8674" s="3" t="inlineStr">
        <is>
          <t>RockyMountain</t>
        </is>
      </c>
    </row>
    <row collapsed="false" customFormat="false" customHeight="false" hidden="false" ht="12.1" outlineLevel="0" r="8675">
      <c r="A8675" s="3" t="s">
        <f>=HYPERLINK("https://mp39851918.megaplan.ua/deals/140295/card/","23977")</f>
      </c>
      <c r="B8675" s="3" t="inlineStr">
        <is>
          <t>112-2450771-4644250</t>
        </is>
      </c>
      <c r="C8675" s="3" t="inlineStr">
        <is>
          <t>RockyMountain</t>
        </is>
      </c>
    </row>
    <row collapsed="false" customFormat="false" customHeight="false" hidden="false" ht="12.1" outlineLevel="0" r="8676">
      <c r="A8676" s="3" t="s">
        <f>=HYPERLINK("https://mp39851918.megaplan.ua/deals/140299/card/","23978")</f>
      </c>
      <c r="B8676" s="3" t="inlineStr">
        <is>
          <t>113-6788920-5881841</t>
        </is>
      </c>
      <c r="C8676" s="3" t="inlineStr">
        <is>
          <t>PartsUnlimited</t>
        </is>
      </c>
    </row>
    <row collapsed="false" customFormat="false" customHeight="false" hidden="false" ht="12.1" outlineLevel="0" r="8677">
      <c r="A8677" s="3" t="s">
        <f>=HYPERLINK("https://mp39851918.megaplan.ua/deals/140300/card/","23979")</f>
      </c>
      <c r="B8677" s="3" t="inlineStr">
        <is>
          <t>114-3194850-6175442</t>
        </is>
      </c>
      <c r="C8677" s="3" t="inlineStr">
        <is>
          <t>RockyMountain</t>
        </is>
      </c>
    </row>
    <row collapsed="false" customFormat="false" customHeight="false" hidden="false" ht="12.1" outlineLevel="0" r="8678">
      <c r="A8678" s="3" t="s">
        <f>=HYPERLINK("https://mp39851918.megaplan.ua/deals/140306/card/","23980")</f>
      </c>
      <c r="B8678" s="3" t="inlineStr">
        <is>
          <t>114-0956782-9737018</t>
        </is>
      </c>
      <c r="C8678" s="3" t="inlineStr">
        <is>
          <t>TuckerRocky</t>
        </is>
      </c>
    </row>
    <row collapsed="false" customFormat="false" customHeight="false" hidden="false" ht="12.1" outlineLevel="0" r="8679">
      <c r="A8679" s="3" t="s">
        <f>=HYPERLINK("https://mp39851918.megaplan.ua/deals/140307/card/","23981")</f>
      </c>
      <c r="B8679" s="3" t="inlineStr">
        <is>
          <t>111-4205773-0005806</t>
        </is>
      </c>
      <c r="C8679" s="3" t="inlineStr">
        <is>
          <t>RockyMountain</t>
        </is>
      </c>
    </row>
    <row collapsed="false" customFormat="false" customHeight="false" hidden="false" ht="12.1" outlineLevel="0" r="8680">
      <c r="A8680" s="3" t="s">
        <f>=HYPERLINK("https://mp39851918.megaplan.ua/deals/140308/card/","23982")</f>
      </c>
      <c r="B8680" s="3" t="inlineStr">
        <is>
          <t>111-6210142-8952205</t>
        </is>
      </c>
      <c r="C8680" s="3" t="inlineStr">
        <is>
          <t>Autodist</t>
        </is>
      </c>
    </row>
    <row collapsed="false" customFormat="false" customHeight="false" hidden="false" ht="12.1" outlineLevel="0" r="8681">
      <c r="A8681" s="3" t="s">
        <f>=HYPERLINK("https://mp39851918.megaplan.ua/deals/140318/card/","23984")</f>
      </c>
      <c r="B8681" s="3" t="inlineStr">
        <is>
          <t>113-7185205-6254628</t>
        </is>
      </c>
      <c r="C8681" s="3" t="inlineStr">
        <is>
          <t>Autodist</t>
        </is>
      </c>
    </row>
    <row collapsed="false" customFormat="false" customHeight="false" hidden="false" ht="12.1" outlineLevel="0" r="8682">
      <c r="A8682" s="3" t="s">
        <f>=HYPERLINK("https://mp39851918.megaplan.ua/deals/140321/card/","23986")</f>
      </c>
      <c r="B8682" s="3" t="inlineStr">
        <is>
          <t>113-2202588-9648230</t>
        </is>
      </c>
      <c r="C8682" s="3" t="inlineStr">
        <is>
          <t>Autodist</t>
        </is>
      </c>
    </row>
    <row collapsed="false" customFormat="false" customHeight="false" hidden="false" ht="12.1" outlineLevel="0" r="8683">
      <c r="A8683" s="3" t="s">
        <f>=HYPERLINK("https://mp39851918.megaplan.ua/deals/140328/card/","23989")</f>
      </c>
      <c r="B8683" s="3" t="inlineStr">
        <is>
          <t>114-3482189-6022655</t>
        </is>
      </c>
      <c r="C8683" s="3" t="inlineStr">
        <is>
          <t>PartsUnlimited</t>
        </is>
      </c>
    </row>
    <row collapsed="false" customFormat="false" customHeight="false" hidden="false" ht="12.1" outlineLevel="0" r="8684">
      <c r="A8684" s="3" t="s">
        <f>=HYPERLINK("https://mp39851918.megaplan.ua/deals/140332/card/","23990")</f>
      </c>
      <c r="B8684" s="3" t="inlineStr">
        <is>
          <t>112-1145313-6633807</t>
        </is>
      </c>
      <c r="C8684" s="3" t="inlineStr">
        <is>
          <t>PartsUnlimited</t>
        </is>
      </c>
    </row>
    <row collapsed="false" customFormat="false" customHeight="false" hidden="false" ht="12.1" outlineLevel="0" r="8685">
      <c r="A8685" s="3" t="s">
        <f>=HYPERLINK("https://mp39851918.megaplan.ua/deals/140334/card/","23991")</f>
      </c>
      <c r="B8685" s="3" t="inlineStr">
        <is>
          <t>111-9903524-0026642</t>
        </is>
      </c>
      <c r="C8685" s="3" t="inlineStr">
        <is>
          <t>RockyMountain</t>
        </is>
      </c>
    </row>
    <row collapsed="false" customFormat="false" customHeight="false" hidden="false" ht="12.1" outlineLevel="0" r="8686">
      <c r="A8686" s="3" t="s">
        <f>=HYPERLINK("https://mp39851918.megaplan.ua/deals/140335/card/","23992")</f>
      </c>
      <c r="B8686" s="3" t="inlineStr">
        <is>
          <t>111-0096037-9360201</t>
        </is>
      </c>
      <c r="C8686" s="3" t="inlineStr">
        <is>
          <t>RockyMountain</t>
        </is>
      </c>
    </row>
    <row collapsed="false" customFormat="false" customHeight="false" hidden="false" ht="12.1" outlineLevel="0" r="8687">
      <c r="A8687" s="3" t="s">
        <f>=HYPERLINK("https://mp39851918.megaplan.ua/deals/140336/card/","23993")</f>
      </c>
      <c r="B8687" s="3" t="inlineStr">
        <is>
          <t>111-4129869-5609830</t>
        </is>
      </c>
      <c r="C8687" s="3" t="inlineStr">
        <is>
          <t>Autodist</t>
        </is>
      </c>
    </row>
    <row collapsed="false" customFormat="false" customHeight="false" hidden="false" ht="12.1" outlineLevel="0" r="8688">
      <c r="A8688" s="3" t="s">
        <f>=HYPERLINK("https://mp39851918.megaplan.ua/deals/140337/card/","23994")</f>
      </c>
      <c r="B8688" s="3" t="inlineStr">
        <is>
          <t>114-0222152-6197834</t>
        </is>
      </c>
      <c r="C8688" s="3" t="inlineStr">
        <is>
          <t>Autodist</t>
        </is>
      </c>
    </row>
    <row collapsed="false" customFormat="false" customHeight="false" hidden="false" ht="12.1" outlineLevel="0" r="8689">
      <c r="A8689" s="3" t="s">
        <f>=HYPERLINK("https://mp39851918.megaplan.ua/deals/140339/card/","23995")</f>
      </c>
      <c r="B8689" s="3" t="inlineStr">
        <is>
          <t>111-8640847-4460268</t>
        </is>
      </c>
      <c r="C8689" s="3" t="inlineStr">
        <is>
          <t>Autodist</t>
        </is>
      </c>
    </row>
    <row collapsed="false" customFormat="false" customHeight="false" hidden="false" ht="12.1" outlineLevel="0" r="8690">
      <c r="A8690" s="3" t="s">
        <f>=HYPERLINK("https://mp39851918.megaplan.ua/deals/140344/card/","23996")</f>
      </c>
      <c r="B8690" s="3" t="inlineStr">
        <is>
          <t>112-8424873-1012212</t>
        </is>
      </c>
      <c r="C8690" s="3" t="inlineStr">
        <is>
          <t>RockyMountain</t>
        </is>
      </c>
    </row>
    <row collapsed="false" customFormat="false" customHeight="false" hidden="false" ht="12.1" outlineLevel="0" r="8691">
      <c r="A8691" s="3" t="s">
        <f>=HYPERLINK("https://mp39851918.megaplan.ua/deals/140345/card/","23997")</f>
      </c>
      <c r="B8691" s="3" t="inlineStr">
        <is>
          <t>112-7054378-9162667</t>
        </is>
      </c>
      <c r="C8691" s="3" t="inlineStr">
        <is>
          <t>RockyMountain</t>
        </is>
      </c>
    </row>
    <row collapsed="false" customFormat="false" customHeight="false" hidden="false" ht="12.1" outlineLevel="0" r="8692">
      <c r="A8692" s="3" t="s">
        <f>=HYPERLINK("https://mp39851918.megaplan.ua/deals/140346/card/","23998")</f>
      </c>
      <c r="B8692" s="3" t="inlineStr">
        <is>
          <t>112-5596763-9360214</t>
        </is>
      </c>
      <c r="C8692" s="3" t="inlineStr">
        <is>
          <t>RockyMountain</t>
        </is>
      </c>
    </row>
    <row collapsed="false" customFormat="false" customHeight="false" hidden="false" ht="12.1" outlineLevel="0" r="8693">
      <c r="A8693" s="3" t="s">
        <f>=HYPERLINK("https://mp39851918.megaplan.ua/deals/140347/card/","23999")</f>
      </c>
      <c r="B8693" s="3" t="inlineStr">
        <is>
          <t>111-8227757-0640220</t>
        </is>
      </c>
      <c r="C8693" s="3" t="inlineStr">
        <is>
          <t>RockyMountain</t>
        </is>
      </c>
    </row>
    <row collapsed="false" customFormat="false" customHeight="false" hidden="false" ht="12.1" outlineLevel="0" r="8694">
      <c r="A8694" s="3" t="s">
        <f>=HYPERLINK("https://mp39851918.megaplan.ua/deals/140374/card/","24000")</f>
      </c>
      <c r="B8694" s="3" t="inlineStr">
        <is>
          <t>113-4302515-3128261</t>
        </is>
      </c>
      <c r="C8694" s="3" t="inlineStr">
        <is>
          <t>RockyMountain</t>
        </is>
      </c>
    </row>
    <row collapsed="false" customFormat="false" customHeight="false" hidden="false" ht="12.1" outlineLevel="0" r="8695">
      <c r="A8695" s="3" t="s">
        <f>=HYPERLINK("https://mp39851918.megaplan.ua/deals/140378/card/","24001")</f>
      </c>
      <c r="B8695" s="3" t="inlineStr">
        <is>
          <t>114-1596906-5601001</t>
        </is>
      </c>
      <c r="C8695" s="3" t="inlineStr">
        <is>
          <t>Autodist</t>
        </is>
      </c>
    </row>
    <row collapsed="false" customFormat="false" customHeight="false" hidden="false" ht="12.1" outlineLevel="0" r="8696">
      <c r="A8696" s="3" t="s">
        <f>=HYPERLINK("https://mp39851918.megaplan.ua/deals/140380/card/","24002")</f>
      </c>
      <c r="B8696" s="3" t="inlineStr">
        <is>
          <t>113-3312464-7573034</t>
        </is>
      </c>
      <c r="C8696" s="3" t="inlineStr">
        <is>
          <t>PartsUnlimited</t>
        </is>
      </c>
    </row>
    <row collapsed="false" customFormat="false" customHeight="false" hidden="false" ht="12.1" outlineLevel="0" r="8697">
      <c r="A8697" s="3" t="s">
        <f>=HYPERLINK("https://mp39851918.megaplan.ua/deals/140391/card/","24004")</f>
      </c>
      <c r="B8697" s="3" t="inlineStr">
        <is>
          <t>111-8349446-5836209</t>
        </is>
      </c>
      <c r="C8697" s="3" t="inlineStr">
        <is>
          <t>RockyMountain</t>
        </is>
      </c>
    </row>
    <row collapsed="false" customFormat="false" customHeight="false" hidden="false" ht="12.1" outlineLevel="0" r="8698">
      <c r="A8698" s="3" t="s">
        <f>=HYPERLINK("https://mp39851918.megaplan.ua/deals/140393/card/","24005")</f>
      </c>
      <c r="B8698" s="3" t="inlineStr">
        <is>
          <t>114-2387327-4768269</t>
        </is>
      </c>
      <c r="C8698" s="3" t="inlineStr">
        <is>
          <t>RockyMountain</t>
        </is>
      </c>
    </row>
    <row collapsed="false" customFormat="false" customHeight="false" hidden="false" ht="12.1" outlineLevel="0" r="8699">
      <c r="A8699" s="3" t="s">
        <f>=HYPERLINK("https://mp39851918.megaplan.ua/deals/140395/card/","24006")</f>
      </c>
      <c r="B8699" s="3" t="inlineStr">
        <is>
          <t>111-4948569-1167400</t>
        </is>
      </c>
      <c r="C8699" s="3" t="inlineStr">
        <is>
          <t>Autodist</t>
        </is>
      </c>
    </row>
    <row collapsed="false" customFormat="false" customHeight="false" hidden="false" ht="12.1" outlineLevel="0" r="8700">
      <c r="A8700" s="3" t="s">
        <f>=HYPERLINK("https://mp39851918.megaplan.ua/deals/140404/card/","24007")</f>
      </c>
      <c r="B8700" s="3" t="inlineStr">
        <is>
          <t>112-3009251-5512257</t>
        </is>
      </c>
      <c r="C8700" s="3" t="inlineStr">
        <is>
          <t>Autodist</t>
        </is>
      </c>
    </row>
    <row collapsed="false" customFormat="false" customHeight="false" hidden="false" ht="12.1" outlineLevel="0" r="8701">
      <c r="A8701" s="3" t="s">
        <f>=HYPERLINK("https://mp39851918.megaplan.ua/deals/140417/card/","24008")</f>
      </c>
      <c r="B8701" s="3" t="inlineStr">
        <is>
          <t>113-4772982-7085061</t>
        </is>
      </c>
      <c r="C8701" s="3" t="inlineStr">
        <is>
          <t>RockyMountain</t>
        </is>
      </c>
    </row>
    <row collapsed="false" customFormat="false" customHeight="false" hidden="false" ht="12.1" outlineLevel="0" r="8702">
      <c r="A8702" s="3" t="s">
        <f>=HYPERLINK("https://mp39851918.megaplan.ua/deals/140418/card/","24009")</f>
      </c>
      <c r="B8702" s="3" t="inlineStr">
        <is>
          <t>114-5652371-4491446</t>
        </is>
      </c>
      <c r="C8702" s="3" t="inlineStr">
        <is>
          <t>Autodist</t>
        </is>
      </c>
    </row>
    <row collapsed="false" customFormat="false" customHeight="false" hidden="false" ht="12.1" outlineLevel="0" r="8703">
      <c r="A8703" s="3" t="s">
        <f>=HYPERLINK("https://mp39851918.megaplan.ua/deals/140427/card/","24011")</f>
      </c>
      <c r="B8703" s="3" t="inlineStr">
        <is>
          <t>113-8743949-6210660</t>
        </is>
      </c>
      <c r="C8703" s="3" t="inlineStr">
        <is>
          <t>Autodist</t>
        </is>
      </c>
    </row>
    <row collapsed="false" customFormat="false" customHeight="false" hidden="false" ht="12.1" outlineLevel="0" r="8704">
      <c r="A8704" s="3" t="s">
        <f>=HYPERLINK("https://mp39851918.megaplan.ua/deals/140429/card/","24012")</f>
      </c>
      <c r="B8704" s="3" t="inlineStr">
        <is>
          <t>113-1879858-4103428</t>
        </is>
      </c>
      <c r="C8704" s="3" t="inlineStr">
        <is>
          <t>RockyMountain</t>
        </is>
      </c>
    </row>
    <row collapsed="false" customFormat="false" customHeight="false" hidden="false" ht="12.1" outlineLevel="0" r="8705">
      <c r="A8705" s="3" t="s">
        <f>=HYPERLINK("https://mp39851918.megaplan.ua/deals/140431/card/","24013")</f>
      </c>
      <c r="B8705" s="3" t="inlineStr">
        <is>
          <t>111-3459657-1557858</t>
        </is>
      </c>
      <c r="C8705" s="3" t="inlineStr">
        <is>
          <t>Autodist</t>
        </is>
      </c>
    </row>
    <row collapsed="false" customFormat="false" customHeight="false" hidden="false" ht="12.1" outlineLevel="0" r="8706">
      <c r="A8706" s="3" t="s">
        <f>=HYPERLINK("https://mp39851918.megaplan.ua/deals/140439/card/","24014")</f>
      </c>
      <c r="B8706" s="3" t="inlineStr">
        <is>
          <t>113-1538213-3101035</t>
        </is>
      </c>
      <c r="C8706" s="3" t="inlineStr">
        <is>
          <t>Autodist</t>
        </is>
      </c>
    </row>
    <row collapsed="false" customFormat="false" customHeight="false" hidden="false" ht="12.1" outlineLevel="0" r="8707">
      <c r="A8707" s="3" t="s">
        <f>=HYPERLINK("https://mp39851918.megaplan.ua/deals/140445/card/","24015")</f>
      </c>
      <c r="B8707" s="3" t="inlineStr">
        <is>
          <t>111-9345623-9777013</t>
        </is>
      </c>
      <c r="C8707" s="3" t="inlineStr">
        <is>
          <t>Autodist</t>
        </is>
      </c>
    </row>
    <row collapsed="false" customFormat="false" customHeight="false" hidden="false" ht="12.1" outlineLevel="0" r="8708">
      <c r="A8708" s="3" t="s">
        <f>=HYPERLINK("https://mp39851918.megaplan.ua/deals/140460/card/","24016")</f>
      </c>
      <c r="B8708" s="3" t="inlineStr">
        <is>
          <t>112-7557336-4320246</t>
        </is>
      </c>
      <c r="C8708" s="3" t="inlineStr">
        <is>
          <t>RockyMountain</t>
        </is>
      </c>
    </row>
    <row collapsed="false" customFormat="false" customHeight="false" hidden="false" ht="12.1" outlineLevel="0" r="8709">
      <c r="A8709" s="3" t="s">
        <f>=HYPERLINK("https://mp39851918.megaplan.ua/deals/140481/card/","24020")</f>
      </c>
      <c r="B8709" s="3" t="inlineStr">
        <is>
          <t>112-1150693-3364231</t>
        </is>
      </c>
      <c r="C8709" s="3" t="inlineStr">
        <is>
          <t>PartsUnlimited</t>
        </is>
      </c>
    </row>
    <row collapsed="false" customFormat="false" customHeight="false" hidden="false" ht="12.1" outlineLevel="0" r="8710">
      <c r="A8710" s="3" t="s">
        <f>=HYPERLINK("https://mp39851918.megaplan.ua/deals/140483/card/","24021")</f>
      </c>
      <c r="B8710" s="3" t="inlineStr">
        <is>
          <t>112-7815684-5932216</t>
        </is>
      </c>
      <c r="C8710" s="3" t="inlineStr">
        <is>
          <t>TuckerRocky</t>
        </is>
      </c>
    </row>
    <row collapsed="false" customFormat="false" customHeight="false" hidden="false" ht="12.1" outlineLevel="0" r="8711">
      <c r="A8711" s="3" t="s">
        <f>=HYPERLINK("https://mp39851918.megaplan.ua/deals/140492/card/","24022")</f>
      </c>
      <c r="B8711" s="3" t="inlineStr">
        <is>
          <t>113-4257497-3608201</t>
        </is>
      </c>
      <c r="C8711" s="3" t="inlineStr">
        <is>
          <t>RockyMountain</t>
        </is>
      </c>
    </row>
    <row collapsed="false" customFormat="false" customHeight="false" hidden="false" ht="12.1" outlineLevel="0" r="8712">
      <c r="A8712" s="3" t="s">
        <f>=HYPERLINK("https://mp39851918.megaplan.ua/deals/140504/card/","24023")</f>
      </c>
      <c r="B8712" s="3" t="inlineStr">
        <is>
          <t>111-2858027-5111434</t>
        </is>
      </c>
      <c r="C8712" s="3" t="inlineStr">
        <is>
          <t>Autodist</t>
        </is>
      </c>
    </row>
    <row collapsed="false" customFormat="false" customHeight="false" hidden="false" ht="12.1" outlineLevel="0" r="8713">
      <c r="A8713" s="3" t="s">
        <f>=HYPERLINK("https://mp39851918.megaplan.ua/deals/140505/card/","24024")</f>
      </c>
      <c r="B8713" s="3" t="inlineStr">
        <is>
          <t>112-4588688-5365800</t>
        </is>
      </c>
      <c r="C8713" s="3" t="inlineStr">
        <is>
          <t>RockyMountain</t>
        </is>
      </c>
    </row>
    <row collapsed="false" customFormat="false" customHeight="false" hidden="false" ht="12.1" outlineLevel="0" r="8714">
      <c r="A8714" s="3" t="s">
        <f>=HYPERLINK("https://mp39851918.megaplan.ua/deals/140517/card/","24025")</f>
      </c>
      <c r="B8714" s="3" t="inlineStr">
        <is>
          <t>114-7239138-7337053</t>
        </is>
      </c>
      <c r="C8714" s="3" t="inlineStr">
        <is>
          <t>Autodist</t>
        </is>
      </c>
    </row>
    <row collapsed="false" customFormat="false" customHeight="false" hidden="false" ht="12.1" outlineLevel="0" r="8715">
      <c r="A8715" s="3" t="s">
        <f>=HYPERLINK("https://mp39851918.megaplan.ua/deals/140522/card/","24027")</f>
      </c>
      <c r="B8715" s="3" t="inlineStr">
        <is>
          <t>113-6637308-1909813</t>
        </is>
      </c>
      <c r="C8715" s="3" t="inlineStr">
        <is>
          <t>TuckerRocky</t>
        </is>
      </c>
    </row>
    <row collapsed="false" customFormat="false" customHeight="false" hidden="false" ht="12.1" outlineLevel="0" r="8716">
      <c r="A8716" s="3" t="s">
        <f>=HYPERLINK("https://mp39851918.megaplan.ua/deals/140524/card/","24028")</f>
      </c>
      <c r="B8716" s="3" t="inlineStr">
        <is>
          <t>114-1661049-0172235</t>
        </is>
      </c>
      <c r="C8716" s="3" t="inlineStr">
        <is>
          <t>Autodist</t>
        </is>
      </c>
    </row>
    <row collapsed="false" customFormat="false" customHeight="false" hidden="false" ht="12.1" outlineLevel="0" r="8717">
      <c r="A8717" s="3" t="s">
        <f>=HYPERLINK("https://mp39851918.megaplan.ua/deals/140525/card/","24029")</f>
      </c>
      <c r="B8717" s="3" t="inlineStr">
        <is>
          <t>111-2928595-2313815</t>
        </is>
      </c>
      <c r="C8717" s="3" t="inlineStr">
        <is>
          <t>Autodist</t>
        </is>
      </c>
    </row>
    <row collapsed="false" customFormat="false" customHeight="false" hidden="false" ht="12.1" outlineLevel="0" r="8718">
      <c r="A8718" s="3" t="s">
        <f>=HYPERLINK("https://mp39851918.megaplan.ua/deals/140530/card/","24030")</f>
      </c>
      <c r="B8718" s="3" t="inlineStr">
        <is>
          <t>112-4292966-0953864</t>
        </is>
      </c>
      <c r="C8718" s="3" t="inlineStr">
        <is>
          <t>RockyMountain</t>
        </is>
      </c>
    </row>
    <row collapsed="false" customFormat="false" customHeight="false" hidden="false" ht="12.1" outlineLevel="0" r="8719">
      <c r="A8719" s="3" t="s">
        <f>=HYPERLINK("https://mp39851918.megaplan.ua/deals/140532/card/","24031")</f>
      </c>
      <c r="B8719" s="3" t="inlineStr">
        <is>
          <t>112-1424266-4277042</t>
        </is>
      </c>
      <c r="C8719" s="3" t="inlineStr">
        <is>
          <t>RockyMountain</t>
        </is>
      </c>
    </row>
    <row collapsed="false" customFormat="false" customHeight="false" hidden="false" ht="12.1" outlineLevel="0" r="8720">
      <c r="A8720" s="3" t="s">
        <f>=HYPERLINK("https://mp39851918.megaplan.ua/deals/140537/card/","24032")</f>
      </c>
      <c r="B8720" s="3" t="inlineStr">
        <is>
          <t>111-3736777-3399453</t>
        </is>
      </c>
      <c r="C8720" s="3" t="inlineStr">
        <is>
          <t>Autodist</t>
        </is>
      </c>
    </row>
    <row collapsed="false" customFormat="false" customHeight="false" hidden="false" ht="12.1" outlineLevel="0" r="8721">
      <c r="A8721" s="3" t="s">
        <f>=HYPERLINK("https://mp39851918.megaplan.ua/deals/140541/card/","24033")</f>
      </c>
      <c r="B8721" s="3" t="inlineStr">
        <is>
          <t>114-7101898-8845053</t>
        </is>
      </c>
      <c r="C8721" s="3" t="inlineStr">
        <is>
          <t>Autodist</t>
        </is>
      </c>
    </row>
    <row collapsed="false" customFormat="false" customHeight="false" hidden="false" ht="12.1" outlineLevel="0" r="8722">
      <c r="A8722" s="3" t="s">
        <f>=HYPERLINK("https://mp39851918.megaplan.ua/deals/140547/card/","24034")</f>
      </c>
      <c r="B8722" s="3" t="inlineStr">
        <is>
          <t>112-7459909-2437012</t>
        </is>
      </c>
      <c r="C8722" s="3" t="inlineStr">
        <is>
          <t>Autodist</t>
        </is>
      </c>
    </row>
    <row collapsed="false" customFormat="false" customHeight="false" hidden="false" ht="12.1" outlineLevel="0" r="8723">
      <c r="A8723" s="3" t="s">
        <f>=HYPERLINK("https://mp39851918.megaplan.ua/deals/140566/card/","24035")</f>
      </c>
      <c r="B8723" s="3" t="inlineStr">
        <is>
          <t>111-3640614-6960205</t>
        </is>
      </c>
      <c r="C8723" s="3" t="inlineStr">
        <is>
          <t>RockyMountain</t>
        </is>
      </c>
    </row>
    <row collapsed="false" customFormat="false" customHeight="false" hidden="false" ht="12.1" outlineLevel="0" r="8724">
      <c r="A8724" s="3" t="s">
        <f>=HYPERLINK("https://mp39851918.megaplan.ua/deals/140575/card/","24037")</f>
      </c>
      <c r="B8724" s="3" t="inlineStr">
        <is>
          <t>113-4719545-5854669</t>
        </is>
      </c>
      <c r="C8724" s="3" t="inlineStr">
        <is>
          <t>RockyMountain</t>
        </is>
      </c>
    </row>
    <row collapsed="false" customFormat="false" customHeight="false" hidden="false" ht="12.1" outlineLevel="0" r="8725">
      <c r="A8725" s="3" t="s">
        <f>=HYPERLINK("https://mp39851918.megaplan.ua/deals/140580/card/","24038")</f>
      </c>
      <c r="B8725" s="3" t="inlineStr">
        <is>
          <t>112-0462192-1303449</t>
        </is>
      </c>
      <c r="C8725" s="3" t="inlineStr">
        <is>
          <t>PartsUnlimited</t>
        </is>
      </c>
    </row>
    <row collapsed="false" customFormat="false" customHeight="false" hidden="false" ht="12.1" outlineLevel="0" r="8726">
      <c r="A8726" s="3" t="s">
        <f>=HYPERLINK("https://mp39851918.megaplan.ua/deals/140590/card/","24039")</f>
      </c>
      <c r="B8726" s="3" t="inlineStr">
        <is>
          <t>114-4054538-1724252</t>
        </is>
      </c>
      <c r="C8726" s="3" t="inlineStr">
        <is>
          <t>RockyMountain</t>
        </is>
      </c>
    </row>
    <row collapsed="false" customFormat="false" customHeight="false" hidden="false" ht="12.1" outlineLevel="0" r="8727">
      <c r="A8727" s="3" t="s">
        <f>=HYPERLINK("https://mp39851918.megaplan.ua/deals/140598/card/","24040")</f>
      </c>
      <c r="B8727" s="3" t="inlineStr">
        <is>
          <t>114-7788333-2553012</t>
        </is>
      </c>
      <c r="C8727" s="3" t="inlineStr">
        <is>
          <t>Autodist</t>
        </is>
      </c>
    </row>
    <row collapsed="false" customFormat="false" customHeight="false" hidden="false" ht="12.1" outlineLevel="0" r="8728">
      <c r="A8728" s="3" t="s">
        <f>=HYPERLINK("https://mp39851918.megaplan.ua/deals/140615/card/","24043")</f>
      </c>
      <c r="B8728" s="3" t="inlineStr">
        <is>
          <t>113-4816480-1435449</t>
        </is>
      </c>
      <c r="C8728" s="3" t="inlineStr">
        <is>
          <t>Autodist</t>
        </is>
      </c>
    </row>
    <row collapsed="false" customFormat="false" customHeight="false" hidden="false" ht="12.1" outlineLevel="0" r="8729">
      <c r="A8729" s="3" t="s">
        <f>=HYPERLINK("https://mp39851918.megaplan.ua/deals/140624/card/","24045")</f>
      </c>
      <c r="B8729" s="3" t="inlineStr">
        <is>
          <t>113-7971626-1573062</t>
        </is>
      </c>
      <c r="C8729" s="3" t="inlineStr">
        <is>
          <t>RockyMountain</t>
        </is>
      </c>
    </row>
    <row collapsed="false" customFormat="false" customHeight="false" hidden="false" ht="12.1" outlineLevel="0" r="8730">
      <c r="A8730" s="3" t="s">
        <f>=HYPERLINK("https://mp39851918.megaplan.ua/deals/140637/card/","24046")</f>
      </c>
      <c r="B8730" s="3" t="inlineStr">
        <is>
          <t>114-9474661-0605050</t>
        </is>
      </c>
      <c r="C8730" s="3" t="inlineStr">
        <is>
          <t>Autodist</t>
        </is>
      </c>
    </row>
    <row collapsed="false" customFormat="false" customHeight="false" hidden="false" ht="12.1" outlineLevel="0" r="8731">
      <c r="A8731" s="3" t="s">
        <f>=HYPERLINK("https://mp39851918.megaplan.ua/deals/140647/card/","24047")</f>
      </c>
      <c r="B8731" s="3" t="inlineStr">
        <is>
          <t>114-7334195-8164228</t>
        </is>
      </c>
      <c r="C8731" s="3" t="inlineStr">
        <is>
          <t>TuckerRocky</t>
        </is>
      </c>
    </row>
    <row collapsed="false" customFormat="false" customHeight="false" hidden="false" ht="12.1" outlineLevel="0" r="8732">
      <c r="A8732" s="3" t="s">
        <f>=HYPERLINK("https://mp39851918.megaplan.ua/deals/140652/card/","24048")</f>
      </c>
      <c r="B8732" s="3" t="inlineStr">
        <is>
          <t>113-4836566-2525819</t>
        </is>
      </c>
      <c r="C8732" s="3" t="inlineStr">
        <is>
          <t>PartsUnlimited</t>
        </is>
      </c>
    </row>
    <row collapsed="false" customFormat="false" customHeight="false" hidden="false" ht="12.1" outlineLevel="0" r="8733">
      <c r="A8733" s="3" t="s">
        <f>=HYPERLINK("https://mp39851918.megaplan.ua/deals/140656/card/","24049")</f>
      </c>
      <c r="B8733" s="3" t="inlineStr">
        <is>
          <t>114-7447006-0361013</t>
        </is>
      </c>
      <c r="C8733" s="3" t="inlineStr">
        <is>
          <t>RockyMountain</t>
        </is>
      </c>
    </row>
    <row collapsed="false" customFormat="false" customHeight="false" hidden="false" ht="12.1" outlineLevel="0" r="8734">
      <c r="A8734" s="3" t="s">
        <f>=HYPERLINK("https://mp39851918.megaplan.ua/deals/140659/card/","24050")</f>
      </c>
      <c r="B8734" s="3" t="inlineStr">
        <is>
          <t>114-2273433-8313858</t>
        </is>
      </c>
      <c r="C8734" s="3" t="inlineStr">
        <is>
          <t>Autodist</t>
        </is>
      </c>
    </row>
    <row collapsed="false" customFormat="false" customHeight="false" hidden="false" ht="12.1" outlineLevel="0" r="8735">
      <c r="A8735" s="3" t="s">
        <f>=HYPERLINK("https://mp39851918.megaplan.ua/deals/140669/card/","24052")</f>
      </c>
      <c r="B8735" s="3" t="inlineStr">
        <is>
          <t>113-0222585-0366618</t>
        </is>
      </c>
      <c r="C8735" s="3" t="inlineStr">
        <is>
          <t>Autodist</t>
        </is>
      </c>
    </row>
    <row collapsed="false" customFormat="false" customHeight="false" hidden="false" ht="12.1" outlineLevel="0" r="8736">
      <c r="A8736" s="3" t="s">
        <f>=HYPERLINK("https://mp39851918.megaplan.ua/deals/140670/card/","24053")</f>
      </c>
      <c r="B8736" s="3" t="inlineStr">
        <is>
          <t>114-3484091-5997866</t>
        </is>
      </c>
      <c r="C8736" s="3" t="inlineStr">
        <is>
          <t>RockyMountain</t>
        </is>
      </c>
    </row>
    <row collapsed="false" customFormat="false" customHeight="false" hidden="false" ht="12.1" outlineLevel="0" r="8737">
      <c r="A8737" s="3" t="s">
        <f>=HYPERLINK("https://mp39851918.megaplan.ua/deals/140671/card/","24054")</f>
      </c>
      <c r="B8737" s="3" t="inlineStr">
        <is>
          <t>114-3832045-9617868</t>
        </is>
      </c>
      <c r="C8737" s="3" t="inlineStr">
        <is>
          <t>PartsUnlimited</t>
        </is>
      </c>
    </row>
    <row collapsed="false" customFormat="false" customHeight="false" hidden="false" ht="12.1" outlineLevel="0" r="8738">
      <c r="A8738" s="3" t="s">
        <f>=HYPERLINK("https://mp39851918.megaplan.ua/deals/140672/card/","24055")</f>
      </c>
      <c r="B8738" s="3" t="inlineStr">
        <is>
          <t>113-1178292-1345015</t>
        </is>
      </c>
      <c r="C8738" s="3" t="inlineStr">
        <is>
          <t>TuckerRocky</t>
        </is>
      </c>
    </row>
    <row collapsed="false" customFormat="false" customHeight="false" hidden="false" ht="12.1" outlineLevel="0" r="8739">
      <c r="A8739" s="3" t="s">
        <f>=HYPERLINK("https://mp39851918.megaplan.ua/deals/140681/card/","24056")</f>
      </c>
      <c r="B8739" s="3" t="inlineStr">
        <is>
          <t>112-1211392-2735415</t>
        </is>
      </c>
      <c r="C8739" s="3" t="inlineStr">
        <is>
          <t>Autodist</t>
        </is>
      </c>
    </row>
    <row collapsed="false" customFormat="false" customHeight="false" hidden="false" ht="12.1" outlineLevel="0" r="8740">
      <c r="A8740" s="3" t="s">
        <f>=HYPERLINK("https://mp39851918.megaplan.ua/deals/140686/card/","24057")</f>
      </c>
      <c r="B8740" s="3" t="inlineStr">
        <is>
          <t>112-7145034-2840216</t>
        </is>
      </c>
      <c r="C8740" s="3" t="inlineStr">
        <is>
          <t>PartsUnlimited</t>
        </is>
      </c>
    </row>
    <row collapsed="false" customFormat="false" customHeight="false" hidden="false" ht="12.1" outlineLevel="0" r="8741">
      <c r="A8741" s="3" t="s">
        <f>=HYPERLINK("https://mp39851918.megaplan.ua/deals/140688/card/","24058")</f>
      </c>
      <c r="B8741" s="3" t="inlineStr">
        <is>
          <t>113-9209025-1536256</t>
        </is>
      </c>
      <c r="C8741" s="3" t="inlineStr">
        <is>
          <t>RockyMountain</t>
        </is>
      </c>
    </row>
    <row collapsed="false" customFormat="false" customHeight="false" hidden="false" ht="12.1" outlineLevel="0" r="8742">
      <c r="A8742" s="3" t="s">
        <f>=HYPERLINK("https://mp39851918.megaplan.ua/deals/140699/card/","24059")</f>
      </c>
      <c r="B8742" s="3" t="inlineStr">
        <is>
          <t>111-1123892-3760241</t>
        </is>
      </c>
      <c r="C8742" s="3" t="inlineStr">
        <is>
          <t>Autodist</t>
        </is>
      </c>
    </row>
    <row collapsed="false" customFormat="false" customHeight="false" hidden="false" ht="12.1" outlineLevel="0" r="8743">
      <c r="A8743" s="3" t="s">
        <f>=HYPERLINK("https://mp39851918.megaplan.ua/deals/140700/card/","24060")</f>
      </c>
      <c r="B8743" s="3" t="inlineStr">
        <is>
          <t>114-3167133-5605018</t>
        </is>
      </c>
      <c r="C8743" s="3" t="inlineStr">
        <is>
          <t>Autodist</t>
        </is>
      </c>
    </row>
    <row collapsed="false" customFormat="false" customHeight="false" hidden="false" ht="12.1" outlineLevel="0" r="8744">
      <c r="A8744" s="3" t="s">
        <f>=HYPERLINK("https://mp39851918.megaplan.ua/deals/140724/card/","24062")</f>
      </c>
      <c r="B8744" s="3" t="inlineStr">
        <is>
          <t>113-7622022-9098629</t>
        </is>
      </c>
      <c r="C8744" s="3" t="inlineStr">
        <is>
          <t>Autodist</t>
        </is>
      </c>
    </row>
    <row collapsed="false" customFormat="false" customHeight="false" hidden="false" ht="12.1" outlineLevel="0" r="8745">
      <c r="A8745" s="3" t="s">
        <f>=HYPERLINK("https://mp39851918.megaplan.ua/deals/140732/card/","24063")</f>
      </c>
      <c r="B8745" s="3" t="inlineStr">
        <is>
          <t>113-2263439-5501010</t>
        </is>
      </c>
      <c r="C8745" s="3" t="inlineStr">
        <is>
          <t>Autodist</t>
        </is>
      </c>
    </row>
    <row collapsed="false" customFormat="false" customHeight="false" hidden="false" ht="12.1" outlineLevel="0" r="8746">
      <c r="A8746" s="3" t="s">
        <f>=HYPERLINK("https://mp39851918.megaplan.ua/deals/140740/card/","24064")</f>
      </c>
      <c r="B8746" s="3" t="inlineStr">
        <is>
          <t>112-5133685-2560227</t>
        </is>
      </c>
      <c r="C8746" s="3" t="inlineStr">
        <is>
          <t>PartsUnlimited</t>
        </is>
      </c>
    </row>
    <row collapsed="false" customFormat="false" customHeight="false" hidden="false" ht="12.1" outlineLevel="0" r="8747">
      <c r="A8747" s="3" t="s">
        <f>=HYPERLINK("https://mp39851918.megaplan.ua/deals/140749/card/","24065")</f>
      </c>
      <c r="B8747" s="3" t="inlineStr">
        <is>
          <t>114-0683276-0538601</t>
        </is>
      </c>
      <c r="C8747" s="3" t="inlineStr">
        <is>
          <t>RockyMountain</t>
        </is>
      </c>
    </row>
    <row collapsed="false" customFormat="false" customHeight="false" hidden="false" ht="12.1" outlineLevel="0" r="8748">
      <c r="A8748" s="3" t="s">
        <f>=HYPERLINK("https://mp39851918.megaplan.ua/deals/140753/card/","24066")</f>
      </c>
      <c r="B8748" s="3" t="inlineStr">
        <is>
          <t>111-2392423-7326657</t>
        </is>
      </c>
      <c r="C8748" s="3" t="inlineStr">
        <is>
          <t>Autodist</t>
        </is>
      </c>
    </row>
    <row collapsed="false" customFormat="false" customHeight="false" hidden="false" ht="12.1" outlineLevel="0" r="8749">
      <c r="A8749" s="3" t="s">
        <f>=HYPERLINK("https://mp39851918.megaplan.ua/deals/140754/card/","24067")</f>
      </c>
      <c r="B8749" s="3" t="inlineStr">
        <is>
          <t>112-1954073-1405869</t>
        </is>
      </c>
      <c r="C8749" s="3" t="inlineStr">
        <is>
          <t>RockyMountain</t>
        </is>
      </c>
    </row>
    <row collapsed="false" customFormat="false" customHeight="false" hidden="false" ht="12.1" outlineLevel="0" r="8750">
      <c r="A8750" s="3" t="s">
        <f>=HYPERLINK("https://mp39851918.megaplan.ua/deals/140755/card/","24068")</f>
      </c>
      <c r="B8750" s="3" t="inlineStr">
        <is>
          <t>114-8108893-5518607</t>
        </is>
      </c>
      <c r="C8750" s="3" t="inlineStr">
        <is>
          <t>Autodist</t>
        </is>
      </c>
    </row>
    <row collapsed="false" customFormat="false" customHeight="false" hidden="false" ht="12.1" outlineLevel="0" r="8751">
      <c r="A8751" s="3" t="s">
        <f>=HYPERLINK("https://mp39851918.megaplan.ua/deals/140757/card/","24069")</f>
      </c>
      <c r="B8751" s="3" t="inlineStr">
        <is>
          <t>114-8697668-4807463</t>
        </is>
      </c>
      <c r="C8751" s="3" t="inlineStr">
        <is>
          <t>Autodist</t>
        </is>
      </c>
    </row>
    <row collapsed="false" customFormat="false" customHeight="false" hidden="false" ht="12.1" outlineLevel="0" r="8752">
      <c r="A8752" s="3" t="s">
        <f>=HYPERLINK("https://mp39851918.megaplan.ua/deals/140762/card/","24070")</f>
      </c>
      <c r="B8752" s="3" t="inlineStr">
        <is>
          <t>114-4155407-2613028</t>
        </is>
      </c>
      <c r="C8752" s="3" t="inlineStr">
        <is>
          <t>RockyMountain</t>
        </is>
      </c>
    </row>
    <row collapsed="false" customFormat="false" customHeight="false" hidden="false" ht="12.1" outlineLevel="0" r="8753">
      <c r="A8753" s="3" t="s">
        <f>=HYPERLINK("https://mp39851918.megaplan.ua/deals/140763/card/","24071")</f>
      </c>
      <c r="B8753" s="3" t="inlineStr">
        <is>
          <t>111-4569216-9123412</t>
        </is>
      </c>
      <c r="C8753" s="3" t="inlineStr">
        <is>
          <t>Autodist</t>
        </is>
      </c>
    </row>
    <row collapsed="false" customFormat="false" customHeight="false" hidden="false" ht="12.1" outlineLevel="0" r="8754">
      <c r="A8754" s="3" t="s">
        <f>=HYPERLINK("https://mp39851918.megaplan.ua/deals/140764/card/","24072")</f>
      </c>
      <c r="B8754" s="3" t="inlineStr">
        <is>
          <t>113-9648648-7419464</t>
        </is>
      </c>
      <c r="C8754" s="3" t="inlineStr">
        <is>
          <t>Autodist</t>
        </is>
      </c>
    </row>
    <row collapsed="false" customFormat="false" customHeight="false" hidden="false" ht="12.1" outlineLevel="0" r="8755">
      <c r="A8755" s="3" t="s">
        <f>=HYPERLINK("https://mp39851918.megaplan.ua/deals/140769/card/","24074")</f>
      </c>
      <c r="B8755" s="3" t="inlineStr">
        <is>
          <t>114-7476601-0000226</t>
        </is>
      </c>
      <c r="C8755" s="3" t="inlineStr">
        <is>
          <t>Autodist</t>
        </is>
      </c>
    </row>
    <row collapsed="false" customFormat="false" customHeight="false" hidden="false" ht="12.1" outlineLevel="0" r="8756">
      <c r="A8756" s="3" t="s">
        <f>=HYPERLINK("https://mp39851918.megaplan.ua/deals/140777/card/","24075")</f>
      </c>
      <c r="B8756" s="3" t="inlineStr">
        <is>
          <t>113-1833396-4325859</t>
        </is>
      </c>
      <c r="C8756" s="3" t="inlineStr">
        <is>
          <t>RockyMountain</t>
        </is>
      </c>
    </row>
    <row collapsed="false" customFormat="false" customHeight="false" hidden="false" ht="12.1" outlineLevel="0" r="8757">
      <c r="A8757" s="3" t="s">
        <f>=HYPERLINK("https://mp39851918.megaplan.ua/deals/140779/card/","24076")</f>
      </c>
      <c r="B8757" s="3" t="inlineStr">
        <is>
          <t>111-7560951-5409841</t>
        </is>
      </c>
      <c r="C8757" s="3" t="inlineStr">
        <is>
          <t>RockyMountain</t>
        </is>
      </c>
    </row>
    <row collapsed="false" customFormat="false" customHeight="false" hidden="false" ht="12.1" outlineLevel="0" r="8758">
      <c r="A8758" s="3" t="s">
        <f>=HYPERLINK("https://mp39851918.megaplan.ua/deals/140810/card/","24080")</f>
      </c>
      <c r="B8758" s="3" t="inlineStr">
        <is>
          <t>112-3609142-0252200</t>
        </is>
      </c>
      <c r="C8758" s="3" t="inlineStr">
        <is>
          <t>PartsUnlimited</t>
        </is>
      </c>
    </row>
    <row collapsed="false" customFormat="false" customHeight="false" hidden="false" ht="12.1" outlineLevel="0" r="8759">
      <c r="A8759" s="3" t="s">
        <f>=HYPERLINK("https://mp39851918.megaplan.ua/deals/140816/card/","24081")</f>
      </c>
      <c r="B8759" s="3" t="inlineStr">
        <is>
          <t>111-1606067-6069814</t>
        </is>
      </c>
      <c r="C8759" s="3" t="inlineStr">
        <is>
          <t>RockyMountain</t>
        </is>
      </c>
    </row>
    <row collapsed="false" customFormat="false" customHeight="false" hidden="false" ht="12.1" outlineLevel="0" r="8760">
      <c r="A8760" s="3" t="s">
        <f>=HYPERLINK("https://mp39851918.megaplan.ua/deals/140824/card/","24082")</f>
      </c>
      <c r="B8760" s="3" t="inlineStr">
        <is>
          <t>112-7257581-8191454</t>
        </is>
      </c>
      <c r="C8760" s="3" t="inlineStr">
        <is>
          <t>RockyMountain</t>
        </is>
      </c>
    </row>
    <row collapsed="false" customFormat="false" customHeight="false" hidden="false" ht="12.1" outlineLevel="0" r="8761">
      <c r="A8761" s="3" t="s">
        <f>=HYPERLINK("https://mp39851918.megaplan.ua/deals/140842/card/","24085")</f>
      </c>
      <c r="B8761" s="3" t="inlineStr">
        <is>
          <t>113-1570901-8226634</t>
        </is>
      </c>
      <c r="C8761" s="3" t="inlineStr">
        <is>
          <t>RockyMountain</t>
        </is>
      </c>
    </row>
    <row collapsed="false" customFormat="false" customHeight="false" hidden="false" ht="12.1" outlineLevel="0" r="8762">
      <c r="A8762" s="3" t="s">
        <f>=HYPERLINK("https://mp39851918.megaplan.ua/deals/140851/card/","24086")</f>
      </c>
      <c r="B8762" s="3" t="inlineStr">
        <is>
          <t>112-9940635-2022635</t>
        </is>
      </c>
      <c r="C8762" s="3" t="inlineStr">
        <is>
          <t>Autodist</t>
        </is>
      </c>
    </row>
    <row collapsed="false" customFormat="false" customHeight="false" hidden="false" ht="12.1" outlineLevel="0" r="8763">
      <c r="A8763" s="3" t="s">
        <f>=HYPERLINK("https://mp39851918.megaplan.ua/deals/140856/card/","24087")</f>
      </c>
      <c r="B8763" s="3" t="inlineStr">
        <is>
          <t>113-8533864-8717846</t>
        </is>
      </c>
      <c r="C8763" s="3" t="inlineStr">
        <is>
          <t>RockyMountain</t>
        </is>
      </c>
    </row>
    <row collapsed="false" customFormat="false" customHeight="false" hidden="false" ht="12.1" outlineLevel="0" r="8764">
      <c r="A8764" s="3" t="s">
        <f>=HYPERLINK("https://mp39851918.megaplan.ua/deals/140864/card/","24089")</f>
      </c>
      <c r="B8764" s="3" t="inlineStr">
        <is>
          <t>113-5852878-6974631</t>
        </is>
      </c>
      <c r="C8764" s="3" t="inlineStr">
        <is>
          <t>RockyMountain</t>
        </is>
      </c>
    </row>
    <row collapsed="false" customFormat="false" customHeight="false" hidden="false" ht="12.1" outlineLevel="0" r="8765">
      <c r="A8765" s="3" t="s">
        <f>=HYPERLINK("https://mp39851918.megaplan.ua/deals/140868/card/","24090")</f>
      </c>
      <c r="B8765" s="3" t="inlineStr">
        <is>
          <t>112-5607078-0674618</t>
        </is>
      </c>
      <c r="C8765" s="3" t="inlineStr">
        <is>
          <t>Autodist</t>
        </is>
      </c>
    </row>
    <row collapsed="false" customFormat="false" customHeight="false" hidden="false" ht="12.1" outlineLevel="0" r="8766">
      <c r="A8766" s="3" t="s">
        <f>=HYPERLINK("https://mp39851918.megaplan.ua/deals/140873/card/","24091")</f>
      </c>
      <c r="B8766" s="3" t="inlineStr">
        <is>
          <t>112-4201587-4633013</t>
        </is>
      </c>
      <c r="C8766" s="3" t="inlineStr">
        <is>
          <t>RockyMountain</t>
        </is>
      </c>
    </row>
    <row collapsed="false" customFormat="false" customHeight="false" hidden="false" ht="12.1" outlineLevel="0" r="8767">
      <c r="A8767" s="3" t="s">
        <f>=HYPERLINK("https://mp39851918.megaplan.ua/deals/140881/card/","24092")</f>
      </c>
      <c r="B8767" s="3" t="inlineStr">
        <is>
          <t>113-8846203-6092200</t>
        </is>
      </c>
      <c r="C8767" s="3" t="inlineStr">
        <is>
          <t>RockyMountain</t>
        </is>
      </c>
    </row>
    <row collapsed="false" customFormat="false" customHeight="false" hidden="false" ht="12.1" outlineLevel="0" r="8768">
      <c r="A8768" s="3" t="s">
        <f>=HYPERLINK("https://mp39851918.megaplan.ua/deals/140882/card/","24093")</f>
      </c>
      <c r="B8768" s="3" t="inlineStr">
        <is>
          <t>114-6070649-9490631</t>
        </is>
      </c>
      <c r="C8768" s="3" t="inlineStr">
        <is>
          <t>RockyMountain</t>
        </is>
      </c>
    </row>
    <row collapsed="false" customFormat="false" customHeight="false" hidden="false" ht="12.1" outlineLevel="0" r="8769">
      <c r="A8769" s="3" t="s">
        <f>=HYPERLINK("https://mp39851918.megaplan.ua/deals/140888/card/","24094")</f>
      </c>
      <c r="B8769" s="3" t="inlineStr">
        <is>
          <t>114-5013233-2630616</t>
        </is>
      </c>
      <c r="C8769" s="3" t="inlineStr">
        <is>
          <t>PartsUnlimited</t>
        </is>
      </c>
    </row>
    <row collapsed="false" customFormat="false" customHeight="false" hidden="false" ht="12.1" outlineLevel="0" r="8770">
      <c r="A8770" s="3" t="s">
        <f>=HYPERLINK("https://mp39851918.megaplan.ua/deals/140891/card/","24095")</f>
      </c>
      <c r="B8770" s="3" t="inlineStr">
        <is>
          <t>113-3560703-1555455</t>
        </is>
      </c>
      <c r="C8770" s="3" t="inlineStr">
        <is>
          <t>RockyMountain</t>
        </is>
      </c>
    </row>
    <row collapsed="false" customFormat="false" customHeight="false" hidden="false" ht="12.1" outlineLevel="0" r="8771">
      <c r="A8771" s="3" t="s">
        <f>=HYPERLINK("https://mp39851918.megaplan.ua/deals/140904/card/","24096")</f>
      </c>
      <c r="B8771" s="3" t="inlineStr">
        <is>
          <t>113-5223616-0039447</t>
        </is>
      </c>
      <c r="C8771" s="3" t="inlineStr">
        <is>
          <t>Autodist</t>
        </is>
      </c>
    </row>
    <row collapsed="false" customFormat="false" customHeight="false" hidden="false" ht="12.1" outlineLevel="0" r="8772">
      <c r="A8772" s="3" t="s">
        <f>=HYPERLINK("https://mp39851918.megaplan.ua/deals/140907/card/","24097")</f>
      </c>
      <c r="B8772" s="3" t="inlineStr">
        <is>
          <t>114-1960663-1986608</t>
        </is>
      </c>
      <c r="C8772" s="3" t="inlineStr">
        <is>
          <t>RockyMountain</t>
        </is>
      </c>
    </row>
    <row collapsed="false" customFormat="false" customHeight="false" hidden="false" ht="12.1" outlineLevel="0" r="8773">
      <c r="A8773" s="3" t="s">
        <f>=HYPERLINK("https://mp39851918.megaplan.ua/deals/140908/card/","24098")</f>
      </c>
      <c r="B8773" s="3" t="inlineStr">
        <is>
          <t>111-0774554-2073810</t>
        </is>
      </c>
      <c r="C8773" s="3" t="inlineStr">
        <is>
          <t>RockyMountain</t>
        </is>
      </c>
    </row>
    <row collapsed="false" customFormat="false" customHeight="false" hidden="false" ht="12.1" outlineLevel="0" r="8774">
      <c r="A8774" s="3" t="s">
        <f>=HYPERLINK("https://mp39851918.megaplan.ua/deals/140909/card/","24099")</f>
      </c>
      <c r="B8774" s="3" t="inlineStr">
        <is>
          <t>114-1019858-2778660</t>
        </is>
      </c>
      <c r="C8774" s="3" t="inlineStr">
        <is>
          <t>RockyMountain</t>
        </is>
      </c>
    </row>
    <row collapsed="false" customFormat="false" customHeight="false" hidden="false" ht="12.1" outlineLevel="0" r="8775">
      <c r="A8775" s="3" t="s">
        <f>=HYPERLINK("https://mp39851918.megaplan.ua/deals/140911/card/","24100")</f>
      </c>
      <c r="B8775" s="3" t="inlineStr">
        <is>
          <t>114-4086068-9025030</t>
        </is>
      </c>
      <c r="C8775" s="3" t="inlineStr">
        <is>
          <t>RockyMountain</t>
        </is>
      </c>
    </row>
    <row collapsed="false" customFormat="false" customHeight="false" hidden="false" ht="12.1" outlineLevel="0" r="8776">
      <c r="A8776" s="3" t="s">
        <f>=HYPERLINK("https://mp39851918.megaplan.ua/deals/140921/card/","24101")</f>
      </c>
      <c r="B8776" s="3" t="inlineStr">
        <is>
          <t>111-3997206-5581060</t>
        </is>
      </c>
      <c r="C8776" s="3" t="inlineStr">
        <is>
          <t>Autodist</t>
        </is>
      </c>
    </row>
    <row collapsed="false" customFormat="false" customHeight="false" hidden="false" ht="12.1" outlineLevel="0" r="8777">
      <c r="A8777" s="3" t="s">
        <f>=HYPERLINK("https://mp39851918.megaplan.ua/deals/140924/card/","24102")</f>
      </c>
      <c r="B8777" s="3" t="inlineStr">
        <is>
          <t>112-8622230-1450640</t>
        </is>
      </c>
      <c r="C8777" s="3" t="inlineStr">
        <is>
          <t>RockyMountain</t>
        </is>
      </c>
    </row>
    <row collapsed="false" customFormat="false" customHeight="false" hidden="false" ht="12.1" outlineLevel="0" r="8778">
      <c r="A8778" s="3" t="s">
        <f>=HYPERLINK("https://mp39851918.megaplan.ua/deals/140926/card/","24103")</f>
      </c>
      <c r="B8778" s="3" t="inlineStr">
        <is>
          <t>111-9200381-3750629</t>
        </is>
      </c>
      <c r="C8778" s="3" t="inlineStr">
        <is>
          <t>RockyMountain</t>
        </is>
      </c>
    </row>
    <row collapsed="false" customFormat="false" customHeight="false" hidden="false" ht="12.1" outlineLevel="0" r="8779">
      <c r="A8779" s="3" t="s">
        <f>=HYPERLINK("https://mp39851918.megaplan.ua/deals/140931/card/","24104")</f>
      </c>
      <c r="B8779" s="3" t="inlineStr">
        <is>
          <t>114-1804069-4895420</t>
        </is>
      </c>
      <c r="C8779" s="3" t="inlineStr">
        <is>
          <t>RockyMountain</t>
        </is>
      </c>
    </row>
    <row collapsed="false" customFormat="false" customHeight="false" hidden="false" ht="12.1" outlineLevel="0" r="8780">
      <c r="A8780" s="3" t="s">
        <f>=HYPERLINK("https://mp39851918.megaplan.ua/deals/140936/card/","24105")</f>
      </c>
      <c r="B8780" s="3" t="inlineStr">
        <is>
          <t>111-6922310-0824211</t>
        </is>
      </c>
      <c r="C8780" s="3" t="inlineStr">
        <is>
          <t>RockyMountain</t>
        </is>
      </c>
    </row>
    <row collapsed="false" customFormat="false" customHeight="false" hidden="false" ht="12.1" outlineLevel="0" r="8781">
      <c r="A8781" s="3" t="s">
        <f>=HYPERLINK("https://mp39851918.megaplan.ua/deals/140938/card/","24106")</f>
      </c>
      <c r="B8781" s="3" t="inlineStr">
        <is>
          <t>113-2406089-7780231</t>
        </is>
      </c>
      <c r="C8781" s="3" t="inlineStr">
        <is>
          <t>RockyMountain</t>
        </is>
      </c>
    </row>
    <row collapsed="false" customFormat="false" customHeight="false" hidden="false" ht="12.1" outlineLevel="0" r="8782">
      <c r="A8782" s="3" t="s">
        <f>=HYPERLINK("https://mp39851918.megaplan.ua/deals/140946/card/","24107")</f>
      </c>
      <c r="B8782" s="3" t="inlineStr">
        <is>
          <t>111-2157822-1354667</t>
        </is>
      </c>
      <c r="C8782" s="3" t="inlineStr">
        <is>
          <t>Autodist</t>
        </is>
      </c>
    </row>
    <row collapsed="false" customFormat="false" customHeight="false" hidden="false" ht="12.1" outlineLevel="0" r="8783">
      <c r="A8783" s="3" t="s">
        <f>=HYPERLINK("https://mp39851918.megaplan.ua/deals/140947/card/","24108")</f>
      </c>
      <c r="B8783" s="3" t="inlineStr">
        <is>
          <t>112-6068896-5622634</t>
        </is>
      </c>
      <c r="C8783" s="3" t="inlineStr">
        <is>
          <t>RockyMountain</t>
        </is>
      </c>
    </row>
    <row collapsed="false" customFormat="false" customHeight="false" hidden="false" ht="12.1" outlineLevel="0" r="8784">
      <c r="A8784" s="3" t="s">
        <f>=HYPERLINK("https://mp39851918.megaplan.ua/deals/140948/card/","24109")</f>
      </c>
      <c r="B8784" s="3" t="inlineStr">
        <is>
          <t>111-9242766-2081022</t>
        </is>
      </c>
      <c r="C8784" s="3" t="inlineStr">
        <is>
          <t>Autodist</t>
        </is>
      </c>
    </row>
    <row collapsed="false" customFormat="false" customHeight="false" hidden="false" ht="12.1" outlineLevel="0" r="8785">
      <c r="A8785" s="3" t="s">
        <f>=HYPERLINK("https://mp39851918.megaplan.ua/deals/140950/card/","24110")</f>
      </c>
      <c r="B8785" s="3" t="inlineStr">
        <is>
          <t>112-1391925-1201852</t>
        </is>
      </c>
      <c r="C8785" s="3" t="inlineStr">
        <is>
          <t>RockyMountain</t>
        </is>
      </c>
    </row>
    <row collapsed="false" customFormat="false" customHeight="false" hidden="false" ht="12.1" outlineLevel="0" r="8786">
      <c r="A8786" s="3" t="s">
        <f>=HYPERLINK("https://mp39851918.megaplan.ua/deals/140952/card/","24111")</f>
      </c>
      <c r="B8786" s="3" t="inlineStr">
        <is>
          <t>112-1191884-0163435</t>
        </is>
      </c>
      <c r="C8786" s="3" t="inlineStr">
        <is>
          <t>Autodist</t>
        </is>
      </c>
    </row>
    <row collapsed="false" customFormat="false" customHeight="false" hidden="false" ht="12.1" outlineLevel="0" r="8787">
      <c r="A8787" s="3" t="s">
        <f>=HYPERLINK("https://mp39851918.megaplan.ua/deals/140974/card/","24113")</f>
      </c>
      <c r="B8787" s="3" t="inlineStr">
        <is>
          <t>113-5135974-7909053</t>
        </is>
      </c>
      <c r="C8787" s="3" t="inlineStr">
        <is>
          <t>RockyMountain</t>
        </is>
      </c>
    </row>
    <row collapsed="false" customFormat="false" customHeight="false" hidden="false" ht="12.1" outlineLevel="0" r="8788">
      <c r="A8788" s="3" t="s">
        <f>=HYPERLINK("https://mp39851918.megaplan.ua/deals/140983/card/","24114")</f>
      </c>
      <c r="B8788" s="3" t="inlineStr">
        <is>
          <t>111-3943458-1903404</t>
        </is>
      </c>
      <c r="C8788" s="3" t="inlineStr">
        <is>
          <t>RockyMountain</t>
        </is>
      </c>
    </row>
    <row collapsed="false" customFormat="false" customHeight="false" hidden="false" ht="12.1" outlineLevel="0" r="8789">
      <c r="A8789" s="3" t="s">
        <f>=HYPERLINK("https://mp39851918.megaplan.ua/deals/140986/card/","24115")</f>
      </c>
      <c r="B8789" s="3" t="inlineStr">
        <is>
          <t>114-3724440-6097019</t>
        </is>
      </c>
      <c r="C8789" s="3" t="inlineStr">
        <is>
          <t>Autodist</t>
        </is>
      </c>
    </row>
    <row collapsed="false" customFormat="false" customHeight="false" hidden="false" ht="12.1" outlineLevel="0" r="8790">
      <c r="A8790" s="3" t="s">
        <f>=HYPERLINK("https://mp39851918.megaplan.ua/deals/140987/card/","24116")</f>
      </c>
      <c r="B8790" s="3" t="inlineStr">
        <is>
          <t>113-0555673-2453006</t>
        </is>
      </c>
      <c r="C8790" s="3" t="inlineStr">
        <is>
          <t>RockyMountain</t>
        </is>
      </c>
    </row>
    <row collapsed="false" customFormat="false" customHeight="false" hidden="false" ht="12.1" outlineLevel="0" r="8791">
      <c r="A8791" s="3" t="s">
        <f>=HYPERLINK("https://mp39851918.megaplan.ua/deals/140988/card/","24117")</f>
      </c>
      <c r="B8791" s="3" t="inlineStr">
        <is>
          <t>113-1766969-4823458</t>
        </is>
      </c>
      <c r="C8791" s="3" t="inlineStr">
        <is>
          <t>RockyMountain</t>
        </is>
      </c>
    </row>
    <row collapsed="false" customFormat="false" customHeight="false" hidden="false" ht="12.1" outlineLevel="0" r="8792">
      <c r="A8792" s="3" t="s">
        <f>=HYPERLINK("https://mp39851918.megaplan.ua/deals/140990/card/","24118")</f>
      </c>
      <c r="B8792" s="3" t="inlineStr">
        <is>
          <t>112-7531040-1969862</t>
        </is>
      </c>
      <c r="C8792" s="3" t="inlineStr">
        <is>
          <t>RockyMountain</t>
        </is>
      </c>
    </row>
    <row collapsed="false" customFormat="false" customHeight="false" hidden="false" ht="12.1" outlineLevel="0" r="8793">
      <c r="A8793" s="3" t="s">
        <f>=HYPERLINK("https://mp39851918.megaplan.ua/deals/140991/card/","24119")</f>
      </c>
      <c r="B8793" s="3" t="inlineStr">
        <is>
          <t>113-3207487-8277025</t>
        </is>
      </c>
      <c r="C8793" s="3" t="inlineStr">
        <is>
          <t>TuckerRocky</t>
        </is>
      </c>
    </row>
    <row collapsed="false" customFormat="false" customHeight="false" hidden="false" ht="12.1" outlineLevel="0" r="8794">
      <c r="A8794" s="3" t="s">
        <f>=HYPERLINK("https://mp39851918.megaplan.ua/deals/140994/card/","24120")</f>
      </c>
      <c r="B8794" s="3" t="inlineStr">
        <is>
          <t>113-1454229-6032235</t>
        </is>
      </c>
      <c r="C8794" s="3" t="inlineStr">
        <is>
          <t>RockyMountain</t>
        </is>
      </c>
    </row>
    <row collapsed="false" customFormat="false" customHeight="false" hidden="false" ht="12.1" outlineLevel="0" r="8795">
      <c r="A8795" s="3" t="s">
        <f>=HYPERLINK("https://mp39851918.megaplan.ua/deals/140999/card/","24121")</f>
      </c>
      <c r="B8795" s="3" t="inlineStr">
        <is>
          <t>114-2742367-3149867</t>
        </is>
      </c>
      <c r="C8795" s="3" t="inlineStr">
        <is>
          <t>RockyMountain</t>
        </is>
      </c>
    </row>
    <row collapsed="false" customFormat="false" customHeight="false" hidden="false" ht="12.1" outlineLevel="0" r="8796">
      <c r="A8796" s="3" t="s">
        <f>=HYPERLINK("https://mp39851918.megaplan.ua/deals/141008/card/","24122")</f>
      </c>
      <c r="B8796" s="3" t="inlineStr">
        <is>
          <t>113-1337675-0919414</t>
        </is>
      </c>
      <c r="C8796" s="3" t="inlineStr">
        <is>
          <t>RockyMountain</t>
        </is>
      </c>
    </row>
    <row collapsed="false" customFormat="false" customHeight="false" hidden="false" ht="12.1" outlineLevel="0" r="8797">
      <c r="A8797" s="3" t="s">
        <f>=HYPERLINK("https://mp39851918.megaplan.ua/deals/141010/card/","24123")</f>
      </c>
      <c r="B8797" s="3" t="inlineStr">
        <is>
          <t>113-7874340-8314634</t>
        </is>
      </c>
      <c r="C8797" s="3" t="inlineStr">
        <is>
          <t>RockyMountain</t>
        </is>
      </c>
    </row>
    <row collapsed="false" customFormat="false" customHeight="false" hidden="false" ht="12.1" outlineLevel="0" r="8798">
      <c r="A8798" s="3" t="s">
        <f>=HYPERLINK("https://mp39851918.megaplan.ua/deals/141013/card/","24124")</f>
      </c>
      <c r="B8798" s="3" t="inlineStr">
        <is>
          <t>114-1492933-3469807</t>
        </is>
      </c>
      <c r="C8798" s="3" t="inlineStr">
        <is>
          <t>Autodist</t>
        </is>
      </c>
    </row>
    <row collapsed="false" customFormat="false" customHeight="false" hidden="false" ht="12.1" outlineLevel="0" r="8799">
      <c r="A8799" s="3" t="s">
        <f>=HYPERLINK("https://mp39851918.megaplan.ua/deals/141017/card/","24125")</f>
      </c>
      <c r="B8799" s="3" t="inlineStr">
        <is>
          <t>113-7083286-4041857</t>
        </is>
      </c>
      <c r="C8799" s="3" t="inlineStr">
        <is>
          <t>RockyMountain</t>
        </is>
      </c>
    </row>
    <row collapsed="false" customFormat="false" customHeight="false" hidden="false" ht="12.1" outlineLevel="0" r="8800">
      <c r="A8800" s="3" t="s">
        <f>=HYPERLINK("https://mp39851918.megaplan.ua/deals/141026/card/","24126")</f>
      </c>
      <c r="B8800" s="3" t="inlineStr">
        <is>
          <t>114-2500333-3670669</t>
        </is>
      </c>
      <c r="C8800" s="3" t="inlineStr">
        <is>
          <t>Autodist</t>
        </is>
      </c>
    </row>
    <row collapsed="false" customFormat="false" customHeight="false" hidden="false" ht="12.1" outlineLevel="0" r="8801">
      <c r="A8801" s="3" t="s">
        <f>=HYPERLINK("https://mp39851918.megaplan.ua/deals/141027/card/","24127")</f>
      </c>
      <c r="B8801" s="3" t="inlineStr">
        <is>
          <t>114-9398461-0003400</t>
        </is>
      </c>
      <c r="C8801" s="3" t="inlineStr">
        <is>
          <t>RockyMountain</t>
        </is>
      </c>
    </row>
    <row collapsed="false" customFormat="false" customHeight="false" hidden="false" ht="12.1" outlineLevel="0" r="8802">
      <c r="A8802" s="3" t="s">
        <f>=HYPERLINK("https://mp39851918.megaplan.ua/deals/141043/card/","24128")</f>
      </c>
      <c r="B8802" s="3" t="inlineStr">
        <is>
          <t>111-2370879-6602610</t>
        </is>
      </c>
      <c r="C8802" s="3" t="inlineStr">
        <is>
          <t>RockyMountain</t>
        </is>
      </c>
    </row>
    <row collapsed="false" customFormat="false" customHeight="false" hidden="false" ht="12.1" outlineLevel="0" r="8803">
      <c r="A8803" s="3" t="s">
        <f>=HYPERLINK("https://mp39851918.megaplan.ua/deals/141044/card/","24129")</f>
      </c>
      <c r="B8803" s="3" t="inlineStr">
        <is>
          <t>111-3253624-6303426</t>
        </is>
      </c>
      <c r="C8803" s="3" t="inlineStr">
        <is>
          <t>RockyMountain</t>
        </is>
      </c>
    </row>
    <row collapsed="false" customFormat="false" customHeight="false" hidden="false" ht="12.1" outlineLevel="0" r="8804">
      <c r="A8804" s="3" t="s">
        <f>=HYPERLINK("https://mp39851918.megaplan.ua/deals/141046/card/","24130")</f>
      </c>
      <c r="B8804" s="3" t="inlineStr">
        <is>
          <t>112-9634665-1789846</t>
        </is>
      </c>
      <c r="C8804" s="3" t="inlineStr">
        <is>
          <t>RockyMountain</t>
        </is>
      </c>
    </row>
    <row collapsed="false" customFormat="false" customHeight="false" hidden="false" ht="12.1" outlineLevel="0" r="8805">
      <c r="A8805" s="3" t="s">
        <f>=HYPERLINK("https://mp39851918.megaplan.ua/deals/141047/card/","24131")</f>
      </c>
      <c r="B8805" s="3" t="inlineStr">
        <is>
          <t>114-0942173-2449033</t>
        </is>
      </c>
      <c r="C8805" s="3" t="inlineStr">
        <is>
          <t>RockyMountain</t>
        </is>
      </c>
    </row>
    <row collapsed="false" customFormat="false" customHeight="false" hidden="false" ht="12.1" outlineLevel="0" r="8806">
      <c r="A8806" s="3" t="s">
        <f>=HYPERLINK("https://mp39851918.megaplan.ua/deals/141049/card/","24132")</f>
      </c>
      <c r="B8806" s="3" t="inlineStr">
        <is>
          <t>114-8725135-4643460</t>
        </is>
      </c>
      <c r="C8806" s="3" t="inlineStr">
        <is>
          <t>RockyMountain</t>
        </is>
      </c>
    </row>
    <row collapsed="false" customFormat="false" customHeight="false" hidden="false" ht="12.1" outlineLevel="0" r="8807">
      <c r="A8807" s="3" t="s">
        <f>=HYPERLINK("https://mp39851918.megaplan.ua/deals/141053/card/","24133")</f>
      </c>
      <c r="B8807" s="3" t="inlineStr">
        <is>
          <t>114-4201714-0597816</t>
        </is>
      </c>
      <c r="C8807" s="3" t="inlineStr">
        <is>
          <t>RockyMountain</t>
        </is>
      </c>
    </row>
    <row collapsed="false" customFormat="false" customHeight="false" hidden="false" ht="12.1" outlineLevel="0" r="8808">
      <c r="A8808" s="3" t="s">
        <f>=HYPERLINK("https://mp39851918.megaplan.ua/deals/141056/card/","24134")</f>
      </c>
      <c r="B8808" s="3" t="inlineStr">
        <is>
          <t>112-9321718-3680216</t>
        </is>
      </c>
      <c r="C8808" s="3" t="inlineStr">
        <is>
          <t>RockyMountain</t>
        </is>
      </c>
    </row>
    <row collapsed="false" customFormat="false" customHeight="false" hidden="false" ht="12.1" outlineLevel="0" r="8809">
      <c r="A8809" s="3" t="s">
        <f>=HYPERLINK("https://mp39851918.megaplan.ua/deals/141060/card/","24135")</f>
      </c>
      <c r="B8809" s="3" t="inlineStr">
        <is>
          <t>112-6243351-2205800</t>
        </is>
      </c>
      <c r="C8809" s="3" t="inlineStr">
        <is>
          <t>PartsUnlimited</t>
        </is>
      </c>
    </row>
    <row collapsed="false" customFormat="false" customHeight="false" hidden="false" ht="12.1" outlineLevel="0" r="8810">
      <c r="A8810" s="3" t="s">
        <f>=HYPERLINK("https://mp39851918.megaplan.ua/deals/141061/card/","24136")</f>
      </c>
      <c r="B8810" s="3" t="inlineStr">
        <is>
          <t>114-7215139-4197807</t>
        </is>
      </c>
      <c r="C8810" s="3" t="inlineStr">
        <is>
          <t>TuckerRocky</t>
        </is>
      </c>
    </row>
    <row collapsed="false" customFormat="false" customHeight="false" hidden="false" ht="12.1" outlineLevel="0" r="8811">
      <c r="A8811" s="3" t="s">
        <f>=HYPERLINK("https://mp39851918.megaplan.ua/deals/141064/card/","24137")</f>
      </c>
      <c r="B8811" s="3" t="inlineStr">
        <is>
          <t>111-1997563-3047410</t>
        </is>
      </c>
      <c r="C8811" s="3" t="inlineStr">
        <is>
          <t>RockyMountain</t>
        </is>
      </c>
    </row>
    <row collapsed="false" customFormat="false" customHeight="false" hidden="false" ht="12.1" outlineLevel="0" r="8812">
      <c r="A8812" s="3" t="s">
        <f>=HYPERLINK("https://mp39851918.megaplan.ua/deals/141077/card/","24138")</f>
      </c>
      <c r="B8812" s="3" t="inlineStr">
        <is>
          <t>114-0579601-8036264</t>
        </is>
      </c>
      <c r="C8812" s="3" t="inlineStr">
        <is>
          <t>RockyMountain</t>
        </is>
      </c>
    </row>
    <row collapsed="false" customFormat="false" customHeight="false" hidden="false" ht="12.1" outlineLevel="0" r="8813">
      <c r="A8813" s="3" t="s">
        <f>=HYPERLINK("https://mp39851918.megaplan.ua/deals/141078/card/","24139")</f>
      </c>
      <c r="B8813" s="3" t="inlineStr">
        <is>
          <t>113-5028020-5170616</t>
        </is>
      </c>
      <c r="C8813" s="3" t="inlineStr">
        <is>
          <t>Autodist</t>
        </is>
      </c>
    </row>
    <row collapsed="false" customFormat="false" customHeight="false" hidden="false" ht="12.1" outlineLevel="0" r="8814">
      <c r="A8814" s="3" t="s">
        <f>=HYPERLINK("https://mp39851918.megaplan.ua/deals/141080/card/","24140")</f>
      </c>
      <c r="B8814" s="3" t="inlineStr">
        <is>
          <t>114-6516633-5705002</t>
        </is>
      </c>
      <c r="C8814" s="3" t="inlineStr">
        <is>
          <t>RockyMountain</t>
        </is>
      </c>
    </row>
    <row collapsed="false" customFormat="false" customHeight="false" hidden="false" ht="12.1" outlineLevel="0" r="8815">
      <c r="A8815" s="3" t="s">
        <f>=HYPERLINK("https://mp39851918.megaplan.ua/deals/141089/card/","24141")</f>
      </c>
      <c r="B8815" s="3" t="inlineStr">
        <is>
          <t>114-2234469-7500268</t>
        </is>
      </c>
      <c r="C8815" s="3" t="inlineStr">
        <is>
          <t>RockyMountain</t>
        </is>
      </c>
    </row>
    <row collapsed="false" customFormat="false" customHeight="false" hidden="false" ht="12.1" outlineLevel="0" r="8816">
      <c r="A8816" s="3" t="s">
        <f>=HYPERLINK("https://mp39851918.megaplan.ua/deals/141090/card/","24142")</f>
      </c>
      <c r="B8816" s="3" t="inlineStr">
        <is>
          <t>113-5334143-1477851</t>
        </is>
      </c>
      <c r="C8816" s="3" t="inlineStr">
        <is>
          <t>Autodist</t>
        </is>
      </c>
    </row>
    <row collapsed="false" customFormat="false" customHeight="false" hidden="false" ht="12.1" outlineLevel="0" r="8817">
      <c r="A8817" s="3" t="s">
        <f>=HYPERLINK("https://mp39851918.megaplan.ua/deals/141097/card/","24143")</f>
      </c>
      <c r="B8817" s="3" t="inlineStr">
        <is>
          <t>114-1660191-4867443</t>
        </is>
      </c>
      <c r="C8817" s="3" t="inlineStr">
        <is>
          <t>RockyMountain</t>
        </is>
      </c>
    </row>
    <row collapsed="false" customFormat="false" customHeight="false" hidden="false" ht="12.1" outlineLevel="0" r="8818">
      <c r="A8818" s="3" t="s">
        <f>=HYPERLINK("https://mp39851918.megaplan.ua/deals/141108/card/","24144")</f>
      </c>
      <c r="B8818" s="3" t="inlineStr">
        <is>
          <t>114-9993517-8064207</t>
        </is>
      </c>
      <c r="C8818" s="3" t="inlineStr">
        <is>
          <t>TuckerRocky</t>
        </is>
      </c>
    </row>
    <row collapsed="false" customFormat="false" customHeight="false" hidden="false" ht="12.1" outlineLevel="0" r="8819">
      <c r="A8819" s="3" t="s">
        <f>=HYPERLINK("https://mp39851918.megaplan.ua/deals/141109/card/","24145")</f>
      </c>
      <c r="B8819" s="3" t="inlineStr">
        <is>
          <t>113-0066176-9998617</t>
        </is>
      </c>
      <c r="C8819" s="3" t="inlineStr">
        <is>
          <t>RockyMountain</t>
        </is>
      </c>
    </row>
    <row collapsed="false" customFormat="false" customHeight="false" hidden="false" ht="12.1" outlineLevel="0" r="8820">
      <c r="A8820" s="3" t="s">
        <f>=HYPERLINK("https://mp39851918.megaplan.ua/deals/141120/card/","24146")</f>
      </c>
      <c r="B8820" s="3" t="inlineStr">
        <is>
          <t>111-3068335-2916223</t>
        </is>
      </c>
      <c r="C8820" s="3" t="inlineStr">
        <is>
          <t>Autodist</t>
        </is>
      </c>
    </row>
    <row collapsed="false" customFormat="false" customHeight="false" hidden="false" ht="12.1" outlineLevel="0" r="8821">
      <c r="A8821" s="3" t="s">
        <f>=HYPERLINK("https://mp39851918.megaplan.ua/deals/141121/card/","24147")</f>
      </c>
      <c r="B8821" s="3" t="inlineStr">
        <is>
          <t>111-5261397-3301022</t>
        </is>
      </c>
      <c r="C8821" s="3" t="inlineStr">
        <is>
          <t>RockyMountain</t>
        </is>
      </c>
    </row>
    <row collapsed="false" customFormat="false" customHeight="false" hidden="false" ht="12.1" outlineLevel="0" r="8822">
      <c r="A8822" s="3" t="s">
        <f>=HYPERLINK("https://mp39851918.megaplan.ua/deals/141122/card/","24148")</f>
      </c>
      <c r="B8822" s="3" t="inlineStr">
        <is>
          <t>113-1036770-5482621</t>
        </is>
      </c>
      <c r="C8822" s="3" t="inlineStr">
        <is>
          <t>Autodist</t>
        </is>
      </c>
    </row>
    <row collapsed="false" customFormat="false" customHeight="false" hidden="false" ht="12.1" outlineLevel="0" r="8823">
      <c r="A8823" s="3" t="s">
        <f>=HYPERLINK("https://mp39851918.megaplan.ua/deals/141129/card/","24149")</f>
      </c>
      <c r="B8823" s="3" t="inlineStr">
        <is>
          <t>114-4093592-0170653</t>
        </is>
      </c>
      <c r="C8823" s="3" t="inlineStr">
        <is>
          <t>Autodist</t>
        </is>
      </c>
    </row>
    <row collapsed="false" customFormat="false" customHeight="false" hidden="false" ht="12.1" outlineLevel="0" r="8824">
      <c r="A8824" s="3" t="s">
        <f>=HYPERLINK("https://mp39851918.megaplan.ua/deals/141145/card/","24150")</f>
      </c>
      <c r="B8824" s="3" t="inlineStr">
        <is>
          <t>112-9451736-7560243</t>
        </is>
      </c>
      <c r="C8824" s="3" t="inlineStr">
        <is>
          <t>PartsUnlimited</t>
        </is>
      </c>
    </row>
    <row collapsed="false" customFormat="false" customHeight="false" hidden="false" ht="12.1" outlineLevel="0" r="8825">
      <c r="A8825" s="3" t="s">
        <f>=HYPERLINK("https://mp39851918.megaplan.ua/deals/141152/card/","24151")</f>
      </c>
      <c r="B8825" s="3" t="inlineStr">
        <is>
          <t>112-5165487-4193021</t>
        </is>
      </c>
      <c r="C8825" s="3" t="inlineStr">
        <is>
          <t>RockyMountain</t>
        </is>
      </c>
    </row>
    <row collapsed="false" customFormat="false" customHeight="false" hidden="false" ht="12.1" outlineLevel="0" r="8826">
      <c r="A8826" s="3" t="s">
        <f>=HYPERLINK("https://mp39851918.megaplan.ua/deals/141153/card/","24152")</f>
      </c>
      <c r="B8826" s="3" t="inlineStr">
        <is>
          <t>111-1758752-2439421</t>
        </is>
      </c>
      <c r="C8826" s="3" t="inlineStr">
        <is>
          <t>Autodist</t>
        </is>
      </c>
    </row>
    <row collapsed="false" customFormat="false" customHeight="false" hidden="false" ht="12.1" outlineLevel="0" r="8827">
      <c r="A8827" s="3" t="s">
        <f>=HYPERLINK("https://mp39851918.megaplan.ua/deals/141154/card/","24153")</f>
      </c>
      <c r="B8827" s="3" t="inlineStr">
        <is>
          <t>114-5282950-9197063</t>
        </is>
      </c>
      <c r="C8827" s="3" t="inlineStr">
        <is>
          <t>Autodist</t>
        </is>
      </c>
    </row>
    <row collapsed="false" customFormat="false" customHeight="false" hidden="false" ht="12.1" outlineLevel="0" r="8828">
      <c r="A8828" s="3" t="s">
        <f>=HYPERLINK("https://mp39851918.megaplan.ua/deals/141155/card/","24154")</f>
      </c>
      <c r="B8828" s="3" t="inlineStr">
        <is>
          <t>113-7076654-5392209</t>
        </is>
      </c>
      <c r="C8828" s="3" t="inlineStr">
        <is>
          <t>Autodist</t>
        </is>
      </c>
    </row>
    <row collapsed="false" customFormat="false" customHeight="false" hidden="false" ht="12.1" outlineLevel="0" r="8829">
      <c r="A8829" s="3" t="s">
        <f>=HYPERLINK("https://mp39851918.megaplan.ua/deals/141164/card/","24155")</f>
      </c>
      <c r="B8829" s="3" t="inlineStr">
        <is>
          <t>111-7924545-3158617</t>
        </is>
      </c>
      <c r="C8829" s="3" t="inlineStr">
        <is>
          <t>Autodist</t>
        </is>
      </c>
    </row>
    <row collapsed="false" customFormat="false" customHeight="false" hidden="false" ht="12.1" outlineLevel="0" r="8830">
      <c r="A8830" s="3" t="s">
        <f>=HYPERLINK("https://mp39851918.megaplan.ua/deals/141181/card/","24157")</f>
      </c>
      <c r="B8830" s="3" t="inlineStr">
        <is>
          <t>114-0030978-9010614</t>
        </is>
      </c>
      <c r="C8830" s="3" t="inlineStr">
        <is>
          <t>PartsUnlimited</t>
        </is>
      </c>
    </row>
    <row collapsed="false" customFormat="false" customHeight="false" hidden="false" ht="12.1" outlineLevel="0" r="8831">
      <c r="A8831" s="3" t="s">
        <f>=HYPERLINK("https://mp39851918.megaplan.ua/deals/141185/card/","24158")</f>
      </c>
      <c r="B8831" s="3" t="inlineStr">
        <is>
          <t>112-8225914-1032235</t>
        </is>
      </c>
      <c r="C8831" s="3" t="inlineStr">
        <is>
          <t>TuckerRocky</t>
        </is>
      </c>
    </row>
    <row collapsed="false" customFormat="false" customHeight="false" hidden="false" ht="12.1" outlineLevel="0" r="8832">
      <c r="A8832" s="3" t="s">
        <f>=HYPERLINK("https://mp39851918.megaplan.ua/deals/141187/card/","24159")</f>
      </c>
      <c r="B8832" s="3" t="inlineStr">
        <is>
          <t>113-1736835-8285854</t>
        </is>
      </c>
      <c r="C8832" s="3" t="inlineStr">
        <is>
          <t>Autodist</t>
        </is>
      </c>
    </row>
    <row collapsed="false" customFormat="false" customHeight="false" hidden="false" ht="12.1" outlineLevel="0" r="8833">
      <c r="A8833" s="3" t="s">
        <f>=HYPERLINK("https://mp39851918.megaplan.ua/deals/141201/card/","24160")</f>
      </c>
      <c r="B8833" s="3" t="inlineStr">
        <is>
          <t>111-6650650-3189860</t>
        </is>
      </c>
      <c r="C8833" s="3" t="inlineStr">
        <is>
          <t>RockyMountain</t>
        </is>
      </c>
    </row>
    <row collapsed="false" customFormat="false" customHeight="false" hidden="false" ht="12.1" outlineLevel="0" r="8834">
      <c r="A8834" s="3" t="s">
        <f>=HYPERLINK("https://mp39851918.megaplan.ua/deals/141205/card/","24161")</f>
      </c>
      <c r="B8834" s="3" t="inlineStr">
        <is>
          <t>114-1700858-9766641</t>
        </is>
      </c>
      <c r="C8834" s="3" t="inlineStr">
        <is>
          <t>TuckerRocky</t>
        </is>
      </c>
    </row>
    <row collapsed="false" customFormat="false" customHeight="false" hidden="false" ht="12.1" outlineLevel="0" r="8835">
      <c r="A8835" s="3" t="s">
        <f>=HYPERLINK("https://mp39851918.megaplan.ua/deals/141209/card/","24162")</f>
      </c>
      <c r="B8835" s="3" t="inlineStr">
        <is>
          <t>111-9870530-1352223</t>
        </is>
      </c>
      <c r="C8835" s="3" t="inlineStr">
        <is>
          <t>RockyMountain</t>
        </is>
      </c>
    </row>
    <row collapsed="false" customFormat="false" customHeight="false" hidden="false" ht="12.1" outlineLevel="0" r="8836">
      <c r="A8836" s="3" t="s">
        <f>=HYPERLINK("https://mp39851918.megaplan.ua/deals/141214/card/","24163")</f>
      </c>
      <c r="B8836" s="3" t="inlineStr">
        <is>
          <t>111-0619537-4816215</t>
        </is>
      </c>
      <c r="C8836" s="3" t="inlineStr">
        <is>
          <t>PartsUnlimited</t>
        </is>
      </c>
    </row>
    <row collapsed="false" customFormat="false" customHeight="false" hidden="false" ht="12.1" outlineLevel="0" r="8837">
      <c r="A8837" s="3" t="s">
        <f>=HYPERLINK("https://mp39851918.megaplan.ua/deals/141220/card/","24164")</f>
      </c>
      <c r="B8837" s="3" t="inlineStr">
        <is>
          <t>112-3453951-9041829</t>
        </is>
      </c>
      <c r="C8837" s="3" t="inlineStr">
        <is>
          <t>TuckerRocky</t>
        </is>
      </c>
    </row>
    <row collapsed="false" customFormat="false" customHeight="false" hidden="false" ht="12.1" outlineLevel="0" r="8838">
      <c r="A8838" s="3" t="s">
        <f>=HYPERLINK("https://mp39851918.megaplan.ua/deals/141227/card/","24165")</f>
      </c>
      <c r="B8838" s="3" t="inlineStr">
        <is>
          <t>113-8812092-5389011</t>
        </is>
      </c>
      <c r="C8838" s="3" t="inlineStr">
        <is>
          <t>Autodist</t>
        </is>
      </c>
    </row>
    <row collapsed="false" customFormat="false" customHeight="false" hidden="false" ht="12.1" outlineLevel="0" r="8839">
      <c r="A8839" s="3" t="s">
        <f>=HYPERLINK("https://mp39851918.megaplan.ua/deals/141234/card/","24167")</f>
      </c>
      <c r="B8839" s="3" t="inlineStr">
        <is>
          <t>111-3342036-8312205</t>
        </is>
      </c>
      <c r="C8839" s="3" t="inlineStr">
        <is>
          <t>RockyMountain</t>
        </is>
      </c>
    </row>
    <row collapsed="false" customFormat="false" customHeight="false" hidden="false" ht="12.1" outlineLevel="0" r="8840">
      <c r="A8840" s="3" t="s">
        <f>=HYPERLINK("https://mp39851918.megaplan.ua/deals/141237/card/","24168")</f>
      </c>
      <c r="B8840" s="3" t="inlineStr">
        <is>
          <t>113-4049461-1772260</t>
        </is>
      </c>
      <c r="C8840" s="3" t="inlineStr">
        <is>
          <t>Autodist</t>
        </is>
      </c>
    </row>
    <row collapsed="false" customFormat="false" customHeight="false" hidden="false" ht="12.1" outlineLevel="0" r="8841">
      <c r="A8841" s="3" t="s">
        <f>=HYPERLINK("https://mp39851918.megaplan.ua/deals/141238/card/","24169")</f>
      </c>
      <c r="B8841" s="3" t="inlineStr">
        <is>
          <t>114-3723760-1133018</t>
        </is>
      </c>
      <c r="C8841" s="3" t="inlineStr">
        <is>
          <t>Autodist</t>
        </is>
      </c>
    </row>
    <row collapsed="false" customFormat="false" customHeight="false" hidden="false" ht="12.1" outlineLevel="0" r="8842">
      <c r="A8842" s="3" t="s">
        <f>=HYPERLINK("https://mp39851918.megaplan.ua/deals/141243/card/","24170")</f>
      </c>
      <c r="B8842" s="3" t="inlineStr">
        <is>
          <t>111-7676409-0392224</t>
        </is>
      </c>
      <c r="C8842" s="3" t="inlineStr">
        <is>
          <t>RockyMountain</t>
        </is>
      </c>
    </row>
    <row collapsed="false" customFormat="false" customHeight="false" hidden="false" ht="12.1" outlineLevel="0" r="8843">
      <c r="A8843" s="3" t="s">
        <f>=HYPERLINK("https://mp39851918.megaplan.ua/deals/141244/card/","24171")</f>
      </c>
      <c r="B8843" s="3" t="inlineStr">
        <is>
          <t>111-9033961-7901840</t>
        </is>
      </c>
      <c r="C8843" s="3" t="inlineStr">
        <is>
          <t>PartsUnlimited</t>
        </is>
      </c>
    </row>
    <row collapsed="false" customFormat="false" customHeight="false" hidden="false" ht="12.1" outlineLevel="0" r="8844">
      <c r="A8844" s="3" t="s">
        <f>=HYPERLINK("https://mp39851918.megaplan.ua/deals/141245/card/","24172")</f>
      </c>
      <c r="B8844" s="3" t="inlineStr">
        <is>
          <t>112-2887083-1920263</t>
        </is>
      </c>
      <c r="C8844" s="3" t="inlineStr">
        <is>
          <t>RockyMountain</t>
        </is>
      </c>
    </row>
    <row collapsed="false" customFormat="false" customHeight="false" hidden="false" ht="12.1" outlineLevel="0" r="8845">
      <c r="A8845" s="3" t="s">
        <f>=HYPERLINK("https://mp39851918.megaplan.ua/deals/141246/card/","24173")</f>
      </c>
      <c r="B8845" s="3" t="inlineStr">
        <is>
          <t>114-8830306-0261059</t>
        </is>
      </c>
      <c r="C8845" s="3" t="inlineStr">
        <is>
          <t>Autodist</t>
        </is>
      </c>
    </row>
    <row collapsed="false" customFormat="false" customHeight="false" hidden="false" ht="12.1" outlineLevel="0" r="8846">
      <c r="A8846" s="3" t="s">
        <f>=HYPERLINK("https://mp39851918.megaplan.ua/deals/141247/card/","24174")</f>
      </c>
      <c r="B8846" s="3" t="inlineStr">
        <is>
          <t>112-8935590-6801044</t>
        </is>
      </c>
      <c r="C8846" s="3" t="inlineStr">
        <is>
          <t>Autodist</t>
        </is>
      </c>
    </row>
    <row collapsed="false" customFormat="false" customHeight="false" hidden="false" ht="12.1" outlineLevel="0" r="8847">
      <c r="A8847" s="3" t="s">
        <f>=HYPERLINK("https://mp39851918.megaplan.ua/deals/141257/card/","24175")</f>
      </c>
      <c r="B8847" s="3" t="inlineStr">
        <is>
          <t>112-1795345-5897019</t>
        </is>
      </c>
      <c r="C8847" s="3" t="inlineStr">
        <is>
          <t>PartsUnlimited</t>
        </is>
      </c>
    </row>
    <row collapsed="false" customFormat="false" customHeight="false" hidden="false" ht="12.1" outlineLevel="0" r="8848">
      <c r="A8848" s="3" t="s">
        <f>=HYPERLINK("https://mp39851918.megaplan.ua/deals/141258/card/","24176")</f>
      </c>
      <c r="B8848" s="3" t="inlineStr">
        <is>
          <t>113-5846983-5944254</t>
        </is>
      </c>
      <c r="C8848" s="3" t="inlineStr">
        <is>
          <t>PartsUnlimited</t>
        </is>
      </c>
    </row>
    <row collapsed="false" customFormat="false" customHeight="false" hidden="false" ht="12.1" outlineLevel="0" r="8849">
      <c r="A8849" s="3" t="s">
        <f>=HYPERLINK("https://mp39851918.megaplan.ua/deals/141268/card/","24177")</f>
      </c>
      <c r="B8849" s="3" t="inlineStr">
        <is>
          <t>111-2570127-9301004</t>
        </is>
      </c>
      <c r="C8849" s="3" t="inlineStr">
        <is>
          <t>RockyMountain</t>
        </is>
      </c>
    </row>
    <row collapsed="false" customFormat="false" customHeight="false" hidden="false" ht="12.1" outlineLevel="0" r="8850">
      <c r="A8850" s="3" t="s">
        <f>=HYPERLINK("https://mp39851918.megaplan.ua/deals/141271/card/","24178")</f>
      </c>
      <c r="B8850" s="3" t="inlineStr">
        <is>
          <t>114-4892545-6661815</t>
        </is>
      </c>
      <c r="C8850" s="3" t="inlineStr">
        <is>
          <t>RockyMountain</t>
        </is>
      </c>
    </row>
    <row collapsed="false" customFormat="false" customHeight="false" hidden="false" ht="12.1" outlineLevel="0" r="8851">
      <c r="A8851" s="3" t="s">
        <f>=HYPERLINK("https://mp39851918.megaplan.ua/deals/141272/card/","24179")</f>
      </c>
      <c r="B8851" s="3" t="inlineStr">
        <is>
          <t>112-3885510-0598635</t>
        </is>
      </c>
      <c r="C8851" s="3" t="inlineStr">
        <is>
          <t>RockyMountain</t>
        </is>
      </c>
    </row>
    <row collapsed="false" customFormat="false" customHeight="false" hidden="false" ht="12.1" outlineLevel="0" r="8852">
      <c r="A8852" s="3" t="s">
        <f>=HYPERLINK("https://mp39851918.megaplan.ua/deals/141275/card/","24180")</f>
      </c>
      <c r="B8852" s="3" t="inlineStr">
        <is>
          <t>112-3226834-4087408</t>
        </is>
      </c>
      <c r="C8852" s="3" t="inlineStr">
        <is>
          <t>Autodist</t>
        </is>
      </c>
    </row>
    <row collapsed="false" customFormat="false" customHeight="false" hidden="false" ht="12.1" outlineLevel="0" r="8853">
      <c r="A8853" s="3" t="s">
        <f>=HYPERLINK("https://mp39851918.megaplan.ua/deals/141277/card/","24181")</f>
      </c>
      <c r="B8853" s="3" t="inlineStr">
        <is>
          <t>112-7101568-4575437</t>
        </is>
      </c>
      <c r="C8853" s="3" t="inlineStr">
        <is>
          <t>PartsUnlimited</t>
        </is>
      </c>
    </row>
    <row collapsed="false" customFormat="false" customHeight="false" hidden="false" ht="12.1" outlineLevel="0" r="8854">
      <c r="A8854" s="3" t="s">
        <f>=HYPERLINK("https://mp39851918.megaplan.ua/deals/141281/card/","24182")</f>
      </c>
      <c r="B8854" s="3" t="inlineStr">
        <is>
          <t>111-1590565-5927468</t>
        </is>
      </c>
      <c r="C8854" s="3" t="inlineStr">
        <is>
          <t>RockyMountain</t>
        </is>
      </c>
    </row>
    <row collapsed="false" customFormat="false" customHeight="false" hidden="false" ht="12.1" outlineLevel="0" r="8855">
      <c r="A8855" s="3" t="s">
        <f>=HYPERLINK("https://mp39851918.megaplan.ua/deals/141289/card/","24183")</f>
      </c>
      <c r="B8855" s="3" t="inlineStr">
        <is>
          <t>114-8026083-7233863</t>
        </is>
      </c>
      <c r="C8855" s="3" t="inlineStr">
        <is>
          <t>RockyMountain</t>
        </is>
      </c>
    </row>
    <row collapsed="false" customFormat="false" customHeight="false" hidden="false" ht="12.1" outlineLevel="0" r="8856">
      <c r="A8856" s="3" t="s">
        <f>=HYPERLINK("https://mp39851918.megaplan.ua/deals/141300/card/","24186")</f>
      </c>
      <c r="B8856" s="3" t="inlineStr">
        <is>
          <t>114-6897896-2425010</t>
        </is>
      </c>
      <c r="C8856" s="3" t="inlineStr">
        <is>
          <t>RockyMountain</t>
        </is>
      </c>
    </row>
    <row collapsed="false" customFormat="false" customHeight="false" hidden="false" ht="12.1" outlineLevel="0" r="8857">
      <c r="A8857" s="3" t="s">
        <f>=HYPERLINK("https://mp39851918.megaplan.ua/deals/141309/card/","24188")</f>
      </c>
      <c r="B8857" s="3" t="inlineStr">
        <is>
          <t>111-2269648-0289829</t>
        </is>
      </c>
      <c r="C8857" s="3" t="inlineStr">
        <is>
          <t>PartsUnlimited</t>
        </is>
      </c>
    </row>
    <row collapsed="false" customFormat="false" customHeight="false" hidden="false" ht="12.1" outlineLevel="0" r="8858">
      <c r="A8858" s="3" t="s">
        <f>=HYPERLINK("https://mp39851918.megaplan.ua/deals/141310/card/","24189")</f>
      </c>
      <c r="B8858" s="3" t="inlineStr">
        <is>
          <t>113-2666667-4083425</t>
        </is>
      </c>
      <c r="C8858" s="3" t="inlineStr">
        <is>
          <t>TuckerRocky</t>
        </is>
      </c>
    </row>
    <row collapsed="false" customFormat="false" customHeight="false" hidden="false" ht="12.1" outlineLevel="0" r="8859">
      <c r="A8859" s="3" t="s">
        <f>=HYPERLINK("https://mp39851918.megaplan.ua/deals/141311/card/","24190")</f>
      </c>
      <c r="B8859" s="3" t="inlineStr">
        <is>
          <t>114-0048587-8291455</t>
        </is>
      </c>
      <c r="C8859" s="3" t="inlineStr">
        <is>
          <t>TuckerRocky</t>
        </is>
      </c>
    </row>
    <row collapsed="false" customFormat="false" customHeight="false" hidden="false" ht="12.1" outlineLevel="0" r="8860">
      <c r="A8860" s="3" t="s">
        <f>=HYPERLINK("https://mp39851918.megaplan.ua/deals/141316/card/","24191")</f>
      </c>
      <c r="B8860" s="3" t="inlineStr">
        <is>
          <t>113-6665358-8221830</t>
        </is>
      </c>
      <c r="C8860" s="3" t="inlineStr">
        <is>
          <t>RockyMountain</t>
        </is>
      </c>
    </row>
    <row collapsed="false" customFormat="false" customHeight="false" hidden="false" ht="12.1" outlineLevel="0" r="8861">
      <c r="A8861" s="3" t="s">
        <f>=HYPERLINK("https://mp39851918.megaplan.ua/deals/141333/card/","24193")</f>
      </c>
      <c r="B8861" s="3" t="inlineStr">
        <is>
          <t>113-4980286-5412233</t>
        </is>
      </c>
      <c r="C8861" s="3" t="inlineStr">
        <is>
          <t>TuckerRocky</t>
        </is>
      </c>
    </row>
    <row collapsed="false" customFormat="false" customHeight="false" hidden="false" ht="12.1" outlineLevel="0" r="8862">
      <c r="A8862" s="3" t="s">
        <f>=HYPERLINK("https://mp39851918.megaplan.ua/deals/141334/card/","24194")</f>
      </c>
      <c r="B8862" s="3" t="inlineStr">
        <is>
          <t>114-8763438-2271412</t>
        </is>
      </c>
      <c r="C8862" s="3" t="inlineStr">
        <is>
          <t>RockyMountain</t>
        </is>
      </c>
    </row>
    <row collapsed="false" customFormat="false" customHeight="false" hidden="false" ht="12.1" outlineLevel="0" r="8863">
      <c r="A8863" s="3" t="s">
        <f>=HYPERLINK("https://mp39851918.megaplan.ua/deals/141338/card/","24195")</f>
      </c>
      <c r="B8863" s="3" t="inlineStr">
        <is>
          <t>114-3090890-5055433</t>
        </is>
      </c>
      <c r="C8863" s="3" t="inlineStr">
        <is>
          <t>RockyMountain</t>
        </is>
      </c>
    </row>
    <row collapsed="false" customFormat="false" customHeight="false" hidden="false" ht="12.1" outlineLevel="0" r="8864">
      <c r="A8864" s="3" t="s">
        <f>=HYPERLINK("https://mp39851918.megaplan.ua/deals/141343/card/","24196")</f>
      </c>
      <c r="B8864" s="3" t="inlineStr">
        <is>
          <t>114-8026083-7233863</t>
        </is>
      </c>
      <c r="C8864" s="3" t="inlineStr">
        <is>
          <t>TuckerRocky</t>
        </is>
      </c>
    </row>
    <row collapsed="false" customFormat="false" customHeight="false" hidden="false" ht="12.1" outlineLevel="0" r="8865">
      <c r="A8865" s="3" t="s">
        <f>=HYPERLINK("https://mp39851918.megaplan.ua/deals/141361/card/","24200")</f>
      </c>
      <c r="B8865" s="3" t="inlineStr">
        <is>
          <t>112-0080848-0293825</t>
        </is>
      </c>
      <c r="C8865" s="3" t="inlineStr">
        <is>
          <t>RockyMountain</t>
        </is>
      </c>
    </row>
    <row collapsed="false" customFormat="false" customHeight="false" hidden="false" ht="12.1" outlineLevel="0" r="8866">
      <c r="A8866" s="3" t="s">
        <f>=HYPERLINK("https://mp39851918.megaplan.ua/deals/141362/card/","24201")</f>
      </c>
      <c r="B8866" s="3" t="inlineStr">
        <is>
          <t>114-4763227-2933020</t>
        </is>
      </c>
      <c r="C8866" s="3" t="inlineStr">
        <is>
          <t>Autodist</t>
        </is>
      </c>
    </row>
    <row collapsed="false" customFormat="false" customHeight="false" hidden="false" ht="12.1" outlineLevel="0" r="8867">
      <c r="A8867" s="3" t="s">
        <f>=HYPERLINK("https://mp39851918.megaplan.ua/deals/141376/card/","24202")</f>
      </c>
      <c r="B8867" s="3" t="inlineStr">
        <is>
          <t>113-3757926-1280202</t>
        </is>
      </c>
      <c r="C8867" s="3" t="inlineStr">
        <is>
          <t>RockyMountain</t>
        </is>
      </c>
    </row>
    <row collapsed="false" customFormat="false" customHeight="false" hidden="false" ht="12.1" outlineLevel="0" r="8868">
      <c r="A8868" s="3" t="s">
        <f>=HYPERLINK("https://mp39851918.megaplan.ua/deals/141379/card/","24203")</f>
      </c>
      <c r="B8868" s="3" t="inlineStr">
        <is>
          <t>112-8419556-0577804</t>
        </is>
      </c>
      <c r="C8868" s="3" t="inlineStr">
        <is>
          <t>PartsUnlimited</t>
        </is>
      </c>
    </row>
    <row collapsed="false" customFormat="false" customHeight="false" hidden="false" ht="12.1" outlineLevel="0" r="8869">
      <c r="A8869" s="3" t="s">
        <f>=HYPERLINK("https://mp39851918.megaplan.ua/deals/141391/card/","24205")</f>
      </c>
      <c r="B8869" s="3" t="inlineStr">
        <is>
          <t>112-6372549-2553035</t>
        </is>
      </c>
      <c r="C8869" s="3" t="inlineStr">
        <is>
          <t>RockyMountain</t>
        </is>
      </c>
    </row>
    <row collapsed="false" customFormat="false" customHeight="false" hidden="false" ht="12.1" outlineLevel="0" r="8870">
      <c r="A8870" s="3" t="s">
        <f>=HYPERLINK("https://mp39851918.megaplan.ua/deals/141393/card/","24206")</f>
      </c>
      <c r="B8870" s="3" t="inlineStr">
        <is>
          <t>111-2674933-6935402</t>
        </is>
      </c>
      <c r="C8870" s="3" t="inlineStr">
        <is>
          <t>TuckerRocky</t>
        </is>
      </c>
    </row>
    <row collapsed="false" customFormat="false" customHeight="false" hidden="false" ht="12.1" outlineLevel="0" r="8871">
      <c r="A8871" s="3" t="s">
        <f>=HYPERLINK("https://mp39851918.megaplan.ua/deals/141407/card/","24207")</f>
      </c>
      <c r="B8871" s="3" t="inlineStr">
        <is>
          <t>114-8402135-5179430</t>
        </is>
      </c>
      <c r="C8871" s="3" t="inlineStr">
        <is>
          <t>RockyMountain</t>
        </is>
      </c>
    </row>
    <row collapsed="false" customFormat="false" customHeight="false" hidden="false" ht="12.1" outlineLevel="0" r="8872">
      <c r="A8872" s="3" t="s">
        <f>=HYPERLINK("https://mp39851918.megaplan.ua/deals/141408/card/","24208")</f>
      </c>
      <c r="B8872" s="3" t="inlineStr">
        <is>
          <t>113-9982560-9955445</t>
        </is>
      </c>
      <c r="C8872" s="3" t="inlineStr">
        <is>
          <t>RockyMountain</t>
        </is>
      </c>
    </row>
    <row collapsed="false" customFormat="false" customHeight="false" hidden="false" ht="12.1" outlineLevel="0" r="8873">
      <c r="A8873" s="3" t="s">
        <f>=HYPERLINK("https://mp39851918.megaplan.ua/deals/141413/card/","24209")</f>
      </c>
      <c r="B8873" s="3" t="inlineStr">
        <is>
          <t>113-8672016-2966639</t>
        </is>
      </c>
      <c r="C8873" s="3" t="inlineStr">
        <is>
          <t>PartsUnlimited</t>
        </is>
      </c>
    </row>
    <row collapsed="false" customFormat="false" customHeight="false" hidden="false" ht="12.1" outlineLevel="0" r="8874">
      <c r="A8874" s="3" t="s">
        <f>=HYPERLINK("https://mp39851918.megaplan.ua/deals/141421/card/","24210")</f>
      </c>
      <c r="B8874" s="3" t="inlineStr">
        <is>
          <t>113-6132247-4811401</t>
        </is>
      </c>
      <c r="C8874" s="3" t="inlineStr">
        <is>
          <t>TuckerRocky</t>
        </is>
      </c>
    </row>
    <row collapsed="false" customFormat="false" customHeight="false" hidden="false" ht="12.1" outlineLevel="0" r="8875">
      <c r="A8875" s="3" t="s">
        <f>=HYPERLINK("https://mp39851918.megaplan.ua/deals/141429/card/","24211")</f>
      </c>
      <c r="B8875" s="3" t="inlineStr">
        <is>
          <t>113-6160350-6193848</t>
        </is>
      </c>
      <c r="C8875" s="3" t="inlineStr">
        <is>
          <t>PartsUnlimited</t>
        </is>
      </c>
    </row>
    <row collapsed="false" customFormat="false" customHeight="false" hidden="false" ht="12.1" outlineLevel="0" r="8876">
      <c r="A8876" s="3" t="s">
        <f>=HYPERLINK("https://mp39851918.megaplan.ua/deals/141434/card/","24212")</f>
      </c>
      <c r="B8876" s="3" t="inlineStr">
        <is>
          <t>113-8196206-7293024</t>
        </is>
      </c>
      <c r="C8876" s="3" t="inlineStr">
        <is>
          <t>RockyMountain</t>
        </is>
      </c>
    </row>
    <row collapsed="false" customFormat="false" customHeight="false" hidden="false" ht="12.1" outlineLevel="0" r="8877">
      <c r="A8877" s="3" t="s">
        <f>=HYPERLINK("https://mp39851918.megaplan.ua/deals/141444/card/","24213")</f>
      </c>
      <c r="B8877" s="3" t="inlineStr">
        <is>
          <t>111-2681905-4754618</t>
        </is>
      </c>
      <c r="C8877" s="3" t="inlineStr">
        <is>
          <t>RockyMountain</t>
        </is>
      </c>
    </row>
    <row collapsed="false" customFormat="false" customHeight="false" hidden="false" ht="12.1" outlineLevel="0" r="8878">
      <c r="A8878" s="3" t="s">
        <f>=HYPERLINK("https://mp39851918.megaplan.ua/deals/141451/card/","24214")</f>
      </c>
      <c r="B8878" s="3" t="inlineStr">
        <is>
          <t>113-6623924-7009813</t>
        </is>
      </c>
      <c r="C8878" s="3" t="inlineStr">
        <is>
          <t>Autodist</t>
        </is>
      </c>
    </row>
    <row collapsed="false" customFormat="false" customHeight="false" hidden="false" ht="12.1" outlineLevel="0" r="8879">
      <c r="A8879" s="3" t="s">
        <f>=HYPERLINK("https://mp39851918.megaplan.ua/deals/141454/card/","24215")</f>
      </c>
      <c r="B8879" s="3" t="inlineStr">
        <is>
          <t>114-4126642-0241865</t>
        </is>
      </c>
      <c r="C8879" s="3" t="inlineStr">
        <is>
          <t>RockyMountain</t>
        </is>
      </c>
    </row>
    <row collapsed="false" customFormat="false" customHeight="false" hidden="false" ht="12.1" outlineLevel="0" r="8880">
      <c r="A8880" s="3" t="s">
        <f>=HYPERLINK("https://mp39851918.megaplan.ua/deals/141461/card/","24216")</f>
      </c>
      <c r="B8880" s="3" t="inlineStr">
        <is>
          <t>111-7368943-4277809</t>
        </is>
      </c>
      <c r="C8880" s="3" t="inlineStr">
        <is>
          <t>Autodist</t>
        </is>
      </c>
    </row>
    <row collapsed="false" customFormat="false" customHeight="false" hidden="false" ht="12.1" outlineLevel="0" r="8881">
      <c r="A8881" s="3" t="s">
        <f>=HYPERLINK("https://mp39851918.megaplan.ua/deals/141469/card/","24217")</f>
      </c>
      <c r="B8881" s="3" t="inlineStr">
        <is>
          <t>113-9342070-5908268</t>
        </is>
      </c>
      <c r="C8881" s="3" t="inlineStr">
        <is>
          <t>RockyMountain</t>
        </is>
      </c>
    </row>
    <row collapsed="false" customFormat="false" customHeight="false" hidden="false" ht="12.1" outlineLevel="0" r="8882">
      <c r="A8882" s="3" t="s">
        <f>=HYPERLINK("https://mp39851918.megaplan.ua/deals/141495/card/","24219")</f>
      </c>
      <c r="B8882" s="3" t="inlineStr">
        <is>
          <t>114-4366225-0041821</t>
        </is>
      </c>
      <c r="C8882" s="3" t="inlineStr">
        <is>
          <t>TuckerRocky</t>
        </is>
      </c>
    </row>
    <row collapsed="false" customFormat="false" customHeight="false" hidden="false" ht="12.1" outlineLevel="0" r="8883">
      <c r="A8883" s="3" t="s">
        <f>=HYPERLINK("https://mp39851918.megaplan.ua/deals/141514/card/","24221")</f>
      </c>
      <c r="B8883" s="3" t="inlineStr">
        <is>
          <t>113-5949792-4700208</t>
        </is>
      </c>
      <c r="C8883" s="3" t="inlineStr">
        <is>
          <t>Autodist</t>
        </is>
      </c>
    </row>
    <row collapsed="false" customFormat="false" customHeight="false" hidden="false" ht="12.1" outlineLevel="0" r="8884">
      <c r="A8884" s="3" t="s">
        <f>=HYPERLINK("https://mp39851918.megaplan.ua/deals/141538/card/","24223")</f>
      </c>
      <c r="B8884" s="3" t="inlineStr">
        <is>
          <t>114-3063290-8487451</t>
        </is>
      </c>
      <c r="C8884" s="3" t="inlineStr">
        <is>
          <t>Autodist</t>
        </is>
      </c>
    </row>
    <row collapsed="false" customFormat="false" customHeight="false" hidden="false" ht="12.1" outlineLevel="0" r="8885">
      <c r="A8885" s="3" t="s">
        <f>=HYPERLINK("https://mp39851918.megaplan.ua/deals/141541/card/","24224")</f>
      </c>
      <c r="B8885" s="3" t="inlineStr">
        <is>
          <t>112-9654811-9769843</t>
        </is>
      </c>
      <c r="C8885" s="3" t="inlineStr">
        <is>
          <t>RockyMountain</t>
        </is>
      </c>
    </row>
    <row collapsed="false" customFormat="false" customHeight="false" hidden="false" ht="12.1" outlineLevel="0" r="8886">
      <c r="A8886" s="3" t="s">
        <f>=HYPERLINK("https://mp39851918.megaplan.ua/deals/141558/card/","24225")</f>
      </c>
      <c r="B8886" s="3" t="inlineStr">
        <is>
          <t>112-9280495-5734616</t>
        </is>
      </c>
      <c r="C8886" s="3" t="inlineStr">
        <is>
          <t>Autodist</t>
        </is>
      </c>
    </row>
    <row collapsed="false" customFormat="false" customHeight="false" hidden="false" ht="12.1" outlineLevel="0" r="8887">
      <c r="A8887" s="3" t="s">
        <f>=HYPERLINK("https://mp39851918.megaplan.ua/deals/141559/card/","24226")</f>
      </c>
      <c r="B8887" s="3" t="inlineStr">
        <is>
          <t>113-4412519-3604242</t>
        </is>
      </c>
      <c r="C8887" s="3" t="inlineStr">
        <is>
          <t>RockyMountain</t>
        </is>
      </c>
    </row>
    <row collapsed="false" customFormat="false" customHeight="false" hidden="false" ht="12.1" outlineLevel="0" r="8888">
      <c r="A8888" s="3" t="s">
        <f>=HYPERLINK("https://mp39851918.megaplan.ua/deals/141579/card/","24228")</f>
      </c>
      <c r="B8888" s="3" t="inlineStr">
        <is>
          <t>113-1873039-3975430</t>
        </is>
      </c>
      <c r="C8888" s="3" t="inlineStr">
        <is>
          <t>PartsUnlimited</t>
        </is>
      </c>
    </row>
    <row collapsed="false" customFormat="false" customHeight="false" hidden="false" ht="12.1" outlineLevel="0" r="8889">
      <c r="A8889" s="3" t="s">
        <f>=HYPERLINK("https://mp39851918.megaplan.ua/deals/141587/card/","24229")</f>
      </c>
      <c r="B8889" s="3" t="inlineStr">
        <is>
          <t>112-8986592-6008223</t>
        </is>
      </c>
      <c r="C8889" s="3" t="inlineStr">
        <is>
          <t>TuckerRocky</t>
        </is>
      </c>
    </row>
    <row collapsed="false" customFormat="false" customHeight="false" hidden="false" ht="12.1" outlineLevel="0" r="8890">
      <c r="A8890" s="3" t="s">
        <f>=HYPERLINK("https://mp39851918.megaplan.ua/deals/141593/card/","24230")</f>
      </c>
      <c r="B8890" s="3" t="inlineStr">
        <is>
          <t>111-9309582-8687457</t>
        </is>
      </c>
      <c r="C8890" s="3" t="inlineStr">
        <is>
          <t>Autodist</t>
        </is>
      </c>
    </row>
    <row collapsed="false" customFormat="false" customHeight="false" hidden="false" ht="12.1" outlineLevel="0" r="8891">
      <c r="A8891" s="3" t="s">
        <f>=HYPERLINK("https://mp39851918.megaplan.ua/deals/141599/card/","24231")</f>
      </c>
      <c r="B8891" s="3" t="inlineStr">
        <is>
          <t>111-7427182-9514657</t>
        </is>
      </c>
      <c r="C8891" s="3" t="inlineStr">
        <is>
          <t>PartsUnlimited</t>
        </is>
      </c>
    </row>
    <row collapsed="false" customFormat="false" customHeight="false" hidden="false" ht="12.1" outlineLevel="0" r="8892">
      <c r="A8892" s="3" t="s">
        <f>=HYPERLINK("https://mp39851918.megaplan.ua/deals/141602/card/","24232")</f>
      </c>
      <c r="B8892" s="3" t="inlineStr">
        <is>
          <t>113-9323300-5966655</t>
        </is>
      </c>
      <c r="C8892" s="3" t="inlineStr">
        <is>
          <t>Autodist</t>
        </is>
      </c>
    </row>
    <row collapsed="false" customFormat="false" customHeight="false" hidden="false" ht="12.1" outlineLevel="0" r="8893">
      <c r="A8893" s="3" t="s">
        <f>=HYPERLINK("https://mp39851918.megaplan.ua/deals/141607/card/","24233")</f>
      </c>
      <c r="B8893" s="3" t="inlineStr">
        <is>
          <t>111-0327406-1800222</t>
        </is>
      </c>
      <c r="C8893" s="3" t="inlineStr">
        <is>
          <t>Autodist</t>
        </is>
      </c>
    </row>
    <row collapsed="false" customFormat="false" customHeight="false" hidden="false" ht="12.1" outlineLevel="0" r="8894">
      <c r="A8894" s="3" t="s">
        <f>=HYPERLINK("https://mp39851918.megaplan.ua/deals/141618/card/","24234")</f>
      </c>
      <c r="B8894" s="3" t="inlineStr">
        <is>
          <t>113-4834183-7122655</t>
        </is>
      </c>
      <c r="C8894" s="3" t="inlineStr">
        <is>
          <t>Autodist</t>
        </is>
      </c>
    </row>
    <row collapsed="false" customFormat="false" customHeight="false" hidden="false" ht="12.1" outlineLevel="0" r="8895">
      <c r="A8895" s="3" t="s">
        <f>=HYPERLINK("https://mp39851918.megaplan.ua/deals/141619/card/","24235")</f>
      </c>
      <c r="B8895" s="3" t="inlineStr">
        <is>
          <t>113-7558924-5078615</t>
        </is>
      </c>
      <c r="C8895" s="3" t="inlineStr">
        <is>
          <t>RockyMountain</t>
        </is>
      </c>
    </row>
    <row collapsed="false" customFormat="false" customHeight="false" hidden="false" ht="12.1" outlineLevel="0" r="8896">
      <c r="A8896" s="3" t="s">
        <f>=HYPERLINK("https://mp39851918.megaplan.ua/deals/141620/card/","24236")</f>
      </c>
      <c r="B8896" s="3" t="inlineStr">
        <is>
          <t>112-3007701-3182634</t>
        </is>
      </c>
      <c r="C8896" s="3" t="inlineStr">
        <is>
          <t>Autodist</t>
        </is>
      </c>
    </row>
    <row collapsed="false" customFormat="false" customHeight="false" hidden="false" ht="12.1" outlineLevel="0" r="8897">
      <c r="A8897" s="3" t="s">
        <f>=HYPERLINK("https://mp39851918.megaplan.ua/deals/141621/card/","24237")</f>
      </c>
      <c r="B8897" s="3" t="inlineStr">
        <is>
          <t>112-0609552-3359425</t>
        </is>
      </c>
      <c r="C8897" s="3" t="inlineStr">
        <is>
          <t>RockyMountain</t>
        </is>
      </c>
    </row>
    <row collapsed="false" customFormat="false" customHeight="false" hidden="false" ht="12.1" outlineLevel="0" r="8898">
      <c r="A8898" s="3" t="s">
        <f>=HYPERLINK("https://mp39851918.megaplan.ua/deals/141643/card/","24238")</f>
      </c>
      <c r="B8898" s="3" t="inlineStr">
        <is>
          <t>113-3328815-6242604</t>
        </is>
      </c>
      <c r="C8898" s="3" t="inlineStr">
        <is>
          <t>TuckerRocky</t>
        </is>
      </c>
    </row>
    <row collapsed="false" customFormat="false" customHeight="false" hidden="false" ht="12.1" outlineLevel="0" r="8899">
      <c r="A8899" s="3" t="s">
        <f>=HYPERLINK("https://mp39851918.megaplan.ua/deals/141648/card/","24239")</f>
      </c>
      <c r="B8899" s="3" t="inlineStr">
        <is>
          <t>114-0791031-6082618</t>
        </is>
      </c>
      <c r="C8899" s="3" t="inlineStr">
        <is>
          <t>Autodist</t>
        </is>
      </c>
    </row>
    <row collapsed="false" customFormat="false" customHeight="false" hidden="false" ht="12.1" outlineLevel="0" r="8900">
      <c r="A8900" s="3" t="s">
        <f>=HYPERLINK("https://mp39851918.megaplan.ua/deals/141650/card/","24240")</f>
      </c>
      <c r="B8900" s="3" t="inlineStr">
        <is>
          <t>113-9755989-2149864</t>
        </is>
      </c>
      <c r="C8900" s="3" t="inlineStr">
        <is>
          <t>TuckerRocky</t>
        </is>
      </c>
    </row>
    <row collapsed="false" customFormat="false" customHeight="false" hidden="false" ht="12.1" outlineLevel="0" r="8901">
      <c r="A8901" s="3" t="s">
        <f>=HYPERLINK("https://mp39851918.megaplan.ua/deals/141653/card/","24241")</f>
      </c>
      <c r="B8901" s="3" t="inlineStr">
        <is>
          <t>114-9034224-7894628</t>
        </is>
      </c>
      <c r="C8901" s="3" t="inlineStr">
        <is>
          <t>RockyMountain</t>
        </is>
      </c>
    </row>
    <row collapsed="false" customFormat="false" customHeight="false" hidden="false" ht="12.1" outlineLevel="0" r="8902">
      <c r="A8902" s="3" t="s">
        <f>=HYPERLINK("https://mp39851918.megaplan.ua/deals/141654/card/","24242")</f>
      </c>
      <c r="B8902" s="3" t="inlineStr">
        <is>
          <t>111-5522769-5245069</t>
        </is>
      </c>
      <c r="C8902" s="3" t="inlineStr">
        <is>
          <t>Autodist</t>
        </is>
      </c>
    </row>
    <row collapsed="false" customFormat="false" customHeight="false" hidden="false" ht="12.1" outlineLevel="0" r="8903">
      <c r="A8903" s="3" t="s">
        <f>=HYPERLINK("https://mp39851918.megaplan.ua/deals/141656/card/","24243")</f>
      </c>
      <c r="B8903" s="3" t="inlineStr">
        <is>
          <t>114-2073766-9448265</t>
        </is>
      </c>
      <c r="C8903" s="3" t="inlineStr">
        <is>
          <t>Autodist</t>
        </is>
      </c>
    </row>
    <row collapsed="false" customFormat="false" customHeight="false" hidden="false" ht="12.1" outlineLevel="0" r="8904">
      <c r="A8904" s="3" t="s">
        <f>=HYPERLINK("https://mp39851918.megaplan.ua/deals/141658/card/","24244")</f>
      </c>
      <c r="B8904" s="3" t="inlineStr">
        <is>
          <t>114-0113709-3177007</t>
        </is>
      </c>
      <c r="C8904" s="3" t="inlineStr">
        <is>
          <t>Autodist</t>
        </is>
      </c>
    </row>
    <row collapsed="false" customFormat="false" customHeight="false" hidden="false" ht="12.1" outlineLevel="0" r="8905">
      <c r="A8905" s="3" t="s">
        <f>=HYPERLINK("https://mp39851918.megaplan.ua/deals/141670/card/","24245")</f>
      </c>
      <c r="B8905" s="3" t="inlineStr">
        <is>
          <t>114-9655850-7442640</t>
        </is>
      </c>
      <c r="C8905" s="3" t="inlineStr">
        <is>
          <t>RockyMountain</t>
        </is>
      </c>
    </row>
    <row collapsed="false" customFormat="false" customHeight="false" hidden="false" ht="12.1" outlineLevel="0" r="8906">
      <c r="A8906" s="3" t="s">
        <f>=HYPERLINK("https://mp39851918.megaplan.ua/deals/141688/card/","24246")</f>
      </c>
      <c r="B8906" s="3" t="inlineStr">
        <is>
          <t>112-8992360-2695411</t>
        </is>
      </c>
      <c r="C8906" s="3" t="inlineStr">
        <is>
          <t>Autodist</t>
        </is>
      </c>
    </row>
    <row collapsed="false" customFormat="false" customHeight="false" hidden="false" ht="12.1" outlineLevel="0" r="8907">
      <c r="A8907" s="3" t="s">
        <f>=HYPERLINK("https://mp39851918.megaplan.ua/deals/141689/card/","24247")</f>
      </c>
      <c r="B8907" s="3" t="inlineStr">
        <is>
          <t>112-8484570-7702601</t>
        </is>
      </c>
      <c r="C8907" s="3" t="inlineStr">
        <is>
          <t>TuckerRocky</t>
        </is>
      </c>
    </row>
    <row collapsed="false" customFormat="false" customHeight="false" hidden="false" ht="12.1" outlineLevel="0" r="8908">
      <c r="A8908" s="3" t="s">
        <f>=HYPERLINK("https://mp39851918.megaplan.ua/deals/141690/card/","24248")</f>
      </c>
      <c r="B8908" s="3" t="inlineStr">
        <is>
          <t>114-8306210-0443467</t>
        </is>
      </c>
      <c r="C8908" s="3" t="inlineStr">
        <is>
          <t>Autodist</t>
        </is>
      </c>
    </row>
    <row collapsed="false" customFormat="false" customHeight="false" hidden="false" ht="12.1" outlineLevel="0" r="8909">
      <c r="A8909" s="3" t="s">
        <f>=HYPERLINK("https://mp39851918.megaplan.ua/deals/141709/card/","24250")</f>
      </c>
      <c r="B8909" s="3" t="inlineStr">
        <is>
          <t>114-3933338-7809809</t>
        </is>
      </c>
      <c r="C8909" s="3" t="inlineStr">
        <is>
          <t>RockyMountain</t>
        </is>
      </c>
    </row>
    <row collapsed="false" customFormat="false" customHeight="false" hidden="false" ht="12.1" outlineLevel="0" r="8910">
      <c r="A8910" s="3" t="s">
        <f>=HYPERLINK("https://mp39851918.megaplan.ua/deals/141710/card/","24251")</f>
      </c>
      <c r="B8910" s="3" t="inlineStr">
        <is>
          <t>114-5357632-5400231</t>
        </is>
      </c>
      <c r="C8910" s="3" t="inlineStr">
        <is>
          <t>RockyMountain</t>
        </is>
      </c>
    </row>
    <row collapsed="false" customFormat="false" customHeight="false" hidden="false" ht="12.1" outlineLevel="0" r="8911">
      <c r="A8911" s="3" t="s">
        <f>=HYPERLINK("https://mp39851918.megaplan.ua/deals/141715/card/","24252")</f>
      </c>
      <c r="B8911" s="3" t="inlineStr">
        <is>
          <t>112-6337993-9792220</t>
        </is>
      </c>
      <c r="C8911" s="3" t="inlineStr">
        <is>
          <t>RockyMountain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2021-07-13T15:49:40.00Z</dcterms:created>
  <dc:creator>Doc Author</dc:creator>
  <cp:revision>0</cp:revision>
</cp:coreProperties>
</file>