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.sharepoint.com/teams/Mech390Project203/Shared Documents/Design/"/>
    </mc:Choice>
  </mc:AlternateContent>
  <xr:revisionPtr revIDLastSave="729" documentId="13_ncr:1_{3159A6F5-AB24-4064-8CC0-96D3B63DD2CE}" xr6:coauthVersionLast="47" xr6:coauthVersionMax="47" xr10:uidLastSave="{644854F1-9DCE-4DA1-933D-E50398F2D76E}"/>
  <bookViews>
    <workbookView xWindow="-120" yWindow="-120" windowWidth="29040" windowHeight="15990" firstSheet="1" activeTab="5" xr2:uid="{3DE149FE-B946-4839-8649-0E20235015E1}"/>
  </bookViews>
  <sheets>
    <sheet name="Axial Forces" sheetId="9" r:id="rId1"/>
    <sheet name="Shaft 1" sheetId="1" r:id="rId2"/>
    <sheet name="Shaft 1 Tapered" sheetId="8" r:id="rId3"/>
    <sheet name="Shaft 2" sheetId="2" r:id="rId4"/>
    <sheet name="Shaft 3" sheetId="3" r:id="rId5"/>
    <sheet name="Shaft 4" sheetId="4" r:id="rId6"/>
    <sheet name="Shaft 5" sheetId="5" r:id="rId7"/>
    <sheet name="Shaft 6" sheetId="6" r:id="rId8"/>
    <sheet name="Shaft 7" sheetId="7" r:id="rId9"/>
    <sheet name="Sheet1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9" l="1"/>
  <c r="C53" i="9"/>
  <c r="A53" i="9"/>
  <c r="G45" i="9"/>
  <c r="K7" i="9"/>
  <c r="C129" i="6" l="1"/>
  <c r="A129" i="6"/>
  <c r="D129" i="6" s="1"/>
  <c r="I125" i="6"/>
  <c r="D124" i="6" s="1"/>
  <c r="E124" i="6" s="1"/>
  <c r="H125" i="6"/>
  <c r="F56" i="6"/>
  <c r="D56" i="6"/>
  <c r="K57" i="6"/>
  <c r="L57" i="6" s="1"/>
  <c r="F124" i="6"/>
  <c r="B124" i="6"/>
  <c r="H119" i="6"/>
  <c r="C119" i="6"/>
  <c r="C52" i="6"/>
  <c r="A119" i="6"/>
  <c r="D119" i="6" s="1"/>
  <c r="F119" i="6"/>
  <c r="A112" i="6"/>
  <c r="D112" i="6" s="1"/>
  <c r="C112" i="6"/>
  <c r="G112" i="6" s="1"/>
  <c r="F109" i="6"/>
  <c r="A100" i="6"/>
  <c r="F36" i="1"/>
  <c r="D47" i="4"/>
  <c r="F47" i="4"/>
  <c r="A47" i="4"/>
  <c r="D44" i="4"/>
  <c r="D61" i="6"/>
  <c r="D61" i="7"/>
  <c r="B52" i="7"/>
  <c r="H53" i="7" s="1"/>
  <c r="I53" i="7" s="1"/>
  <c r="D47" i="7"/>
  <c r="A47" i="7"/>
  <c r="C37" i="6"/>
  <c r="D44" i="7"/>
  <c r="A37" i="6"/>
  <c r="A44" i="7"/>
  <c r="F34" i="6"/>
  <c r="A14" i="6"/>
  <c r="D46" i="5"/>
  <c r="I47" i="5"/>
  <c r="J82" i="5"/>
  <c r="A61" i="7"/>
  <c r="D52" i="7"/>
  <c r="E52" i="7" s="1"/>
  <c r="F52" i="7" s="1"/>
  <c r="F47" i="7"/>
  <c r="C44" i="7"/>
  <c r="F41" i="7"/>
  <c r="A36" i="7"/>
  <c r="D38" i="5"/>
  <c r="A38" i="5"/>
  <c r="F35" i="5"/>
  <c r="A30" i="5"/>
  <c r="A63" i="4"/>
  <c r="D63" i="4" s="1"/>
  <c r="C44" i="4"/>
  <c r="A44" i="4"/>
  <c r="F41" i="4"/>
  <c r="A36" i="4"/>
  <c r="B52" i="4" s="1"/>
  <c r="H53" i="4" s="1"/>
  <c r="I53" i="4" s="1"/>
  <c r="D52" i="4" s="1"/>
  <c r="E52" i="4" s="1"/>
  <c r="F52" i="4" s="1"/>
  <c r="F51" i="3"/>
  <c r="E51" i="3"/>
  <c r="D51" i="3"/>
  <c r="H52" i="3"/>
  <c r="I52" i="3" s="1"/>
  <c r="B51" i="3"/>
  <c r="F46" i="3"/>
  <c r="D46" i="3"/>
  <c r="A46" i="3"/>
  <c r="D41" i="3"/>
  <c r="F38" i="3"/>
  <c r="D58" i="2"/>
  <c r="I59" i="2"/>
  <c r="B58" i="2"/>
  <c r="F53" i="2"/>
  <c r="E53" i="2"/>
  <c r="D53" i="2"/>
  <c r="I54" i="2"/>
  <c r="B53" i="2"/>
  <c r="A50" i="2"/>
  <c r="D50" i="2" s="1"/>
  <c r="D40" i="2"/>
  <c r="A40" i="2"/>
  <c r="F37" i="2"/>
  <c r="D62" i="8"/>
  <c r="A62" i="8"/>
  <c r="C62" i="8"/>
  <c r="B62" i="8"/>
  <c r="D53" i="8"/>
  <c r="C53" i="8"/>
  <c r="B53" i="8"/>
  <c r="A53" i="8"/>
  <c r="M7" i="9"/>
  <c r="I7" i="9"/>
  <c r="G7" i="9"/>
  <c r="G39" i="8"/>
  <c r="F39" i="8"/>
  <c r="E39" i="8"/>
  <c r="D39" i="8"/>
  <c r="F36" i="8"/>
  <c r="L32" i="2"/>
  <c r="J32" i="2"/>
  <c r="M32" i="2" s="1"/>
  <c r="H32" i="2"/>
  <c r="E58" i="2" l="1"/>
  <c r="F58" i="2" s="1"/>
  <c r="D37" i="6"/>
  <c r="F52" i="6"/>
  <c r="B56" i="6" s="1"/>
  <c r="E56" i="6" s="1"/>
  <c r="A52" i="6"/>
  <c r="D52" i="6" s="1"/>
  <c r="F41" i="5"/>
  <c r="B46" i="5" s="1"/>
  <c r="A41" i="5"/>
  <c r="D41" i="5" s="1"/>
  <c r="E46" i="5"/>
  <c r="F46" i="5" s="1"/>
  <c r="O32" i="2"/>
  <c r="N32" i="2"/>
  <c r="P32" i="2" s="1"/>
  <c r="G65" i="1" l="1"/>
  <c r="B64" i="1"/>
  <c r="F58" i="1"/>
  <c r="E58" i="1"/>
  <c r="B58" i="1"/>
  <c r="D39" i="1"/>
  <c r="A53" i="1"/>
  <c r="D53" i="1" s="1"/>
  <c r="I64" i="1" l="1"/>
  <c r="J64" i="1" s="1"/>
</calcChain>
</file>

<file path=xl/sharedStrings.xml><?xml version="1.0" encoding="utf-8"?>
<sst xmlns="http://schemas.openxmlformats.org/spreadsheetml/2006/main" count="752" uniqueCount="279">
  <si>
    <t>Shaft 1</t>
  </si>
  <si>
    <t>Directions</t>
  </si>
  <si>
    <t>Shaft 2</t>
  </si>
  <si>
    <t>Shaft 3</t>
  </si>
  <si>
    <t>Shaft 4</t>
  </si>
  <si>
    <t>Shaft 5</t>
  </si>
  <si>
    <t>Shaft 6</t>
  </si>
  <si>
    <t>Shaft 7</t>
  </si>
  <si>
    <t>Shaft 8</t>
  </si>
  <si>
    <t>F4,3 (lb)</t>
  </si>
  <si>
    <t>F11,10 (lb)</t>
  </si>
  <si>
    <t>F7,6 (lb)</t>
  </si>
  <si>
    <t>F2,1 (lb)</t>
  </si>
  <si>
    <t>F1,2+F1,12 (lb)</t>
  </si>
  <si>
    <t>F6,7 (lb)</t>
  </si>
  <si>
    <t>F9,8 (lb)</t>
  </si>
  <si>
    <t>F12,1+F12,5</t>
  </si>
  <si>
    <t xml:space="preserve"> -y</t>
  </si>
  <si>
    <t xml:space="preserve"> -x</t>
  </si>
  <si>
    <t xml:space="preserve"> +y</t>
  </si>
  <si>
    <t xml:space="preserve"> +x</t>
  </si>
  <si>
    <t>F3,4 (lb)</t>
  </si>
  <si>
    <t>F8,9 (lb)</t>
  </si>
  <si>
    <t>F5,1 (lb)</t>
  </si>
  <si>
    <t>F10,11 (lb)</t>
  </si>
  <si>
    <t>Net Thrust</t>
  </si>
  <si>
    <t>Analysis was done based on mode 3 i.e.</t>
  </si>
  <si>
    <t>That is 1, 12,5,6 and 7 has no power flow.</t>
  </si>
  <si>
    <t>I.e. no forces between 1,12 5,6 qand 7.</t>
  </si>
  <si>
    <t>Mode 1</t>
  </si>
  <si>
    <t>F5,12 (lb)</t>
  </si>
  <si>
    <t>Shaft Length
(in)</t>
  </si>
  <si>
    <t>Bearing 1
Location (in)</t>
  </si>
  <si>
    <t>Bearing 2 Location (in)</t>
  </si>
  <si>
    <t>Shear Bearing 1 (lbs)</t>
  </si>
  <si>
    <t>Shear Bearing 2 (lbs)</t>
  </si>
  <si>
    <t>Moment Bearing 1 (lbin)</t>
  </si>
  <si>
    <t>Moment Bearing 2 (lbin)</t>
  </si>
  <si>
    <t>SKF is manufacturer of choice for selection.</t>
  </si>
  <si>
    <t>Mott recommends using upto date manufacturer
catalogs for selection.</t>
  </si>
  <si>
    <t>Gear #</t>
  </si>
  <si>
    <t>No.</t>
  </si>
  <si>
    <t>Power</t>
  </si>
  <si>
    <t>Rotational Speed</t>
  </si>
  <si>
    <t>Torque</t>
  </si>
  <si>
    <t>Diametral</t>
  </si>
  <si>
    <t>Pitch Diameter</t>
  </si>
  <si>
    <t>Spiral</t>
  </si>
  <si>
    <t>Pressure</t>
  </si>
  <si>
    <t>Pinion</t>
  </si>
  <si>
    <t>Face</t>
  </si>
  <si>
    <t>Mean Radius</t>
  </si>
  <si>
    <t>Tangential Force</t>
  </si>
  <si>
    <t>Radial Force</t>
  </si>
  <si>
    <t>Axial Force</t>
  </si>
  <si>
    <t>Pitch Line Velocity (fpm)</t>
  </si>
  <si>
    <t>Quality</t>
  </si>
  <si>
    <t>Teeth</t>
  </si>
  <si>
    <t>Transmitted (hp)</t>
  </si>
  <si>
    <t>(rpm)</t>
  </si>
  <si>
    <t>(lb-in)</t>
  </si>
  <si>
    <t>Pitch</t>
  </si>
  <si>
    <t>Angle</t>
  </si>
  <si>
    <t>Pitch Cone</t>
  </si>
  <si>
    <t>Width</t>
  </si>
  <si>
    <t>Of Pinion</t>
  </si>
  <si>
    <t>(lb)</t>
  </si>
  <si>
    <t>Number</t>
  </si>
  <si>
    <t>(degrees)</t>
  </si>
  <si>
    <t>(in)</t>
  </si>
  <si>
    <t>n/a</t>
  </si>
  <si>
    <t>A10</t>
  </si>
  <si>
    <t>Let Bearing 1 and 2 be regular ball bearing. Bearing 1 resists thrust load.</t>
  </si>
  <si>
    <t>Design life for the bearing is same as for the gears 25000 hours. See table 14-4 Mott.</t>
  </si>
  <si>
    <t xml:space="preserve">Design revolutions for both bearings are = </t>
  </si>
  <si>
    <t>Bearing 2
Equivalent Load (lb):</t>
  </si>
  <si>
    <t>V=1 as inner race rotates</t>
  </si>
  <si>
    <t>Minimum diameter at Bearing 1 Location (in)</t>
  </si>
  <si>
    <t>Basic Dynamic Load Rating (lb)</t>
  </si>
  <si>
    <t>k=3 for ball bearing</t>
  </si>
  <si>
    <t>0.97"</t>
  </si>
  <si>
    <t>The smallest ball bearing w.r.t table 14-3 that supports a Basic Dynamic load &gt; 13300 lbs is
Bearing Number 6310.</t>
  </si>
  <si>
    <t>Bearing 1
Equivalent Load (lb):</t>
  </si>
  <si>
    <t>Axial load (lb)</t>
  </si>
  <si>
    <t>1.35" (34.29mm)</t>
  </si>
  <si>
    <t>Can try reusing the same  bearing as  Bearing 2 i.e. 6310.</t>
  </si>
  <si>
    <t>Basic Static Load Rating (lb)</t>
  </si>
  <si>
    <t>T/C0</t>
  </si>
  <si>
    <t>X</t>
  </si>
  <si>
    <t xml:space="preserve">Y </t>
  </si>
  <si>
    <t>New Bearing 1
Equivalent Load (lb):</t>
  </si>
  <si>
    <t>New Basic Dynamic Load Rating (lb)</t>
  </si>
  <si>
    <t>New basic dynamic load  &gt; than that for 6310.</t>
  </si>
  <si>
    <t>Can try 6311.</t>
  </si>
  <si>
    <t>Y  (extrapolate)</t>
  </si>
  <si>
    <t>T/Co</t>
  </si>
  <si>
    <t>Y</t>
  </si>
  <si>
    <t>Can support new Dynamic load with 6311.</t>
  </si>
  <si>
    <t>Bearing 2 : 6310</t>
  </si>
  <si>
    <t>Bearing 1: 6311</t>
  </si>
  <si>
    <t>Retaininf ring: 0.55</t>
  </si>
  <si>
    <t>d1 = choose basic size- 0.583 (after applying rr 1.06 factor)</t>
  </si>
  <si>
    <t>d2= choose basic size</t>
  </si>
  <si>
    <t>d3= 55mm / 2.1654"</t>
  </si>
  <si>
    <t>d4= 50mm/1.9685"</t>
  </si>
  <si>
    <t>Support Bearings</t>
  </si>
  <si>
    <t>Bearing 1 Radial Force (lb)</t>
  </si>
  <si>
    <t>Bearing 2 Radial Force (lb)</t>
  </si>
  <si>
    <t>Thrust Force(lb)</t>
  </si>
  <si>
    <t>Equivalent load Bearing 1</t>
  </si>
  <si>
    <t>Equivalent load Bearing 2</t>
  </si>
  <si>
    <t>Basic Dynamic Load Bearing 1</t>
  </si>
  <si>
    <t>Basic Dynamic Load Bearing 2</t>
  </si>
  <si>
    <t>Bearing 2 is satisfied and 30206 works.</t>
  </si>
  <si>
    <t>Bearing 1 satisfied by 33206.</t>
  </si>
  <si>
    <t>We can use a single tapered bearing since we know the direction of the
axial forces. Even the ball bearings will suffice.</t>
  </si>
  <si>
    <t>BEARING 1 (33206):</t>
  </si>
  <si>
    <t xml:space="preserve">Bearing 2 (30206) </t>
  </si>
  <si>
    <t>Width: 0.98425</t>
  </si>
  <si>
    <t>https://medias-at.schaeffler.com/en/product/rotary/rolling-and-plain-bearings/roller-bearings/tapered-roller-bearings/30206-a/p/383368</t>
  </si>
  <si>
    <t>radius shaft: 0.5905</t>
  </si>
  <si>
    <t>Shoulder radius: ( 0.7085)</t>
  </si>
  <si>
    <t>Radius shaft:0.5905</t>
  </si>
  <si>
    <t>Width : 0.679</t>
  </si>
  <si>
    <t>Shoulder radius (0.7085-0.7285)</t>
  </si>
  <si>
    <t>https://medias-at.schaeffler.com/en/product/rotary/rolling-and-plain-bearings/roller-bearings/tapered-roller-bearings/33206/p/383840</t>
  </si>
  <si>
    <t>No.
Teeth</t>
  </si>
  <si>
    <t>Gear
Diameter (in)</t>
  </si>
  <si>
    <t>Max Power 
Transmitted (hp)</t>
  </si>
  <si>
    <t>Face Width
(in)</t>
  </si>
  <si>
    <t>Helix Angle 
(Degrees)</t>
  </si>
  <si>
    <t>Normal
Pressure Angle
(Degrees)</t>
  </si>
  <si>
    <t>Transverse
Pressure Angle
(Degrees)</t>
  </si>
  <si>
    <t>Rotational 
Speed (rpm)</t>
  </si>
  <si>
    <t>Torque
(lb-in)</t>
  </si>
  <si>
    <t>Number of
Load Cycles / 
Revolution</t>
  </si>
  <si>
    <t>Pitch Line 
Velocity (fpm)</t>
  </si>
  <si>
    <t>Tangential
 Force (lb)</t>
  </si>
  <si>
    <t>Radial
Force (lb)</t>
  </si>
  <si>
    <t>Axial 
Force (lb)</t>
  </si>
  <si>
    <t>Normal Force (lb)</t>
  </si>
  <si>
    <t>6305 is first bearing with sufficient C value and
bore diameter greater than minimum.</t>
  </si>
  <si>
    <t>6306 has bore greater than
min. dia and
sufficient C value.</t>
  </si>
  <si>
    <t>Y (extrapolate)</t>
  </si>
  <si>
    <t>New basic dynamic load &gt; 6317 lbf, iterate again</t>
  </si>
  <si>
    <t>Try 6307.</t>
  </si>
  <si>
    <t>Satisfied</t>
  </si>
  <si>
    <t>Bearing 1: 6307</t>
  </si>
  <si>
    <t>Bearing 2: 6305</t>
  </si>
  <si>
    <t>d1= 35mm / 1.3780"</t>
  </si>
  <si>
    <t>d2= choose basic size &gt; 35mm, gear 11 has pitch diameter 5.625"</t>
  </si>
  <si>
    <t>d3= choose basic size</t>
  </si>
  <si>
    <t>d4= 25mm / 0.9483"</t>
  </si>
  <si>
    <t>Shaft 3
Axial Force</t>
  </si>
  <si>
    <t>Bearing 1 Minimum Dia</t>
  </si>
  <si>
    <t>Bearing 2 Minimum Dia</t>
  </si>
  <si>
    <t>6306 has sufficient C-value and bore diameter.</t>
  </si>
  <si>
    <t>6307 has sufficient C-value and bore diameter.</t>
  </si>
  <si>
    <t>Bearing 2: 6306</t>
  </si>
  <si>
    <t xml:space="preserve">ISSUE: 6306 requires a larger shoulder diameter than 6307' bore diamter; solution is to upsize 6307 bearing to a 6308... </t>
  </si>
  <si>
    <t>d1= choose basic size</t>
  </si>
  <si>
    <t>d3= 35mm / 1.378"</t>
  </si>
  <si>
    <t>d4= 30mm / 1.1811"</t>
  </si>
  <si>
    <t>Gear 2 Rollerised:</t>
  </si>
  <si>
    <t>Gear 2 Location (in)</t>
  </si>
  <si>
    <t>Shear  Gear 2 (lbs)</t>
  </si>
  <si>
    <t>Moment Gear 2 (lbin)</t>
  </si>
  <si>
    <t>Gear 2 Minimum Dia</t>
  </si>
  <si>
    <t>6310 has sufficient bore diameter and
C value.</t>
  </si>
  <si>
    <t>Try 6306</t>
  </si>
  <si>
    <t>6306 is satisfactory.</t>
  </si>
  <si>
    <t>Bearing 1: 6306</t>
  </si>
  <si>
    <t>Bearing 2: 6308</t>
  </si>
  <si>
    <t>Gear 2
Equivalent Load (lb):</t>
  </si>
  <si>
    <t>6007 satisfies bore size and C-value</t>
  </si>
  <si>
    <t>a 6x06 bearing would also work
but would not give us a step in the shaft.</t>
  </si>
  <si>
    <t>Bearing Gear 2: 6304</t>
  </si>
  <si>
    <t>- this will not give a high enough shaft diamter to satisfy bearing 1'  shoulder requiremetns, must size up..</t>
  </si>
  <si>
    <t>Final Bearing Gear 2: 6008</t>
  </si>
  <si>
    <t>d1 = 30mm / 1.1811"</t>
  </si>
  <si>
    <t>d2 = 35mm / 1.575"</t>
  </si>
  <si>
    <t xml:space="preserve">WILL NEED A 6008 BEARING in order to satisfy min shoulder of bearing 1 (6306 bearing, min 1.4 d).... </t>
  </si>
  <si>
    <t>d4= choose basic size &gt; 40mm, might eat into teeth of bevel</t>
  </si>
  <si>
    <t>d5 =40mm / 1.5748"</t>
  </si>
  <si>
    <t>v2</t>
  </si>
  <si>
    <t>6306 beARING,</t>
  </si>
  <si>
    <t>d2 = 35mm / 1.378"</t>
  </si>
  <si>
    <t>d4= choose basic size &gt; 35mm</t>
  </si>
  <si>
    <t>d5 =35mm / 1.378"</t>
  </si>
  <si>
    <t>Try to find smaller bearing for bearing 2 on SKF.</t>
  </si>
  <si>
    <t>Satisfies minimum bore and C-value.</t>
  </si>
  <si>
    <t>Minimum diameter at Bearing 2 Location (in)</t>
  </si>
  <si>
    <t>6304 satisfies bore and C-value</t>
  </si>
  <si>
    <t>Initial basic static loading + 3597</t>
  </si>
  <si>
    <t xml:space="preserve">***i changed the numbers for 6404 bearing and it works.. </t>
  </si>
  <si>
    <t>initial T/Co</t>
  </si>
  <si>
    <t xml:space="preserve">**review </t>
  </si>
  <si>
    <t>Bearing 2: 6304</t>
  </si>
  <si>
    <t>d1: 30mm/1.1811"</t>
  </si>
  <si>
    <t>d2: d3&gt;choose basic size &gt; d1</t>
  </si>
  <si>
    <t>d3: largest basic size</t>
  </si>
  <si>
    <t>d4: d3&gt;choose basic size &gt; d5</t>
  </si>
  <si>
    <t>d5: 20mm / 0.7874"</t>
  </si>
  <si>
    <t>PD1: 2.25 and PD8: 2.25, when choosing d2 and d4 ensure sufficient rim</t>
  </si>
  <si>
    <t>Small gears, will check SKF for smaller / double row ball bearings for Bearing 1.</t>
  </si>
  <si>
    <t>like 31 mm</t>
  </si>
  <si>
    <t>like 32mm</t>
  </si>
  <si>
    <t>between 32 and 20mm</t>
  </si>
  <si>
    <t>If use 0.25 key, with 32 mm shaft</t>
  </si>
  <si>
    <t>***issue here cause the min shaft shoulder is too big, 1.067, and our max d is 1.02.... gonna use the 6404 since it requires a smaller shoulder (0.96) ....</t>
  </si>
  <si>
    <t>inches from center of gear, have 0.86 inches from tip of tooth.</t>
  </si>
  <si>
    <t>Tip of tooth to root of tooth is ~0.5625, will have high Kb but
still within limits for our chosen design.</t>
  </si>
  <si>
    <t>https://www.skf.com/ca/en/products/rolling-bearings/ball-bearings/deep-groove-ball-bearings#cid-493604</t>
  </si>
  <si>
    <t xml:space="preserve">Stronger bearings.. </t>
  </si>
  <si>
    <t xml:space="preserve">these would reduce the bore diameter enough: </t>
  </si>
  <si>
    <t>choosing 6404</t>
  </si>
  <si>
    <t>will use this for bearing 1+2....again review w/ Mo</t>
  </si>
  <si>
    <t>F67 (lb)</t>
  </si>
  <si>
    <t>F5,12(lb)</t>
  </si>
  <si>
    <t>Gear 5 Rollerised:</t>
  </si>
  <si>
    <t>Gear 5 Location (in)</t>
  </si>
  <si>
    <t>Shear  Gear 5 (lbs)</t>
  </si>
  <si>
    <t>Moment Gear 5 (lbin)</t>
  </si>
  <si>
    <t xml:space="preserve">Choose 6305 bearing 2: </t>
  </si>
  <si>
    <t>TRY 6303 bearing 1</t>
  </si>
  <si>
    <t>***I know this extra[olation doesnt make sense but I will tahe 0.114558 as being close enough tp 0.11, so no extrapolation just use the Y value (1.45) that is for a T/Co of 0.11...</t>
  </si>
  <si>
    <t>Gear 5
Equivalent Load (lb):</t>
  </si>
  <si>
    <t xml:space="preserve">Select : </t>
  </si>
  <si>
    <t>bearing 6005</t>
  </si>
  <si>
    <t>d= 0.984</t>
  </si>
  <si>
    <t>VERSION 2: GOOD VERSION</t>
  </si>
  <si>
    <t>Gear 5 Bearing Minimum</t>
  </si>
  <si>
    <t>6403 bearing info:</t>
  </si>
  <si>
    <t>Choose 6403 bearing 2:</t>
  </si>
  <si>
    <t>d= 0.669</t>
  </si>
  <si>
    <t>TRY 6304 bearing 1</t>
  </si>
  <si>
    <t>6304 bearing info:</t>
  </si>
  <si>
    <t>bearing 6206</t>
  </si>
  <si>
    <t>d= 1.181</t>
  </si>
  <si>
    <t>bearing 6206 info</t>
  </si>
  <si>
    <t>d1 = 0.787</t>
  </si>
  <si>
    <t>d2 = 1.181</t>
  </si>
  <si>
    <t>spline here</t>
  </si>
  <si>
    <t>d3 = 1.402+ (can be anything..)</t>
  </si>
  <si>
    <t>d4 = 1.250 - based off retaining ring and min shaft d</t>
  </si>
  <si>
    <t>key here, 0.25 x 0.25</t>
  </si>
  <si>
    <t>d5 = 0.699</t>
  </si>
  <si>
    <t>Thrust Load (lb)</t>
  </si>
  <si>
    <t>Gear 9 Rollerised:</t>
  </si>
  <si>
    <t>Gear 9 Location (in)</t>
  </si>
  <si>
    <t>Shear  Gear 9 (lbs)</t>
  </si>
  <si>
    <t>Moment Gear 9 (lbin)</t>
  </si>
  <si>
    <t>Gear 9 Minimum Dia</t>
  </si>
  <si>
    <t>6306 satisfy bore and C value</t>
  </si>
  <si>
    <t>bearing 6404 satisfies...</t>
  </si>
  <si>
    <t>Bearing 1: 6404</t>
  </si>
  <si>
    <t>Gear 9
Equivalent Load (lb):</t>
  </si>
  <si>
    <t>6304 does not satisfy bore requirement</t>
  </si>
  <si>
    <t>6206 satisfy bore size and C-value. No step in shaft.</t>
  </si>
  <si>
    <t>6007 should allow for a step and satisfy bore requirement + C value.</t>
  </si>
  <si>
    <t>Bearing Gear 9: 6007</t>
  </si>
  <si>
    <t>d1= 30mm/0.787"</t>
  </si>
  <si>
    <t>d2=  35mm / 1.378" (2.44" OD, gear 9 is 4.5" OD so should be okay w.r.t teeth) (check)</t>
  </si>
  <si>
    <t>d3= choose basic size&gt; d4</t>
  </si>
  <si>
    <t>d4= choose basic size&gt; 1.1811"</t>
  </si>
  <si>
    <t>d5= 30mm / 1.1811"</t>
  </si>
  <si>
    <t>**if issue with diamater of step: 6404</t>
  </si>
  <si>
    <t>Shaft #</t>
  </si>
  <si>
    <t>Shaft Length</t>
  </si>
  <si>
    <t>Bearing #1</t>
  </si>
  <si>
    <t>Bearing #2</t>
  </si>
  <si>
    <t>Location (in)</t>
  </si>
  <si>
    <t>Shear Force (lb)</t>
  </si>
  <si>
    <t>Axial Force (lb)</t>
  </si>
  <si>
    <t>Bearing</t>
  </si>
  <si>
    <t xml:space="preserve"> </t>
  </si>
  <si>
    <t>1 (tapered)</t>
  </si>
  <si>
    <t>Bearing 2: 6307 because previous bearing inetrfered w/ gear 4, output bevel.</t>
  </si>
  <si>
    <t>Might shift to the only cylindrical roller bearing i.e. N 207 ECP.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</si>
</sst>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1" xfId="0" applyFont="1" applyFill="1" applyBorder="1"/>
    <xf numFmtId="11" fontId="0" fillId="0" borderId="0" xfId="0" applyNumberFormat="1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1" fontId="0" fillId="0" borderId="1" xfId="0" applyNumberFormat="1" applyBorder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2" fillId="0" borderId="5" xfId="0" applyFont="1" applyBorder="1"/>
    <xf numFmtId="0" fontId="4" fillId="0" borderId="1" xfId="0" applyFont="1" applyBorder="1"/>
    <xf numFmtId="0" fontId="4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6" xfId="0" applyFont="1" applyBorder="1"/>
    <xf numFmtId="0" fontId="1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0" xfId="1"/>
    <xf numFmtId="0" fontId="8" fillId="0" borderId="0" xfId="0" applyFont="1"/>
    <xf numFmtId="0" fontId="9" fillId="2" borderId="0" xfId="0" applyFont="1" applyFill="1"/>
    <xf numFmtId="0" fontId="4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0" fillId="0" borderId="14" xfId="0" applyBorder="1"/>
    <xf numFmtId="0" fontId="2" fillId="0" borderId="17" xfId="0" applyFont="1" applyBorder="1" applyAlignment="1">
      <alignment wrapText="1"/>
    </xf>
    <xf numFmtId="0" fontId="0" fillId="0" borderId="16" xfId="0" applyBorder="1" applyAlignment="1">
      <alignment wrapText="1"/>
    </xf>
    <xf numFmtId="0" fontId="2" fillId="0" borderId="18" xfId="0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14" xfId="0" applyBorder="1" applyAlignment="1">
      <alignment wrapText="1"/>
    </xf>
    <xf numFmtId="0" fontId="4" fillId="0" borderId="20" xfId="0" applyFont="1" applyBorder="1" applyAlignment="1">
      <alignment wrapText="1"/>
    </xf>
    <xf numFmtId="0" fontId="0" fillId="0" borderId="21" xfId="0" applyBorder="1" applyAlignment="1">
      <alignment wrapText="1"/>
    </xf>
    <xf numFmtId="0" fontId="4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0" fillId="0" borderId="26" xfId="0" applyBorder="1" applyAlignment="1">
      <alignment wrapText="1"/>
    </xf>
    <xf numFmtId="0" fontId="10" fillId="0" borderId="1" xfId="0" applyFont="1" applyBorder="1"/>
    <xf numFmtId="0" fontId="0" fillId="0" borderId="0" xfId="0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tmp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11" Type="http://schemas.openxmlformats.org/officeDocument/2006/relationships/image" Target="../media/image14.tmp"/><Relationship Id="rId5" Type="http://schemas.openxmlformats.org/officeDocument/2006/relationships/image" Target="../media/image8.png"/><Relationship Id="rId10" Type="http://schemas.openxmlformats.org/officeDocument/2006/relationships/image" Target="../media/image13.tmp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8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tmp"/><Relationship Id="rId3" Type="http://schemas.openxmlformats.org/officeDocument/2006/relationships/image" Target="../media/image31.png"/><Relationship Id="rId7" Type="http://schemas.openxmlformats.org/officeDocument/2006/relationships/image" Target="../media/image33.png"/><Relationship Id="rId12" Type="http://schemas.openxmlformats.org/officeDocument/2006/relationships/image" Target="../media/image38.tmp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2.png"/><Relationship Id="rId11" Type="http://schemas.openxmlformats.org/officeDocument/2006/relationships/image" Target="../media/image37.tmp"/><Relationship Id="rId5" Type="http://schemas.openxmlformats.org/officeDocument/2006/relationships/image" Target="../media/image20.png"/><Relationship Id="rId15" Type="http://schemas.openxmlformats.org/officeDocument/2006/relationships/image" Target="../media/image41.tmp"/><Relationship Id="rId10" Type="http://schemas.openxmlformats.org/officeDocument/2006/relationships/image" Target="../media/image36.png"/><Relationship Id="rId4" Type="http://schemas.openxmlformats.org/officeDocument/2006/relationships/image" Target="../media/image25.png"/><Relationship Id="rId9" Type="http://schemas.openxmlformats.org/officeDocument/2006/relationships/image" Target="../media/image35.png"/><Relationship Id="rId14" Type="http://schemas.openxmlformats.org/officeDocument/2006/relationships/image" Target="../media/image40.tmp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3" Type="http://schemas.openxmlformats.org/officeDocument/2006/relationships/image" Target="../media/image44.png"/><Relationship Id="rId7" Type="http://schemas.openxmlformats.org/officeDocument/2006/relationships/image" Target="../media/image46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20.png"/><Relationship Id="rId5" Type="http://schemas.openxmlformats.org/officeDocument/2006/relationships/image" Target="../media/image25.png"/><Relationship Id="rId10" Type="http://schemas.openxmlformats.org/officeDocument/2006/relationships/image" Target="../media/image49.tmp"/><Relationship Id="rId4" Type="http://schemas.openxmlformats.org/officeDocument/2006/relationships/image" Target="../media/image45.png"/><Relationship Id="rId9" Type="http://schemas.openxmlformats.org/officeDocument/2006/relationships/image" Target="../media/image4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13" Type="http://schemas.openxmlformats.org/officeDocument/2006/relationships/image" Target="../media/image62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0" Type="http://schemas.openxmlformats.org/officeDocument/2006/relationships/image" Target="../media/image59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3" Type="http://schemas.openxmlformats.org/officeDocument/2006/relationships/image" Target="../media/image25.png"/><Relationship Id="rId7" Type="http://schemas.openxmlformats.org/officeDocument/2006/relationships/image" Target="../media/image67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6.png"/><Relationship Id="rId5" Type="http://schemas.openxmlformats.org/officeDocument/2006/relationships/image" Target="../media/image65.png"/><Relationship Id="rId10" Type="http://schemas.openxmlformats.org/officeDocument/2006/relationships/image" Target="../media/image70.png"/><Relationship Id="rId4" Type="http://schemas.openxmlformats.org/officeDocument/2006/relationships/image" Target="../media/image20.png"/><Relationship Id="rId9" Type="http://schemas.openxmlformats.org/officeDocument/2006/relationships/image" Target="../media/image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95250</xdr:rowOff>
    </xdr:from>
    <xdr:to>
      <xdr:col>9</xdr:col>
      <xdr:colOff>600839</xdr:colOff>
      <xdr:row>35</xdr:row>
      <xdr:rowOff>143520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42A7485-ACC8-F9FA-903D-CA1CA998A31C}"/>
            </a:ext>
          </a:extLst>
        </xdr:cNvPr>
        <xdr:cNvGrpSpPr/>
      </xdr:nvGrpSpPr>
      <xdr:grpSpPr>
        <a:xfrm>
          <a:off x="744682" y="2208068"/>
          <a:ext cx="6558293" cy="4620270"/>
          <a:chOff x="609600" y="2190750"/>
          <a:chExt cx="5477639" cy="4620270"/>
        </a:xfrm>
      </xdr:grpSpPr>
      <xdr:pic>
        <xdr:nvPicPr>
          <xdr:cNvPr id="3" name="Picture 2" descr="A diagram of a diagram&#10;&#10;Description automatically generated">
            <a:extLst>
              <a:ext uri="{FF2B5EF4-FFF2-40B4-BE49-F238E27FC236}">
                <a16:creationId xmlns:a16="http://schemas.microsoft.com/office/drawing/2014/main" id="{347723DA-7B35-0263-7EFC-24D2A070CD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2190750"/>
            <a:ext cx="5477639" cy="4620270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C0C39F3-8E69-DFAB-BE9A-E47A8C29D050}"/>
              </a:ext>
            </a:extLst>
          </xdr:cNvPr>
          <xdr:cNvCxnSpPr/>
        </xdr:nvCxnSpPr>
        <xdr:spPr>
          <a:xfrm flipV="1">
            <a:off x="4876800" y="2457450"/>
            <a:ext cx="0" cy="7810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4C6982CA-9B25-4019-1C24-B872C4BB79AF}"/>
              </a:ext>
            </a:extLst>
          </xdr:cNvPr>
          <xdr:cNvCxnSpPr/>
        </xdr:nvCxnSpPr>
        <xdr:spPr>
          <a:xfrm>
            <a:off x="4867275" y="3257550"/>
            <a:ext cx="82867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CA942FC2-609A-7E64-3576-3FB4DE9939C4}"/>
              </a:ext>
            </a:extLst>
          </xdr:cNvPr>
          <xdr:cNvSpPr txBox="1"/>
        </xdr:nvSpPr>
        <xdr:spPr>
          <a:xfrm>
            <a:off x="5457825" y="3009899"/>
            <a:ext cx="361950" cy="1809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CA" sz="1100"/>
              <a:t>+x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275F45FB-FE45-4B9F-9E65-950737426217}"/>
              </a:ext>
            </a:extLst>
          </xdr:cNvPr>
          <xdr:cNvSpPr txBox="1"/>
        </xdr:nvSpPr>
        <xdr:spPr>
          <a:xfrm>
            <a:off x="4914900" y="2581274"/>
            <a:ext cx="361950" cy="1809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CA" sz="1100"/>
              <a:t>+y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176894</xdr:rowOff>
    </xdr:from>
    <xdr:to>
      <xdr:col>6</xdr:col>
      <xdr:colOff>463249</xdr:colOff>
      <xdr:row>23</xdr:row>
      <xdr:rowOff>108858</xdr:rowOff>
    </xdr:to>
    <xdr:pic>
      <xdr:nvPicPr>
        <xdr:cNvPr id="2" name="Picture 1" descr="A graph with numbers and a line&#10;&#10;Description automatically generated with medium confidence">
          <a:extLst>
            <a:ext uri="{FF2B5EF4-FFF2-40B4-BE49-F238E27FC236}">
              <a16:creationId xmlns:a16="http://schemas.microsoft.com/office/drawing/2014/main" id="{A69FC174-1601-A1D3-024F-99BB313B3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2" y="1510394"/>
          <a:ext cx="4246034" cy="33609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15</xdr:col>
      <xdr:colOff>376819</xdr:colOff>
      <xdr:row>23</xdr:row>
      <xdr:rowOff>69273</xdr:rowOff>
    </xdr:to>
    <xdr:pic>
      <xdr:nvPicPr>
        <xdr:cNvPr id="3" name="Picture 2" descr="A graph with a line and numbers&#10;&#10;Description automatically generated">
          <a:extLst>
            <a:ext uri="{FF2B5EF4-FFF2-40B4-BE49-F238E27FC236}">
              <a16:creationId xmlns:a16="http://schemas.microsoft.com/office/drawing/2014/main" id="{C514239E-498F-9DA1-1E74-1AC73442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5227" y="1524000"/>
          <a:ext cx="4347631" cy="3307773"/>
        </a:xfrm>
        <a:prstGeom prst="rect">
          <a:avLst/>
        </a:prstGeom>
      </xdr:spPr>
    </xdr:pic>
    <xdr:clientData/>
  </xdr:twoCellAnchor>
  <xdr:twoCellAnchor editAs="oneCell">
    <xdr:from>
      <xdr:col>5</xdr:col>
      <xdr:colOff>702432</xdr:colOff>
      <xdr:row>37</xdr:row>
      <xdr:rowOff>403829</xdr:rowOff>
    </xdr:from>
    <xdr:to>
      <xdr:col>18</xdr:col>
      <xdr:colOff>157899</xdr:colOff>
      <xdr:row>44</xdr:row>
      <xdr:rowOff>9581</xdr:rowOff>
    </xdr:to>
    <xdr:pic>
      <xdr:nvPicPr>
        <xdr:cNvPr id="19" name="Picture 18" descr="A screenshot of a computer screen&#10;&#10;Description automatically generated">
          <a:extLst>
            <a:ext uri="{FF2B5EF4-FFF2-40B4-BE49-F238E27FC236}">
              <a16:creationId xmlns:a16="http://schemas.microsoft.com/office/drawing/2014/main" id="{80CDE6E5-C36D-693D-7CC6-0218994159CA}"/>
            </a:ext>
            <a:ext uri="{147F2762-F138-4A5C-976F-8EAC2B608ADB}">
              <a16:predDERef xmlns:a16="http://schemas.microsoft.com/office/drawing/2014/main" pred="{C514239E-498F-9DA1-1E74-1AC73442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7170964" y="5908222"/>
          <a:ext cx="2568027" cy="7942242"/>
        </a:xfrm>
        <a:prstGeom prst="rect">
          <a:avLst/>
        </a:prstGeom>
      </xdr:spPr>
    </xdr:pic>
    <xdr:clientData/>
  </xdr:twoCellAnchor>
  <xdr:twoCellAnchor editAs="oneCell">
    <xdr:from>
      <xdr:col>0</xdr:col>
      <xdr:colOff>242454</xdr:colOff>
      <xdr:row>74</xdr:row>
      <xdr:rowOff>103909</xdr:rowOff>
    </xdr:from>
    <xdr:to>
      <xdr:col>7</xdr:col>
      <xdr:colOff>61479</xdr:colOff>
      <xdr:row>94</xdr:row>
      <xdr:rowOff>103909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AC3A1DF-DB23-06D3-5B8F-907832B61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54" y="19379045"/>
          <a:ext cx="501448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176894</xdr:rowOff>
    </xdr:from>
    <xdr:to>
      <xdr:col>7</xdr:col>
      <xdr:colOff>454285</xdr:colOff>
      <xdr:row>23</xdr:row>
      <xdr:rowOff>108858</xdr:rowOff>
    </xdr:to>
    <xdr:pic>
      <xdr:nvPicPr>
        <xdr:cNvPr id="2" name="Picture 1" descr="A graph with numbers and a line&#10;&#10;Description automatically generated with medium confidence">
          <a:extLst>
            <a:ext uri="{FF2B5EF4-FFF2-40B4-BE49-F238E27FC236}">
              <a16:creationId xmlns:a16="http://schemas.microsoft.com/office/drawing/2014/main" id="{48E72FF0-B89A-45A3-B492-9250AE7FE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1" y="1510394"/>
          <a:ext cx="4235148" cy="33609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16</xdr:col>
      <xdr:colOff>110119</xdr:colOff>
      <xdr:row>23</xdr:row>
      <xdr:rowOff>69273</xdr:rowOff>
    </xdr:to>
    <xdr:pic>
      <xdr:nvPicPr>
        <xdr:cNvPr id="3" name="Picture 2" descr="A graph with a line and numbers&#10;&#10;Description automatically generated">
          <a:extLst>
            <a:ext uri="{FF2B5EF4-FFF2-40B4-BE49-F238E27FC236}">
              <a16:creationId xmlns:a16="http://schemas.microsoft.com/office/drawing/2014/main" id="{AE7E5260-2830-46D7-9F2C-B07AA373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1524000"/>
          <a:ext cx="4377319" cy="3307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</xdr:row>
      <xdr:rowOff>140073</xdr:rowOff>
    </xdr:from>
    <xdr:to>
      <xdr:col>17</xdr:col>
      <xdr:colOff>246530</xdr:colOff>
      <xdr:row>50</xdr:row>
      <xdr:rowOff>33619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B67F4EA-8F2F-09D0-8D7C-8889E7C7F8B0}"/>
            </a:ext>
          </a:extLst>
        </xdr:cNvPr>
        <xdr:cNvGrpSpPr/>
      </xdr:nvGrpSpPr>
      <xdr:grpSpPr>
        <a:xfrm>
          <a:off x="0" y="9284073"/>
          <a:ext cx="10656795" cy="1989046"/>
          <a:chOff x="0" y="9284073"/>
          <a:chExt cx="10656795" cy="1989046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89BEA1E1-4529-3F17-5A41-8ADCFD24A888}"/>
              </a:ext>
            </a:extLst>
          </xdr:cNvPr>
          <xdr:cNvGrpSpPr/>
        </xdr:nvGrpSpPr>
        <xdr:grpSpPr>
          <a:xfrm>
            <a:off x="0" y="9284073"/>
            <a:ext cx="10656795" cy="1371646"/>
            <a:chOff x="0" y="9284073"/>
            <a:chExt cx="10656795" cy="1371646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D8B62767-370D-FC64-9BBD-599BDD86C140}"/>
                </a:ext>
              </a:extLst>
            </xdr:cNvPr>
            <xdr:cNvGrpSpPr/>
          </xdr:nvGrpSpPr>
          <xdr:grpSpPr>
            <a:xfrm>
              <a:off x="0" y="9284073"/>
              <a:ext cx="10656795" cy="1067335"/>
              <a:chOff x="0" y="9009529"/>
              <a:chExt cx="10656795" cy="1067335"/>
            </a:xfrm>
          </xdr:grpSpPr>
          <xdr:pic>
            <xdr:nvPicPr>
              <xdr:cNvPr id="5" name="Picture 4">
                <a:extLst>
                  <a:ext uri="{FF2B5EF4-FFF2-40B4-BE49-F238E27FC236}">
                    <a16:creationId xmlns:a16="http://schemas.microsoft.com/office/drawing/2014/main" id="{155855C5-A680-5BEB-9F13-1E3792EB160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78441" y="9780012"/>
                <a:ext cx="10508518" cy="296852"/>
              </a:xfrm>
              <a:prstGeom prst="rect">
                <a:avLst/>
              </a:prstGeom>
            </xdr:spPr>
          </xdr:pic>
          <xdr:pic>
            <xdr:nvPicPr>
              <xdr:cNvPr id="6" name="Picture 5">
                <a:extLst>
                  <a:ext uri="{FF2B5EF4-FFF2-40B4-BE49-F238E27FC236}">
                    <a16:creationId xmlns:a16="http://schemas.microsoft.com/office/drawing/2014/main" id="{18C71800-3123-A478-30FC-AA454AA8DB0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0" y="9009529"/>
                <a:ext cx="10656795" cy="817446"/>
              </a:xfrm>
              <a:prstGeom prst="rect">
                <a:avLst/>
              </a:prstGeom>
            </xdr:spPr>
          </xdr:pic>
        </xdr:grpSp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A79CA654-EB03-B1E0-8AEB-24BB490F27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025588" y="10331824"/>
              <a:ext cx="4477375" cy="323895"/>
            </a:xfrm>
            <a:prstGeom prst="rect">
              <a:avLst/>
            </a:prstGeom>
          </xdr:spPr>
        </xdr:pic>
      </xdr:grp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F1DCCA9-6D83-5F44-B9E9-C809E19E2A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4824" y="10634382"/>
            <a:ext cx="10522323" cy="257736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4FC45C26-E484-C4B2-1CDB-1932015DA3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991971" y="10914531"/>
            <a:ext cx="4383740" cy="35858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54</xdr:row>
      <xdr:rowOff>11205</xdr:rowOff>
    </xdr:from>
    <xdr:to>
      <xdr:col>16</xdr:col>
      <xdr:colOff>384755</xdr:colOff>
      <xdr:row>56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F669C26-9649-BB3E-9DE8-039F4155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965205"/>
          <a:ext cx="10189902" cy="369795"/>
        </a:xfrm>
        <a:prstGeom prst="rect">
          <a:avLst/>
        </a:prstGeom>
      </xdr:spPr>
    </xdr:pic>
    <xdr:clientData/>
  </xdr:twoCellAnchor>
  <xdr:twoCellAnchor editAs="oneCell">
    <xdr:from>
      <xdr:col>5</xdr:col>
      <xdr:colOff>347383</xdr:colOff>
      <xdr:row>55</xdr:row>
      <xdr:rowOff>168088</xdr:rowOff>
    </xdr:from>
    <xdr:to>
      <xdr:col>13</xdr:col>
      <xdr:colOff>364870</xdr:colOff>
      <xdr:row>57</xdr:row>
      <xdr:rowOff>158615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1392E20-941C-8AF1-8928-676D75A05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96236" y="13312588"/>
          <a:ext cx="4858428" cy="371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11</xdr:col>
      <xdr:colOff>504825</xdr:colOff>
      <xdr:row>100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9B95C2-FF93-9A3F-BDD7-6ECCDE547145}"/>
            </a:ext>
            <a:ext uri="{147F2762-F138-4A5C-976F-8EAC2B608ADB}">
              <a16:predDERef xmlns:a16="http://schemas.microsoft.com/office/drawing/2014/main" pred="{51392E20-941C-8AF1-8928-676D75A05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068800"/>
          <a:ext cx="7334250" cy="61245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73</xdr:row>
      <xdr:rowOff>0</xdr:rowOff>
    </xdr:from>
    <xdr:to>
      <xdr:col>35</xdr:col>
      <xdr:colOff>209550</xdr:colOff>
      <xdr:row>97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ED537D-AE1B-380B-3684-8F39F41049A5}"/>
            </a:ext>
            <a:ext uri="{147F2762-F138-4A5C-976F-8EAC2B608ADB}">
              <a16:predDERef xmlns:a16="http://schemas.microsoft.com/office/drawing/2014/main" pred="{50141D65-7AC4-1E6F-84B5-91956A527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315825" y="17926050"/>
          <a:ext cx="9353550" cy="46482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100</xdr:row>
      <xdr:rowOff>0</xdr:rowOff>
    </xdr:from>
    <xdr:to>
      <xdr:col>38</xdr:col>
      <xdr:colOff>342900</xdr:colOff>
      <xdr:row>124</xdr:row>
      <xdr:rowOff>76200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D756AEE-3C3B-C0B6-17EB-C14D315ACA3D}"/>
            </a:ext>
            <a:ext uri="{147F2762-F138-4A5C-976F-8EAC2B608ADB}">
              <a16:predDERef xmlns:a16="http://schemas.microsoft.com/office/drawing/2014/main" pred="{06ED537D-AE1B-380B-3684-8F39F4104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925425" y="23069550"/>
          <a:ext cx="10706100" cy="4648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14</xdr:col>
      <xdr:colOff>581025</xdr:colOff>
      <xdr:row>139</xdr:row>
      <xdr:rowOff>9525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0344A9A-B673-4073-3052-C76FB7FC4A80}"/>
            </a:ext>
            <a:ext uri="{147F2762-F138-4A5C-976F-8EAC2B608ADB}">
              <a16:predDERef xmlns:a16="http://schemas.microsoft.com/office/drawing/2014/main" pred="{AD756AEE-3C3B-C0B6-17EB-C14D315AC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022050"/>
          <a:ext cx="9239250" cy="6486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7</xdr:row>
      <xdr:rowOff>152400</xdr:rowOff>
    </xdr:from>
    <xdr:to>
      <xdr:col>8</xdr:col>
      <xdr:colOff>301458</xdr:colOff>
      <xdr:row>28</xdr:row>
      <xdr:rowOff>29116</xdr:rowOff>
    </xdr:to>
    <xdr:pic>
      <xdr:nvPicPr>
        <xdr:cNvPr id="2" name="Picture 1" descr="A graph with numbers and lines&#10;&#10;Description automatically generated">
          <a:extLst>
            <a:ext uri="{FF2B5EF4-FFF2-40B4-BE49-F238E27FC236}">
              <a16:creationId xmlns:a16="http://schemas.microsoft.com/office/drawing/2014/main" id="{5F19A2D5-67FD-F36D-CA69-ED2FBD76B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866900"/>
          <a:ext cx="5306165" cy="38772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18</xdr:col>
      <xdr:colOff>400788</xdr:colOff>
      <xdr:row>28</xdr:row>
      <xdr:rowOff>124374</xdr:rowOff>
    </xdr:to>
    <xdr:pic>
      <xdr:nvPicPr>
        <xdr:cNvPr id="3" name="Picture 2" descr="A graph with a line and a point&#10;&#10;Description automatically generated with medium confidence">
          <a:extLst>
            <a:ext uri="{FF2B5EF4-FFF2-40B4-BE49-F238E27FC236}">
              <a16:creationId xmlns:a16="http://schemas.microsoft.com/office/drawing/2014/main" id="{61A2B5AC-6759-48EB-2B13-FB1F7D8A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905000"/>
          <a:ext cx="5277587" cy="3934374"/>
        </a:xfrm>
        <a:prstGeom prst="rect">
          <a:avLst/>
        </a:prstGeom>
      </xdr:spPr>
    </xdr:pic>
    <xdr:clientData/>
  </xdr:twoCellAnchor>
  <xdr:twoCellAnchor editAs="oneCell">
    <xdr:from>
      <xdr:col>8</xdr:col>
      <xdr:colOff>101097</xdr:colOff>
      <xdr:row>38</xdr:row>
      <xdr:rowOff>75794</xdr:rowOff>
    </xdr:from>
    <xdr:to>
      <xdr:col>16</xdr:col>
      <xdr:colOff>544285</xdr:colOff>
      <xdr:row>46</xdr:row>
      <xdr:rowOff>142815</xdr:rowOff>
    </xdr:to>
    <xdr:pic>
      <xdr:nvPicPr>
        <xdr:cNvPr id="4" name="Picture 3" descr="A screenshot of a computer&#10;&#10;Description automatically generated">
          <a:extLst>
            <a:ext uri="{FF2B5EF4-FFF2-40B4-BE49-F238E27FC236}">
              <a16:creationId xmlns:a16="http://schemas.microsoft.com/office/drawing/2014/main" id="{1744C294-65E3-1FFF-9A45-7AC9DD122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6711752" y="7344425"/>
          <a:ext cx="2734021" cy="5341759"/>
        </a:xfrm>
        <a:prstGeom prst="rect">
          <a:avLst/>
        </a:prstGeom>
      </xdr:spPr>
    </xdr:pic>
    <xdr:clientData/>
  </xdr:twoCellAnchor>
  <xdr:twoCellAnchor editAs="oneCell">
    <xdr:from>
      <xdr:col>8</xdr:col>
      <xdr:colOff>70889</xdr:colOff>
      <xdr:row>48</xdr:row>
      <xdr:rowOff>323720</xdr:rowOff>
    </xdr:from>
    <xdr:to>
      <xdr:col>16</xdr:col>
      <xdr:colOff>517072</xdr:colOff>
      <xdr:row>48</xdr:row>
      <xdr:rowOff>444040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B8182-88C2-5D5D-FD10-4ED01F54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7989892" y="9332003"/>
          <a:ext cx="120320" cy="5344754"/>
        </a:xfrm>
        <a:prstGeom prst="rect">
          <a:avLst/>
        </a:prstGeom>
      </xdr:spPr>
    </xdr:pic>
    <xdr:clientData/>
  </xdr:twoCellAnchor>
  <xdr:twoCellAnchor editAs="oneCell">
    <xdr:from>
      <xdr:col>8</xdr:col>
      <xdr:colOff>203561</xdr:colOff>
      <xdr:row>56</xdr:row>
      <xdr:rowOff>95797</xdr:rowOff>
    </xdr:from>
    <xdr:to>
      <xdr:col>16</xdr:col>
      <xdr:colOff>425625</xdr:colOff>
      <xdr:row>56</xdr:row>
      <xdr:rowOff>217717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DDDEE1-BCE1-F108-9CA0-EEDB5438B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8009705" y="12645939"/>
          <a:ext cx="121920" cy="51206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7</xdr:col>
      <xdr:colOff>323850</xdr:colOff>
      <xdr:row>84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BE936A-4FF5-F59E-A781-DFA4C894A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5550"/>
          <a:ext cx="461010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123825</xdr:rowOff>
    </xdr:from>
    <xdr:to>
      <xdr:col>9</xdr:col>
      <xdr:colOff>267437</xdr:colOff>
      <xdr:row>29</xdr:row>
      <xdr:rowOff>57699</xdr:rowOff>
    </xdr:to>
    <xdr:pic>
      <xdr:nvPicPr>
        <xdr:cNvPr id="2" name="Picture 1" descr="A graph with numbers and symbols&#10;&#10;Description automatically generated">
          <a:extLst>
            <a:ext uri="{FF2B5EF4-FFF2-40B4-BE49-F238E27FC236}">
              <a16:creationId xmlns:a16="http://schemas.microsoft.com/office/drawing/2014/main" id="{97A6D94D-BC4C-9E24-EE91-10E6D479F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28825"/>
          <a:ext cx="5277587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8</xdr:row>
      <xdr:rowOff>142875</xdr:rowOff>
    </xdr:from>
    <xdr:to>
      <xdr:col>18</xdr:col>
      <xdr:colOff>162671</xdr:colOff>
      <xdr:row>29</xdr:row>
      <xdr:rowOff>124381</xdr:rowOff>
    </xdr:to>
    <xdr:pic>
      <xdr:nvPicPr>
        <xdr:cNvPr id="3" name="Picture 2" descr="A graph with numbers and a line&#10;&#10;Description automatically generated">
          <a:extLst>
            <a:ext uri="{FF2B5EF4-FFF2-40B4-BE49-F238E27FC236}">
              <a16:creationId xmlns:a16="http://schemas.microsoft.com/office/drawing/2014/main" id="{7C2E4EDC-ED52-F996-E414-BEDE19C89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0" y="2047875"/>
          <a:ext cx="5344271" cy="3982006"/>
        </a:xfrm>
        <a:prstGeom prst="rect">
          <a:avLst/>
        </a:prstGeom>
      </xdr:spPr>
    </xdr:pic>
    <xdr:clientData/>
  </xdr:twoCellAnchor>
  <xdr:twoCellAnchor>
    <xdr:from>
      <xdr:col>9</xdr:col>
      <xdr:colOff>108494</xdr:colOff>
      <xdr:row>39</xdr:row>
      <xdr:rowOff>22055</xdr:rowOff>
    </xdr:from>
    <xdr:to>
      <xdr:col>18</xdr:col>
      <xdr:colOff>125370</xdr:colOff>
      <xdr:row>44</xdr:row>
      <xdr:rowOff>598674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B389F88-CF3A-78D2-4609-82F1FE7E0410}"/>
            </a:ext>
            <a:ext uri="{147F2762-F138-4A5C-976F-8EAC2B608ADB}">
              <a16:predDERef xmlns:a16="http://schemas.microsoft.com/office/drawing/2014/main" pred="{7C2E4EDC-ED52-F996-E414-BEDE19C89AAE}"/>
            </a:ext>
          </a:extLst>
        </xdr:cNvPr>
        <xdr:cNvGrpSpPr/>
      </xdr:nvGrpSpPr>
      <xdr:grpSpPr>
        <a:xfrm>
          <a:off x="5554553" y="8751437"/>
          <a:ext cx="5462935" cy="2672119"/>
          <a:chOff x="5535503" y="8875262"/>
          <a:chExt cx="5462935" cy="2672119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256720A5-75ED-88EC-F4B3-5CA61C619C27}"/>
              </a:ext>
            </a:extLst>
          </xdr:cNvPr>
          <xdr:cNvGrpSpPr/>
        </xdr:nvGrpSpPr>
        <xdr:grpSpPr>
          <a:xfrm>
            <a:off x="5535503" y="8875262"/>
            <a:ext cx="5462935" cy="2577151"/>
            <a:chOff x="5580326" y="8202909"/>
            <a:chExt cx="5462935" cy="2577151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8B80F1F3-3F61-48D5-B6A5-4CF3F1EBD9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 rot="5400000">
              <a:off x="8175138" y="6358893"/>
              <a:ext cx="120320" cy="5287125"/>
            </a:xfrm>
            <a:prstGeom prst="rect">
              <a:avLst/>
            </a:prstGeom>
          </xdr:spPr>
        </xdr:pic>
        <xdr:pic>
          <xdr:nvPicPr>
            <xdr:cNvPr id="5" name="Picture 4" descr="A screenshot of a computer&#10;&#10;Description automatically generated">
              <a:extLst>
                <a:ext uri="{FF2B5EF4-FFF2-40B4-BE49-F238E27FC236}">
                  <a16:creationId xmlns:a16="http://schemas.microsoft.com/office/drawing/2014/main" id="{627B53F2-345B-F121-7B38-CD79C7BE5E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 rot="5400000">
              <a:off x="7897277" y="5885958"/>
              <a:ext cx="739385" cy="5373288"/>
            </a:xfrm>
            <a:prstGeom prst="rect">
              <a:avLst/>
            </a:prstGeom>
          </xdr:spPr>
        </xdr:pic>
        <xdr:pic>
          <xdr:nvPicPr>
            <xdr:cNvPr id="8" name="Picture 7" descr="A screenshot of a computer&#10;&#10;Description automatically generated">
              <a:extLst>
                <a:ext uri="{FF2B5EF4-FFF2-40B4-BE49-F238E27FC236}">
                  <a16:creationId xmlns:a16="http://schemas.microsoft.com/office/drawing/2014/main" id="{667160AB-DB0D-A142-67B6-69159B9A9E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 rot="5400000">
              <a:off x="7986924" y="7723724"/>
              <a:ext cx="739385" cy="5373288"/>
            </a:xfrm>
            <a:prstGeom prst="rect">
              <a:avLst/>
            </a:prstGeom>
          </xdr:spPr>
        </xdr:pic>
      </xdr:grp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647EA00-545A-2987-B74A-A52D3C26D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5400000">
            <a:off x="8171185" y="8871264"/>
            <a:ext cx="119078" cy="523315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60</xdr:row>
      <xdr:rowOff>0</xdr:rowOff>
    </xdr:from>
    <xdr:to>
      <xdr:col>7</xdr:col>
      <xdr:colOff>352425</xdr:colOff>
      <xdr:row>78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D5913D-9316-7D7A-A1CB-3A5F0919F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92475"/>
          <a:ext cx="4619625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26</xdr:col>
      <xdr:colOff>314325</xdr:colOff>
      <xdr:row>90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0C9766-2176-C5C9-82E2-5B6D4355849C}"/>
            </a:ext>
            <a:ext uri="{147F2762-F138-4A5C-976F-8EAC2B608ADB}">
              <a16:predDERef xmlns:a16="http://schemas.microsoft.com/office/drawing/2014/main" pred="{C9D5913D-9316-7D7A-A1CB-3A5F0919F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5801975"/>
          <a:ext cx="8848725" cy="6010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466725</xdr:colOff>
      <xdr:row>2</xdr:row>
      <xdr:rowOff>123825</xdr:rowOff>
    </xdr:from>
    <xdr:to>
      <xdr:col>28</xdr:col>
      <xdr:colOff>114300</xdr:colOff>
      <xdr:row>20</xdr:row>
      <xdr:rowOff>95250</xdr:rowOff>
    </xdr:to>
    <xdr:pic>
      <xdr:nvPicPr>
        <xdr:cNvPr id="4" name="Picture 3" descr="A graph with numbers and a line&#10;&#10;Description automatically generated">
          <a:extLst>
            <a:ext uri="{FF2B5EF4-FFF2-40B4-BE49-F238E27FC236}">
              <a16:creationId xmlns:a16="http://schemas.microsoft.com/office/drawing/2014/main" id="{D6B75465-FB63-9BF6-7E55-EAF6BD1D9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8725" y="885825"/>
          <a:ext cx="4524375" cy="3400425"/>
        </a:xfrm>
        <a:prstGeom prst="rect">
          <a:avLst/>
        </a:prstGeom>
      </xdr:spPr>
    </xdr:pic>
    <xdr:clientData/>
  </xdr:twoCellAnchor>
  <xdr:twoCellAnchor editAs="oneCell">
    <xdr:from>
      <xdr:col>13</xdr:col>
      <xdr:colOff>63954</xdr:colOff>
      <xdr:row>5</xdr:row>
      <xdr:rowOff>114300</xdr:rowOff>
    </xdr:from>
    <xdr:to>
      <xdr:col>19</xdr:col>
      <xdr:colOff>36739</xdr:colOff>
      <xdr:row>21</xdr:row>
      <xdr:rowOff>67242</xdr:rowOff>
    </xdr:to>
    <xdr:pic>
      <xdr:nvPicPr>
        <xdr:cNvPr id="5" name="Picture 10" descr="A graph with numbers and lines&#10;&#10;Description automatically generated">
          <a:extLst>
            <a:ext uri="{FF2B5EF4-FFF2-40B4-BE49-F238E27FC236}">
              <a16:creationId xmlns:a16="http://schemas.microsoft.com/office/drawing/2014/main" id="{7743EA84-B4AE-1C52-F24E-CF0C234B4822}"/>
            </a:ext>
            <a:ext uri="{147F2762-F138-4A5C-976F-8EAC2B608ADB}">
              <a16:predDERef xmlns:a16="http://schemas.microsoft.com/office/drawing/2014/main" pred="{D6B75465-FB63-9BF6-7E55-EAF6BD1D9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8754" y="1447800"/>
          <a:ext cx="3630385" cy="3000942"/>
        </a:xfrm>
        <a:prstGeom prst="rect">
          <a:avLst/>
        </a:prstGeom>
      </xdr:spPr>
    </xdr:pic>
    <xdr:clientData/>
  </xdr:twoCellAnchor>
  <xdr:twoCellAnchor>
    <xdr:from>
      <xdr:col>10</xdr:col>
      <xdr:colOff>382680</xdr:colOff>
      <xdr:row>40</xdr:row>
      <xdr:rowOff>155205</xdr:rowOff>
    </xdr:from>
    <xdr:to>
      <xdr:col>23</xdr:col>
      <xdr:colOff>237004</xdr:colOff>
      <xdr:row>42</xdr:row>
      <xdr:rowOff>995650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B8A62B4-5590-D21B-B536-1A014C1B7622}"/>
            </a:ext>
            <a:ext uri="{147F2762-F138-4A5C-976F-8EAC2B608ADB}">
              <a16:predDERef xmlns:a16="http://schemas.microsoft.com/office/drawing/2014/main" pred="{7743EA84-B4AE-1C52-F24E-CF0C234B4822}"/>
            </a:ext>
          </a:extLst>
        </xdr:cNvPr>
        <xdr:cNvGrpSpPr/>
      </xdr:nvGrpSpPr>
      <xdr:grpSpPr>
        <a:xfrm>
          <a:off x="6488205" y="8918205"/>
          <a:ext cx="7779124" cy="1221445"/>
          <a:chOff x="4628029" y="8908680"/>
          <a:chExt cx="7720853" cy="1221445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8690A119-9C6F-748F-1FD3-85350F1C1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5400000">
            <a:off x="8391516" y="6195164"/>
            <a:ext cx="171474" cy="7698448"/>
          </a:xfrm>
          <a:prstGeom prst="rect">
            <a:avLst/>
          </a:prstGeom>
        </xdr:spPr>
      </xdr:pic>
      <xdr:pic>
        <xdr:nvPicPr>
          <xdr:cNvPr id="13" name="Picture 12" descr="A screenshot of a computer&#10;&#10;Description automatically generated">
            <a:extLst>
              <a:ext uri="{FF2B5EF4-FFF2-40B4-BE49-F238E27FC236}">
                <a16:creationId xmlns:a16="http://schemas.microsoft.com/office/drawing/2014/main" id="{D35DC92C-460A-4725-8667-7DBD3A3E30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5400000">
            <a:off x="7957246" y="5579464"/>
            <a:ext cx="1062419" cy="7720852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414617</xdr:colOff>
      <xdr:row>45</xdr:row>
      <xdr:rowOff>504266</xdr:rowOff>
    </xdr:from>
    <xdr:to>
      <xdr:col>20</xdr:col>
      <xdr:colOff>426748</xdr:colOff>
      <xdr:row>45</xdr:row>
      <xdr:rowOff>683562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D1D7171-EF7E-4807-A3A6-E6AF7BB8D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8500123" y="7513084"/>
          <a:ext cx="179296" cy="7878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7</xdr:col>
      <xdr:colOff>381000</xdr:colOff>
      <xdr:row>88</xdr:row>
      <xdr:rowOff>95250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B42E2D-D264-10B4-92A5-99A44E2BB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88075"/>
          <a:ext cx="465772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279313</xdr:colOff>
      <xdr:row>61</xdr:row>
      <xdr:rowOff>706805</xdr:rowOff>
    </xdr:from>
    <xdr:to>
      <xdr:col>21</xdr:col>
      <xdr:colOff>491110</xdr:colOff>
      <xdr:row>61</xdr:row>
      <xdr:rowOff>849700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08001D7-51BA-883B-F23C-8F93BF92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9087970" y="12763501"/>
          <a:ext cx="142895" cy="8078327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425824</xdr:colOff>
      <xdr:row>92</xdr:row>
      <xdr:rowOff>78441</xdr:rowOff>
    </xdr:from>
    <xdr:to>
      <xdr:col>12</xdr:col>
      <xdr:colOff>309160</xdr:colOff>
      <xdr:row>93</xdr:row>
      <xdr:rowOff>173731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5C7DB21-5B18-4B02-6688-F55DB1527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5824" y="23902147"/>
          <a:ext cx="7154273" cy="28579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81</xdr:row>
      <xdr:rowOff>0</xdr:rowOff>
    </xdr:from>
    <xdr:to>
      <xdr:col>22</xdr:col>
      <xdr:colOff>304800</xdr:colOff>
      <xdr:row>96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09E9EC-8C40-D863-5594-B3C02F6EB87A}"/>
            </a:ext>
            <a:ext uri="{147F2762-F138-4A5C-976F-8EAC2B608ADB}">
              <a16:predDERef xmlns:a16="http://schemas.microsoft.com/office/drawing/2014/main" pred="{35C7DB21-5B18-4B02-6688-F55DB1527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44000" y="21726525"/>
          <a:ext cx="4572000" cy="2933700"/>
        </a:xfrm>
        <a:prstGeom prst="rect">
          <a:avLst/>
        </a:prstGeom>
      </xdr:spPr>
    </xdr:pic>
    <xdr:clientData/>
  </xdr:twoCellAnchor>
  <xdr:twoCellAnchor editAs="oneCell">
    <xdr:from>
      <xdr:col>22</xdr:col>
      <xdr:colOff>470088</xdr:colOff>
      <xdr:row>69</xdr:row>
      <xdr:rowOff>30256</xdr:rowOff>
    </xdr:from>
    <xdr:to>
      <xdr:col>30</xdr:col>
      <xdr:colOff>169770</xdr:colOff>
      <xdr:row>87</xdr:row>
      <xdr:rowOff>50987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2CD3B1-AE59-5450-AFDE-78C1E087B482}"/>
            </a:ext>
            <a:ext uri="{147F2762-F138-4A5C-976F-8EAC2B608ADB}">
              <a16:predDERef xmlns:a16="http://schemas.microsoft.com/office/drawing/2014/main" pred="{3209E9EC-8C40-D863-5594-B3C02F6EB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93882" y="19472462"/>
          <a:ext cx="4540623" cy="3449731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2</xdr:row>
      <xdr:rowOff>114300</xdr:rowOff>
    </xdr:from>
    <xdr:to>
      <xdr:col>19</xdr:col>
      <xdr:colOff>381000</xdr:colOff>
      <xdr:row>21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907462-2D11-C07C-2674-46670FFCA62B}"/>
            </a:ext>
            <a:ext uri="{147F2762-F138-4A5C-976F-8EAC2B608ADB}">
              <a16:predDERef xmlns:a16="http://schemas.microsoft.com/office/drawing/2014/main" pred="{BC2CD3B1-AE59-5450-AFDE-78C1E087B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39050" y="876300"/>
          <a:ext cx="4324350" cy="35052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23</xdr:row>
      <xdr:rowOff>19050</xdr:rowOff>
    </xdr:from>
    <xdr:to>
      <xdr:col>19</xdr:col>
      <xdr:colOff>438150</xdr:colOff>
      <xdr:row>37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E40932-BDFB-BB69-D3BF-09E00566A10A}"/>
            </a:ext>
            <a:ext uri="{147F2762-F138-4A5C-976F-8EAC2B608ADB}">
              <a16:predDERef xmlns:a16="http://schemas.microsoft.com/office/drawing/2014/main" pred="{23907462-2D11-C07C-2674-46670FFCA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791450" y="4781550"/>
          <a:ext cx="4229100" cy="3429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3</xdr:row>
      <xdr:rowOff>38100</xdr:rowOff>
    </xdr:from>
    <xdr:to>
      <xdr:col>35</xdr:col>
      <xdr:colOff>457200</xdr:colOff>
      <xdr:row>22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2F9C4F-DC51-180B-99FA-665F697B9D1D}"/>
            </a:ext>
            <a:ext uri="{147F2762-F138-4A5C-976F-8EAC2B608ADB}">
              <a16:predDERef xmlns:a16="http://schemas.microsoft.com/office/drawing/2014/main" pred="{FBE40932-BDFB-BB69-D3BF-09E00566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440275" y="990600"/>
          <a:ext cx="4352925" cy="3600450"/>
        </a:xfrm>
        <a:prstGeom prst="rect">
          <a:avLst/>
        </a:prstGeom>
      </xdr:spPr>
    </xdr:pic>
    <xdr:clientData/>
  </xdr:twoCellAnchor>
  <xdr:twoCellAnchor editAs="oneCell">
    <xdr:from>
      <xdr:col>28</xdr:col>
      <xdr:colOff>466725</xdr:colOff>
      <xdr:row>45</xdr:row>
      <xdr:rowOff>190500</xdr:rowOff>
    </xdr:from>
    <xdr:to>
      <xdr:col>35</xdr:col>
      <xdr:colOff>438150</xdr:colOff>
      <xdr:row>53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8E9CBE-4946-75E2-C093-8D79545F373A}"/>
            </a:ext>
            <a:ext uri="{147F2762-F138-4A5C-976F-8EAC2B608ADB}">
              <a16:predDERef xmlns:a16="http://schemas.microsoft.com/office/drawing/2014/main" pred="{9B2F9C4F-DC51-180B-99FA-665F697B9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535525" y="11058525"/>
          <a:ext cx="4238625" cy="3524250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66675</xdr:colOff>
      <xdr:row>1</xdr:row>
      <xdr:rowOff>38100</xdr:rowOff>
    </xdr:from>
    <xdr:to>
      <xdr:col>28</xdr:col>
      <xdr:colOff>180975</xdr:colOff>
      <xdr:row>22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769C1F6-62EE-9A1E-D590-E98130E08262}"/>
            </a:ext>
            <a:ext uri="{147F2762-F138-4A5C-976F-8EAC2B608ADB}">
              <a16:predDERef xmlns:a16="http://schemas.microsoft.com/office/drawing/2014/main" pred="{D88E9CBE-4946-75E2-C093-8D79545F3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258675" y="609600"/>
          <a:ext cx="4991100" cy="4057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4</xdr:row>
      <xdr:rowOff>161925</xdr:rowOff>
    </xdr:from>
    <xdr:to>
      <xdr:col>6</xdr:col>
      <xdr:colOff>571500</xdr:colOff>
      <xdr:row>21</xdr:row>
      <xdr:rowOff>168473</xdr:rowOff>
    </xdr:to>
    <xdr:pic>
      <xdr:nvPicPr>
        <xdr:cNvPr id="3" name="Picture 2" descr="A graph with numbers and a line&#10;&#10;Description automatically generated">
          <a:extLst>
            <a:ext uri="{FF2B5EF4-FFF2-40B4-BE49-F238E27FC236}">
              <a16:creationId xmlns:a16="http://schemas.microsoft.com/office/drawing/2014/main" id="{9F1A7D5B-1D21-31F8-90F8-CDD8423F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304925"/>
          <a:ext cx="3943350" cy="32450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</xdr:row>
      <xdr:rowOff>38100</xdr:rowOff>
    </xdr:from>
    <xdr:to>
      <xdr:col>14</xdr:col>
      <xdr:colOff>48364</xdr:colOff>
      <xdr:row>21</xdr:row>
      <xdr:rowOff>189921</xdr:rowOff>
    </xdr:to>
    <xdr:pic>
      <xdr:nvPicPr>
        <xdr:cNvPr id="4" name="Picture 3" descr="A graph with numbers and a line&#10;&#10;Description automatically generated">
          <a:extLst>
            <a:ext uri="{FF2B5EF4-FFF2-40B4-BE49-F238E27FC236}">
              <a16:creationId xmlns:a16="http://schemas.microsoft.com/office/drawing/2014/main" id="{E8684AF7-23DB-B2EF-FAFC-235884496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300" y="1371600"/>
          <a:ext cx="4286989" cy="3199821"/>
        </a:xfrm>
        <a:prstGeom prst="rect">
          <a:avLst/>
        </a:prstGeom>
      </xdr:spPr>
    </xdr:pic>
    <xdr:clientData/>
  </xdr:twoCellAnchor>
  <xdr:twoCellAnchor editAs="oneCell">
    <xdr:from>
      <xdr:col>14</xdr:col>
      <xdr:colOff>235323</xdr:colOff>
      <xdr:row>3</xdr:row>
      <xdr:rowOff>100853</xdr:rowOff>
    </xdr:from>
    <xdr:to>
      <xdr:col>23</xdr:col>
      <xdr:colOff>95429</xdr:colOff>
      <xdr:row>23</xdr:row>
      <xdr:rowOff>310964</xdr:rowOff>
    </xdr:to>
    <xdr:pic>
      <xdr:nvPicPr>
        <xdr:cNvPr id="5" name="Picture 4" descr="A graph with numbers and a line&#10;&#10;Description automatically generated">
          <a:extLst>
            <a:ext uri="{FF2B5EF4-FFF2-40B4-BE49-F238E27FC236}">
              <a16:creationId xmlns:a16="http://schemas.microsoft.com/office/drawing/2014/main" id="{DE493214-0621-A3D3-989E-E2092F1C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6970" y="1053353"/>
          <a:ext cx="5306165" cy="4020111"/>
        </a:xfrm>
        <a:prstGeom prst="rect">
          <a:avLst/>
        </a:prstGeom>
      </xdr:spPr>
    </xdr:pic>
    <xdr:clientData/>
  </xdr:twoCellAnchor>
  <xdr:twoCellAnchor editAs="oneCell">
    <xdr:from>
      <xdr:col>9</xdr:col>
      <xdr:colOff>168382</xdr:colOff>
      <xdr:row>36</xdr:row>
      <xdr:rowOff>772912</xdr:rowOff>
    </xdr:from>
    <xdr:to>
      <xdr:col>22</xdr:col>
      <xdr:colOff>303970</xdr:colOff>
      <xdr:row>36</xdr:row>
      <xdr:rowOff>953912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128BCD-91B9-465A-CDD2-9AA85DC62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9525000" y="4482353"/>
          <a:ext cx="181000" cy="8002117"/>
        </a:xfrm>
        <a:prstGeom prst="rect">
          <a:avLst/>
        </a:prstGeom>
      </xdr:spPr>
    </xdr:pic>
    <xdr:clientData/>
  </xdr:twoCellAnchor>
  <xdr:twoCellAnchor>
    <xdr:from>
      <xdr:col>9</xdr:col>
      <xdr:colOff>168089</xdr:colOff>
      <xdr:row>34</xdr:row>
      <xdr:rowOff>100854</xdr:rowOff>
    </xdr:from>
    <xdr:to>
      <xdr:col>22</xdr:col>
      <xdr:colOff>116062</xdr:colOff>
      <xdr:row>36</xdr:row>
      <xdr:rowOff>782273</xdr:rowOff>
    </xdr:to>
    <xdr:pic>
      <xdr:nvPicPr>
        <xdr:cNvPr id="7" name="Picture 6" descr="A screenshot of a computer&#10;&#10;Description automatically generated">
          <a:extLst>
            <a:ext uri="{FF2B5EF4-FFF2-40B4-BE49-F238E27FC236}">
              <a16:creationId xmlns:a16="http://schemas.microsoft.com/office/drawing/2014/main" id="{0CE402A0-8F07-4B3E-B7A5-3C40A930B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8990189" y="3963813"/>
          <a:ext cx="1062419" cy="7814502"/>
        </a:xfrm>
        <a:prstGeom prst="rect">
          <a:avLst/>
        </a:prstGeom>
      </xdr:spPr>
    </xdr:pic>
    <xdr:clientData/>
  </xdr:twoCellAnchor>
  <xdr:twoCellAnchor>
    <xdr:from>
      <xdr:col>9</xdr:col>
      <xdr:colOff>179294</xdr:colOff>
      <xdr:row>39</xdr:row>
      <xdr:rowOff>851647</xdr:rowOff>
    </xdr:from>
    <xdr:to>
      <xdr:col>22</xdr:col>
      <xdr:colOff>191425</xdr:colOff>
      <xdr:row>39</xdr:row>
      <xdr:rowOff>1030943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4D3D5B-5F00-406E-ABEC-FE4D63E36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9475035" y="6336465"/>
          <a:ext cx="179296" cy="7878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304800</xdr:colOff>
      <xdr:row>73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D17A97-721D-40E6-8D96-85B2D98DF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7050"/>
          <a:ext cx="4600575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11206</xdr:colOff>
      <xdr:row>74</xdr:row>
      <xdr:rowOff>179294</xdr:rowOff>
    </xdr:from>
    <xdr:to>
      <xdr:col>15</xdr:col>
      <xdr:colOff>200558</xdr:colOff>
      <xdr:row>79</xdr:row>
      <xdr:rowOff>150848</xdr:rowOff>
    </xdr:to>
    <xdr:pic>
      <xdr:nvPicPr>
        <xdr:cNvPr id="10" name="Picture 9" descr="A number of numbers on a white background&#10;&#10;Description automatically generated">
          <a:extLst>
            <a:ext uri="{FF2B5EF4-FFF2-40B4-BE49-F238E27FC236}">
              <a16:creationId xmlns:a16="http://schemas.microsoft.com/office/drawing/2014/main" id="{9075425A-4530-38E6-CB74-62E6367C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265" y="18299206"/>
          <a:ext cx="3820058" cy="9240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80</xdr:row>
      <xdr:rowOff>0</xdr:rowOff>
    </xdr:from>
    <xdr:to>
      <xdr:col>21</xdr:col>
      <xdr:colOff>304800</xdr:colOff>
      <xdr:row>82</xdr:row>
      <xdr:rowOff>1495425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C092D1-E20E-BEDF-7C23-B57180D61A74}"/>
            </a:ext>
            <a:ext uri="{147F2762-F138-4A5C-976F-8EAC2B608ADB}">
              <a16:predDERef xmlns:a16="http://schemas.microsoft.com/office/drawing/2014/main" pred="{A6412FB0-8374-A0F6-65DF-F6D3D54ED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62975" y="19278600"/>
          <a:ext cx="4572000" cy="187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18</xdr:col>
      <xdr:colOff>161925</xdr:colOff>
      <xdr:row>117</xdr:row>
      <xdr:rowOff>19050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7E6E8D1-DAF4-CF30-ACD8-1E6A1811A14B}"/>
            </a:ext>
            <a:ext uri="{147F2762-F138-4A5C-976F-8EAC2B608ADB}">
              <a16:predDERef xmlns:a16="http://schemas.microsoft.com/office/drawing/2014/main" pred="{0DC092D1-E20E-BEDF-7C23-B57180D61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231600"/>
          <a:ext cx="11172825" cy="4591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18</xdr:col>
      <xdr:colOff>304800</xdr:colOff>
      <xdr:row>18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3FFFA1-094A-675F-4B9D-1BC9EDAB9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571500"/>
          <a:ext cx="4572000" cy="37623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26</xdr:col>
      <xdr:colOff>304800</xdr:colOff>
      <xdr:row>18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E43216-4A0A-E627-BCC7-3B9C2A0412EA}"/>
            </a:ext>
            <a:ext uri="{147F2762-F138-4A5C-976F-8EAC2B608ADB}">
              <a16:predDERef xmlns:a16="http://schemas.microsoft.com/office/drawing/2014/main" pred="{133FFFA1-094A-675F-4B9D-1BC9EDAB9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571500"/>
          <a:ext cx="4572000" cy="37623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34</xdr:col>
      <xdr:colOff>304800</xdr:colOff>
      <xdr:row>19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4E23E7-5983-A11A-E8E3-A53807CDE157}"/>
            </a:ext>
            <a:ext uri="{147F2762-F138-4A5C-976F-8EAC2B608ADB}">
              <a16:predDERef xmlns:a16="http://schemas.microsoft.com/office/drawing/2014/main" pred="{D0E43216-4A0A-E627-BCC7-3B9C2A041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0" y="762000"/>
          <a:ext cx="4572000" cy="379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85725</xdr:rowOff>
    </xdr:from>
    <xdr:to>
      <xdr:col>7</xdr:col>
      <xdr:colOff>285750</xdr:colOff>
      <xdr:row>82</xdr:row>
      <xdr:rowOff>76200</xdr:rowOff>
    </xdr:to>
    <xdr:pic>
      <xdr:nvPicPr>
        <xdr:cNvPr id="6" name="Picture 16">
          <a:extLst>
            <a:ext uri="{FF2B5EF4-FFF2-40B4-BE49-F238E27FC236}">
              <a16:creationId xmlns:a16="http://schemas.microsoft.com/office/drawing/2014/main" id="{20518D61-D1AD-4E62-A4E9-65EC7B2BCE37}"/>
            </a:ext>
            <a:ext uri="{147F2762-F138-4A5C-976F-8EAC2B608ADB}">
              <a16:predDERef xmlns:a16="http://schemas.microsoft.com/office/drawing/2014/main" pred="{FB4E23E7-5983-A11A-E8E3-A53807CDE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186929">
          <a:off x="576262" y="17311688"/>
          <a:ext cx="3419475" cy="457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17</xdr:col>
      <xdr:colOff>304800</xdr:colOff>
      <xdr:row>35</xdr:row>
      <xdr:rowOff>1285875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B8F16D-0454-034B-2DB6-0B575F87A24C}"/>
            </a:ext>
            <a:ext uri="{147F2762-F138-4A5C-976F-8EAC2B608ADB}">
              <a16:predDERef xmlns:a16="http://schemas.microsoft.com/office/drawing/2014/main" pred="{20518D61-D1AD-4E62-A4E9-65EC7B2BC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5343525"/>
          <a:ext cx="4572000" cy="3762375"/>
        </a:xfrm>
        <a:prstGeom prst="rect">
          <a:avLst/>
        </a:prstGeom>
      </xdr:spPr>
    </xdr:pic>
    <xdr:clientData/>
  </xdr:twoCellAnchor>
  <xdr:twoCellAnchor editAs="oneCell">
    <xdr:from>
      <xdr:col>17</xdr:col>
      <xdr:colOff>495300</xdr:colOff>
      <xdr:row>23</xdr:row>
      <xdr:rowOff>171450</xdr:rowOff>
    </xdr:from>
    <xdr:to>
      <xdr:col>25</xdr:col>
      <xdr:colOff>190500</xdr:colOff>
      <xdr:row>35</xdr:row>
      <xdr:rowOff>1266825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BC7920-61B7-6408-5F7E-24C3BC4E24F0}"/>
            </a:ext>
            <a:ext uri="{147F2762-F138-4A5C-976F-8EAC2B608ADB}">
              <a16:predDERef xmlns:a16="http://schemas.microsoft.com/office/drawing/2014/main" pred="{8EB8F16D-0454-034B-2DB6-0B575F87A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58500" y="5324475"/>
          <a:ext cx="4572000" cy="37623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24</xdr:row>
      <xdr:rowOff>0</xdr:rowOff>
    </xdr:from>
    <xdr:to>
      <xdr:col>34</xdr:col>
      <xdr:colOff>304800</xdr:colOff>
      <xdr:row>35</xdr:row>
      <xdr:rowOff>1314450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0A7EC6-13F6-3E9B-C3EA-34B3BCEA3E4C}"/>
            </a:ext>
            <a:ext uri="{147F2762-F138-4A5C-976F-8EAC2B608ADB}">
              <a16:predDERef xmlns:a16="http://schemas.microsoft.com/office/drawing/2014/main" pred="{98BC7920-61B7-6408-5F7E-24C3BC4E2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459200" y="5343525"/>
          <a:ext cx="4572000" cy="37909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107</xdr:row>
      <xdr:rowOff>0</xdr:rowOff>
    </xdr:from>
    <xdr:to>
      <xdr:col>22</xdr:col>
      <xdr:colOff>133350</xdr:colOff>
      <xdr:row>117</xdr:row>
      <xdr:rowOff>581025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05E0A94-7D85-42F4-BFA5-4EC68579E379}"/>
            </a:ext>
            <a:ext uri="{147F2762-F138-4A5C-976F-8EAC2B608ADB}">
              <a16:predDERef xmlns:a16="http://schemas.microsoft.com/office/drawing/2014/main" pred="{43708849-CDD8-21B2-5897-9825FBD40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7355800"/>
          <a:ext cx="6838950" cy="36480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122</xdr:row>
      <xdr:rowOff>0</xdr:rowOff>
    </xdr:from>
    <xdr:to>
      <xdr:col>22</xdr:col>
      <xdr:colOff>133350</xdr:colOff>
      <xdr:row>128</xdr:row>
      <xdr:rowOff>9525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EAD130-27E7-8922-B41D-149CDBFA64BA}"/>
            </a:ext>
            <a:ext uri="{147F2762-F138-4A5C-976F-8EAC2B608ADB}">
              <a16:predDERef xmlns:a16="http://schemas.microsoft.com/office/drawing/2014/main" pred="{505E0A94-7D85-42F4-BFA5-4EC68579E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34250" y="32537400"/>
          <a:ext cx="6229350" cy="32861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133</xdr:row>
      <xdr:rowOff>95250</xdr:rowOff>
    </xdr:from>
    <xdr:to>
      <xdr:col>20</xdr:col>
      <xdr:colOff>476250</xdr:colOff>
      <xdr:row>152</xdr:row>
      <xdr:rowOff>104775</xdr:rowOff>
    </xdr:to>
    <xdr:pic>
      <xdr:nvPicPr>
        <xdr:cNvPr id="18" name="Picture 13">
          <a:extLst>
            <a:ext uri="{FF2B5EF4-FFF2-40B4-BE49-F238E27FC236}">
              <a16:creationId xmlns:a16="http://schemas.microsoft.com/office/drawing/2014/main" id="{4EE76014-7521-2163-4F7D-FB5D3AF3B851}"/>
            </a:ext>
            <a:ext uri="{147F2762-F138-4A5C-976F-8EAC2B608ADB}">
              <a16:predDERef xmlns:a16="http://schemas.microsoft.com/office/drawing/2014/main" pred="{93EAD130-27E7-8922-B41D-149CDBFA6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15050" y="36861750"/>
          <a:ext cx="6572250" cy="3629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152400</xdr:rowOff>
    </xdr:from>
    <xdr:to>
      <xdr:col>7</xdr:col>
      <xdr:colOff>285750</xdr:colOff>
      <xdr:row>166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28E4A01-4097-419B-8A0D-7560AA9F767B}"/>
            </a:ext>
            <a:ext uri="{147F2762-F138-4A5C-976F-8EAC2B608ADB}">
              <a16:predDERef xmlns:a16="http://schemas.microsoft.com/office/drawing/2014/main" pred="{4EE76014-7521-2163-4F7D-FB5D3AF3B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186929">
          <a:off x="576262" y="39200138"/>
          <a:ext cx="3419475" cy="4572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590550</xdr:colOff>
      <xdr:row>88</xdr:row>
      <xdr:rowOff>66675</xdr:rowOff>
    </xdr:from>
    <xdr:to>
      <xdr:col>35</xdr:col>
      <xdr:colOff>285750</xdr:colOff>
      <xdr:row>102</xdr:row>
      <xdr:rowOff>219075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880A79-C930-01D6-EF55-2B4FD189B387}"/>
            </a:ext>
            <a:ext uri="{147F2762-F138-4A5C-976F-8EAC2B608ADB}">
              <a16:predDERef xmlns:a16="http://schemas.microsoft.com/office/drawing/2014/main" pred="{828E4A01-4097-419B-8A0D-7560AA9F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68800" y="22440900"/>
          <a:ext cx="4572000" cy="379095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88</xdr:row>
      <xdr:rowOff>9525</xdr:rowOff>
    </xdr:from>
    <xdr:to>
      <xdr:col>27</xdr:col>
      <xdr:colOff>304800</xdr:colOff>
      <xdr:row>102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82051F0-06BA-DA58-B9EA-4754217D6DFD}"/>
            </a:ext>
            <a:ext uri="{147F2762-F138-4A5C-976F-8EAC2B608ADB}">
              <a16:predDERef xmlns:a16="http://schemas.microsoft.com/office/drawing/2014/main" pred="{83880A79-C930-01D6-EF55-2B4FD189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211050" y="22383750"/>
          <a:ext cx="4572000" cy="3743325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87</xdr:row>
      <xdr:rowOff>38100</xdr:rowOff>
    </xdr:from>
    <xdr:to>
      <xdr:col>17</xdr:col>
      <xdr:colOff>581025</xdr:colOff>
      <xdr:row>101</xdr:row>
      <xdr:rowOff>161925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486DDC9-DB76-B812-4F50-76A12118CFA5}"/>
            </a:ext>
            <a:ext uri="{147F2762-F138-4A5C-976F-8EAC2B608ADB}">
              <a16:predDERef xmlns:a16="http://schemas.microsoft.com/office/drawing/2014/main" pred="{982051F0-06BA-DA58-B9EA-4754217D6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91275" y="22221825"/>
          <a:ext cx="4572000" cy="37623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6</xdr:col>
      <xdr:colOff>558311</xdr:colOff>
      <xdr:row>21</xdr:row>
      <xdr:rowOff>1</xdr:rowOff>
    </xdr:to>
    <xdr:pic>
      <xdr:nvPicPr>
        <xdr:cNvPr id="2" name="Picture 1" descr="A graph with numbers and lines&#10;&#10;Description automatically generated">
          <a:extLst>
            <a:ext uri="{FF2B5EF4-FFF2-40B4-BE49-F238E27FC236}">
              <a16:creationId xmlns:a16="http://schemas.microsoft.com/office/drawing/2014/main" id="{B6BF8E06-23BF-F769-A62D-C72DB8E7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1"/>
          <a:ext cx="4234961" cy="3238500"/>
        </a:xfrm>
        <a:prstGeom prst="rect">
          <a:avLst/>
        </a:prstGeom>
      </xdr:spPr>
    </xdr:pic>
    <xdr:clientData/>
  </xdr:twoCellAnchor>
  <xdr:twoCellAnchor editAs="oneCell">
    <xdr:from>
      <xdr:col>18</xdr:col>
      <xdr:colOff>161926</xdr:colOff>
      <xdr:row>2</xdr:row>
      <xdr:rowOff>152401</xdr:rowOff>
    </xdr:from>
    <xdr:to>
      <xdr:col>26</xdr:col>
      <xdr:colOff>188428</xdr:colOff>
      <xdr:row>21</xdr:row>
      <xdr:rowOff>133351</xdr:rowOff>
    </xdr:to>
    <xdr:pic>
      <xdr:nvPicPr>
        <xdr:cNvPr id="3" name="Picture 2" descr="A graph with numbers and a line&#10;&#10;Description automatically generated">
          <a:extLst>
            <a:ext uri="{FF2B5EF4-FFF2-40B4-BE49-F238E27FC236}">
              <a16:creationId xmlns:a16="http://schemas.microsoft.com/office/drawing/2014/main" id="{A75DCBB7-504D-8D79-A79F-A8CC697D65E9}"/>
            </a:ext>
            <a:ext uri="{147F2762-F138-4A5C-976F-8EAC2B608ADB}">
              <a16:predDERef xmlns:a16="http://schemas.microsoft.com/office/drawing/2014/main" pred="{B6BF8E06-23BF-F769-A62D-C72DB8E7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3776" y="914401"/>
          <a:ext cx="4903302" cy="3600450"/>
        </a:xfrm>
        <a:prstGeom prst="rect">
          <a:avLst/>
        </a:prstGeom>
      </xdr:spPr>
    </xdr:pic>
    <xdr:clientData/>
  </xdr:twoCellAnchor>
  <xdr:twoCellAnchor>
    <xdr:from>
      <xdr:col>7</xdr:col>
      <xdr:colOff>161926</xdr:colOff>
      <xdr:row>42</xdr:row>
      <xdr:rowOff>123825</xdr:rowOff>
    </xdr:from>
    <xdr:to>
      <xdr:col>20</xdr:col>
      <xdr:colOff>128672</xdr:colOff>
      <xdr:row>42</xdr:row>
      <xdr:rowOff>1328457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1EB6AF3-3B6D-BE9D-4A6D-25E3244DEA02}"/>
            </a:ext>
          </a:extLst>
        </xdr:cNvPr>
        <xdr:cNvGrpSpPr/>
      </xdr:nvGrpSpPr>
      <xdr:grpSpPr>
        <a:xfrm>
          <a:off x="4420161" y="9267825"/>
          <a:ext cx="7833276" cy="1204632"/>
          <a:chOff x="1828801" y="10477500"/>
          <a:chExt cx="7891546" cy="1204632"/>
        </a:xfrm>
      </xdr:grpSpPr>
      <xdr:pic>
        <xdr:nvPicPr>
          <xdr:cNvPr id="6" name="Picture 5" descr="A screenshot of a computer&#10;&#10;Description automatically generated">
            <a:extLst>
              <a:ext uri="{FF2B5EF4-FFF2-40B4-BE49-F238E27FC236}">
                <a16:creationId xmlns:a16="http://schemas.microsoft.com/office/drawing/2014/main" id="{1DF2D88E-81FF-C3F5-4F19-45EE01CEE2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5400000">
            <a:off x="5158017" y="7148284"/>
            <a:ext cx="1062419" cy="7720852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2C5AE31-F8E0-43FD-BB70-F94C84D632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5400000">
            <a:off x="5691369" y="7653154"/>
            <a:ext cx="179296" cy="787866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590550</xdr:colOff>
      <xdr:row>59</xdr:row>
      <xdr:rowOff>762000</xdr:rowOff>
    </xdr:from>
    <xdr:to>
      <xdr:col>20</xdr:col>
      <xdr:colOff>96372</xdr:colOff>
      <xdr:row>59</xdr:row>
      <xdr:rowOff>923948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EACA554-7944-4B52-8333-BF27F829D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8187287" y="12462913"/>
          <a:ext cx="161948" cy="8040222"/>
        </a:xfrm>
        <a:prstGeom prst="rect">
          <a:avLst/>
        </a:prstGeom>
      </xdr:spPr>
    </xdr:pic>
    <xdr:clientData/>
  </xdr:twoCellAnchor>
  <xdr:twoCellAnchor editAs="oneCell">
    <xdr:from>
      <xdr:col>6</xdr:col>
      <xdr:colOff>604290</xdr:colOff>
      <xdr:row>60</xdr:row>
      <xdr:rowOff>24361</xdr:rowOff>
    </xdr:from>
    <xdr:to>
      <xdr:col>20</xdr:col>
      <xdr:colOff>119638</xdr:colOff>
      <xdr:row>61</xdr:row>
      <xdr:rowOff>24388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C21CF9-34D0-7587-0F0F-F92606E6A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8191500" y="13068301"/>
          <a:ext cx="190527" cy="80497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7</xdr:col>
      <xdr:colOff>304800</xdr:colOff>
      <xdr:row>85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94BA7B-7D55-9BFE-A3B2-577C3714D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8575"/>
          <a:ext cx="45910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9820</xdr:colOff>
      <xdr:row>61</xdr:row>
      <xdr:rowOff>270326</xdr:rowOff>
    </xdr:from>
    <xdr:to>
      <xdr:col>20</xdr:col>
      <xdr:colOff>116829</xdr:colOff>
      <xdr:row>61</xdr:row>
      <xdr:rowOff>441800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B1B4C49-162A-07E5-5A30-1B47AF8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8146676" y="13536706"/>
          <a:ext cx="171474" cy="79735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F36D80-B8E1-3CEB-7EB8-4B72A299D6F5}"/>
            </a:ext>
            <a:ext uri="{147F2762-F138-4A5C-976F-8EAC2B608ADB}">
              <a16:predDERef xmlns:a16="http://schemas.microsoft.com/office/drawing/2014/main" pred="{8B1B4C49-162A-07E5-5A30-1B47AF8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00" y="22698075"/>
          <a:ext cx="4572000" cy="2809875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86</xdr:row>
      <xdr:rowOff>152400</xdr:rowOff>
    </xdr:from>
    <xdr:to>
      <xdr:col>14</xdr:col>
      <xdr:colOff>114300</xdr:colOff>
      <xdr:row>104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C598F3-98C5-8C73-D43C-A73280633867}"/>
            </a:ext>
            <a:ext uri="{147F2762-F138-4A5C-976F-8EAC2B608ADB}">
              <a16:predDERef xmlns:a16="http://schemas.microsoft.com/office/drawing/2014/main" pred="{9BF36D80-B8E1-3CEB-7EB8-4B72A299D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81300" y="23231475"/>
          <a:ext cx="5876925" cy="338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medias-at.schaeffler.com/en/product/rotary/rolling-and-plain-bearings/roller-bearings/tapered-roller-bearings/30206-a/p/383368" TargetMode="External"/><Relationship Id="rId1" Type="http://schemas.openxmlformats.org/officeDocument/2006/relationships/hyperlink" Target="https://medias-at.schaeffler.com/en/product/rotary/rolling-and-plain-bearings/roller-bearings/tapered-roller-bearings/33206/p/3838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skf.com/ca/en/products/rolling-bearings/ball-bearings/deep-groove-ball-bearing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C849-8835-4384-8CB8-DBA56A1F53D8}">
  <dimension ref="A1:P54"/>
  <sheetViews>
    <sheetView zoomScale="55" zoomScaleNormal="55" workbookViewId="0">
      <selection activeCell="Q51" sqref="Q51"/>
    </sheetView>
  </sheetViews>
  <sheetFormatPr defaultRowHeight="15" x14ac:dyDescent="0.25"/>
  <cols>
    <col min="1" max="16" width="11.28515625" customWidth="1"/>
  </cols>
  <sheetData>
    <row r="1" spans="1:16" ht="15.75" x14ac:dyDescent="0.25">
      <c r="A1" s="25" t="s">
        <v>0</v>
      </c>
      <c r="B1" s="24" t="s">
        <v>1</v>
      </c>
      <c r="C1" s="25" t="s">
        <v>2</v>
      </c>
      <c r="D1" s="24" t="s">
        <v>1</v>
      </c>
      <c r="E1" s="25" t="s">
        <v>3</v>
      </c>
      <c r="F1" s="24" t="s">
        <v>1</v>
      </c>
      <c r="G1" s="25" t="s">
        <v>4</v>
      </c>
      <c r="H1" s="24" t="s">
        <v>1</v>
      </c>
      <c r="I1" s="25" t="s">
        <v>5</v>
      </c>
      <c r="J1" s="24" t="s">
        <v>1</v>
      </c>
      <c r="K1" s="25" t="s">
        <v>6</v>
      </c>
      <c r="L1" s="24" t="s">
        <v>1</v>
      </c>
      <c r="M1" s="24" t="s">
        <v>7</v>
      </c>
      <c r="N1" s="24" t="s">
        <v>1</v>
      </c>
      <c r="O1" s="24" t="s">
        <v>8</v>
      </c>
      <c r="P1" s="24" t="s">
        <v>1</v>
      </c>
    </row>
    <row r="2" spans="1:16" x14ac:dyDescent="0.25">
      <c r="A2" s="5" t="s">
        <v>9</v>
      </c>
      <c r="C2" s="5" t="s">
        <v>10</v>
      </c>
      <c r="E2" s="5" t="s">
        <v>11</v>
      </c>
      <c r="G2" s="5" t="s">
        <v>12</v>
      </c>
      <c r="I2" s="5" t="s">
        <v>13</v>
      </c>
      <c r="K2" t="s">
        <v>14</v>
      </c>
      <c r="M2" t="s">
        <v>15</v>
      </c>
      <c r="O2" t="s">
        <v>16</v>
      </c>
    </row>
    <row r="3" spans="1:16" x14ac:dyDescent="0.25">
      <c r="A3" s="26">
        <v>475.00314200000003</v>
      </c>
      <c r="B3" s="5" t="s">
        <v>17</v>
      </c>
      <c r="C3" s="27">
        <v>222.2985893</v>
      </c>
      <c r="D3" s="5" t="s">
        <v>18</v>
      </c>
      <c r="E3" s="27">
        <v>211.11250749999999</v>
      </c>
      <c r="F3" s="5" t="s">
        <v>19</v>
      </c>
      <c r="G3" s="28">
        <v>133.3791536</v>
      </c>
      <c r="H3" s="5" t="s">
        <v>20</v>
      </c>
      <c r="I3" s="6">
        <v>244.52844820000001</v>
      </c>
      <c r="J3" s="5" t="s">
        <v>18</v>
      </c>
      <c r="K3" s="6">
        <v>105.55625379999999</v>
      </c>
      <c r="L3" t="s">
        <v>18</v>
      </c>
      <c r="M3" s="23">
        <v>111.1492946</v>
      </c>
      <c r="N3" s="5" t="s">
        <v>20</v>
      </c>
      <c r="O3" s="23">
        <v>88.919435710000002</v>
      </c>
      <c r="P3" t="s">
        <v>20</v>
      </c>
    </row>
    <row r="4" spans="1:16" x14ac:dyDescent="0.25">
      <c r="G4" s="5" t="s">
        <v>21</v>
      </c>
      <c r="I4" s="5" t="s">
        <v>22</v>
      </c>
      <c r="K4" t="s">
        <v>23</v>
      </c>
      <c r="M4" t="s">
        <v>24</v>
      </c>
    </row>
    <row r="5" spans="1:16" x14ac:dyDescent="0.25">
      <c r="G5" s="29">
        <v>237.50157100000001</v>
      </c>
      <c r="H5" s="5" t="s">
        <v>20</v>
      </c>
      <c r="I5" s="6">
        <v>111.1492946</v>
      </c>
      <c r="J5" s="5" t="s">
        <v>18</v>
      </c>
      <c r="K5" s="6">
        <v>88.919435710000002</v>
      </c>
      <c r="L5" t="s">
        <v>20</v>
      </c>
      <c r="M5" s="23">
        <v>222.2985893</v>
      </c>
      <c r="N5" s="5" t="s">
        <v>20</v>
      </c>
    </row>
    <row r="6" spans="1:16" x14ac:dyDescent="0.25">
      <c r="G6" s="5" t="s">
        <v>25</v>
      </c>
      <c r="I6" s="5" t="s">
        <v>25</v>
      </c>
      <c r="K6" t="s">
        <v>25</v>
      </c>
      <c r="M6" s="5" t="s">
        <v>25</v>
      </c>
    </row>
    <row r="7" spans="1:16" x14ac:dyDescent="0.25">
      <c r="G7" s="5">
        <f>G3+G5</f>
        <v>370.88072460000001</v>
      </c>
      <c r="H7" s="5" t="s">
        <v>20</v>
      </c>
      <c r="I7" s="5">
        <f>I3+I5</f>
        <v>355.67774280000003</v>
      </c>
      <c r="J7" s="5" t="s">
        <v>18</v>
      </c>
      <c r="K7">
        <f>K3-K5</f>
        <v>16.636818089999991</v>
      </c>
      <c r="L7" t="s">
        <v>18</v>
      </c>
      <c r="M7" s="5">
        <f>(M3+M5)</f>
        <v>333.44788390000002</v>
      </c>
      <c r="N7" s="5" t="s">
        <v>20</v>
      </c>
    </row>
    <row r="13" spans="1:16" x14ac:dyDescent="0.25">
      <c r="K13" t="s">
        <v>26</v>
      </c>
    </row>
    <row r="14" spans="1:16" x14ac:dyDescent="0.25">
      <c r="K14" t="s">
        <v>27</v>
      </c>
    </row>
    <row r="15" spans="1:16" x14ac:dyDescent="0.25">
      <c r="K15" t="s">
        <v>28</v>
      </c>
    </row>
    <row r="38" spans="1:8" ht="15.75" thickBot="1" x14ac:dyDescent="0.3">
      <c r="A38" s="44" t="s">
        <v>29</v>
      </c>
      <c r="B38" s="44"/>
      <c r="C38" s="44"/>
      <c r="D38" s="44"/>
      <c r="E38" s="44"/>
      <c r="F38" s="44"/>
      <c r="G38" s="44"/>
      <c r="H38" s="44"/>
    </row>
    <row r="39" spans="1:8" ht="16.5" thickTop="1" x14ac:dyDescent="0.25">
      <c r="A39" s="36" t="s">
        <v>0</v>
      </c>
      <c r="B39" s="42" t="s">
        <v>1</v>
      </c>
      <c r="C39" s="43" t="s">
        <v>2</v>
      </c>
      <c r="D39" s="42" t="s">
        <v>1</v>
      </c>
      <c r="E39" s="43" t="s">
        <v>3</v>
      </c>
      <c r="F39" s="42" t="s">
        <v>1</v>
      </c>
      <c r="G39" s="43" t="s">
        <v>4</v>
      </c>
      <c r="H39" s="42" t="s">
        <v>1</v>
      </c>
    </row>
    <row r="40" spans="1:8" x14ac:dyDescent="0.25">
      <c r="A40" s="13" t="s">
        <v>9</v>
      </c>
      <c r="B40" s="39"/>
      <c r="C40" s="38" t="s">
        <v>10</v>
      </c>
      <c r="D40" s="39"/>
      <c r="E40" s="38" t="s">
        <v>11</v>
      </c>
      <c r="F40" s="41"/>
      <c r="G40" s="38" t="s">
        <v>12</v>
      </c>
      <c r="H40" s="39"/>
    </row>
    <row r="41" spans="1:8" ht="15.75" thickBot="1" x14ac:dyDescent="0.3">
      <c r="A41" s="45">
        <v>475.00314200000003</v>
      </c>
      <c r="B41" s="46" t="s">
        <v>17</v>
      </c>
      <c r="C41" s="47">
        <v>222.2985893</v>
      </c>
      <c r="D41" s="46" t="s">
        <v>18</v>
      </c>
      <c r="E41" s="47">
        <v>211.11250749999999</v>
      </c>
      <c r="F41" s="46" t="s">
        <v>19</v>
      </c>
      <c r="G41" s="37">
        <v>133.3791536</v>
      </c>
      <c r="H41" s="40" t="s">
        <v>20</v>
      </c>
    </row>
    <row r="42" spans="1:8" ht="15.75" thickTop="1" x14ac:dyDescent="0.25">
      <c r="A42" s="1"/>
      <c r="B42" s="1"/>
      <c r="C42" s="1"/>
      <c r="D42" s="1"/>
      <c r="E42" s="1"/>
      <c r="F42" s="41"/>
      <c r="G42" s="38" t="s">
        <v>21</v>
      </c>
      <c r="H42" s="39"/>
    </row>
    <row r="43" spans="1:8" x14ac:dyDescent="0.25">
      <c r="A43" s="1"/>
      <c r="B43" s="1"/>
      <c r="C43" s="1"/>
      <c r="D43" s="1"/>
      <c r="E43" s="1"/>
      <c r="F43" s="41"/>
      <c r="G43" s="37">
        <v>237.50157100000001</v>
      </c>
      <c r="H43" s="40" t="s">
        <v>20</v>
      </c>
    </row>
    <row r="44" spans="1:8" x14ac:dyDescent="0.25">
      <c r="A44" s="1"/>
      <c r="B44" s="1"/>
      <c r="C44" s="1"/>
      <c r="D44" s="1"/>
      <c r="E44" s="1"/>
      <c r="F44" s="41"/>
      <c r="G44" s="38" t="s">
        <v>25</v>
      </c>
      <c r="H44" s="39"/>
    </row>
    <row r="45" spans="1:8" ht="15.75" thickBot="1" x14ac:dyDescent="0.3">
      <c r="A45" s="1"/>
      <c r="B45" s="1"/>
      <c r="C45" s="1"/>
      <c r="D45" s="1"/>
      <c r="E45" s="1"/>
      <c r="F45" s="41"/>
      <c r="G45" s="48">
        <f>G41+G43</f>
        <v>370.88072460000001</v>
      </c>
      <c r="H45" s="46" t="s">
        <v>20</v>
      </c>
    </row>
    <row r="46" spans="1:8" ht="16.5" thickTop="1" thickBot="1" x14ac:dyDescent="0.3">
      <c r="A46" s="49"/>
      <c r="B46" s="49"/>
      <c r="C46" s="49"/>
      <c r="D46" s="49"/>
      <c r="E46" s="49"/>
      <c r="F46" s="49"/>
      <c r="G46" s="49"/>
      <c r="H46" s="49"/>
    </row>
    <row r="47" spans="1:8" ht="16.5" thickTop="1" x14ac:dyDescent="0.25">
      <c r="A47" s="52" t="s">
        <v>5</v>
      </c>
      <c r="B47" s="50" t="s">
        <v>1</v>
      </c>
      <c r="C47" s="52" t="s">
        <v>6</v>
      </c>
      <c r="D47" s="50" t="s">
        <v>1</v>
      </c>
      <c r="E47" s="43" t="s">
        <v>7</v>
      </c>
      <c r="F47" s="50" t="s">
        <v>1</v>
      </c>
      <c r="G47" s="43" t="s">
        <v>8</v>
      </c>
      <c r="H47" s="50" t="s">
        <v>1</v>
      </c>
    </row>
    <row r="48" spans="1:8" ht="30" x14ac:dyDescent="0.25">
      <c r="A48" s="53" t="s">
        <v>13</v>
      </c>
      <c r="B48" s="41"/>
      <c r="C48" s="53" t="s">
        <v>14</v>
      </c>
      <c r="D48" s="39"/>
      <c r="E48" s="38" t="s">
        <v>15</v>
      </c>
      <c r="F48" s="39"/>
      <c r="G48" s="38" t="s">
        <v>16</v>
      </c>
      <c r="H48" s="39"/>
    </row>
    <row r="49" spans="1:8" ht="15.75" thickBot="1" x14ac:dyDescent="0.3">
      <c r="A49" s="55">
        <v>244.52844820000001</v>
      </c>
      <c r="B49" s="40" t="s">
        <v>18</v>
      </c>
      <c r="C49" s="54">
        <v>105.55625379999999</v>
      </c>
      <c r="D49" s="40" t="s">
        <v>18</v>
      </c>
      <c r="E49" s="37">
        <v>111.1492946</v>
      </c>
      <c r="F49" s="40" t="s">
        <v>20</v>
      </c>
      <c r="G49" s="47">
        <v>88.919435710000002</v>
      </c>
      <c r="H49" s="46" t="s">
        <v>20</v>
      </c>
    </row>
    <row r="50" spans="1:8" ht="15.75" thickTop="1" x14ac:dyDescent="0.25">
      <c r="A50" s="53" t="s">
        <v>22</v>
      </c>
      <c r="B50" s="41"/>
      <c r="C50" s="53" t="s">
        <v>30</v>
      </c>
      <c r="D50" s="39"/>
      <c r="E50" s="38" t="s">
        <v>24</v>
      </c>
      <c r="F50" s="39"/>
      <c r="G50" s="1"/>
      <c r="H50" s="1"/>
    </row>
    <row r="51" spans="1:8" x14ac:dyDescent="0.25">
      <c r="A51" s="55">
        <v>111.1492946</v>
      </c>
      <c r="B51" s="40" t="s">
        <v>18</v>
      </c>
      <c r="C51" s="54">
        <v>88.919435710000002</v>
      </c>
      <c r="D51" s="40" t="s">
        <v>20</v>
      </c>
      <c r="E51" s="37">
        <v>222.2985893</v>
      </c>
      <c r="F51" s="40" t="s">
        <v>20</v>
      </c>
      <c r="G51" s="1"/>
      <c r="H51" s="1"/>
    </row>
    <row r="52" spans="1:8" x14ac:dyDescent="0.25">
      <c r="A52" s="53" t="s">
        <v>25</v>
      </c>
      <c r="B52" s="41"/>
      <c r="C52" s="53" t="s">
        <v>25</v>
      </c>
      <c r="D52" s="39"/>
      <c r="E52" s="38" t="s">
        <v>25</v>
      </c>
      <c r="F52" s="39"/>
      <c r="G52" s="1"/>
      <c r="H52" s="1"/>
    </row>
    <row r="53" spans="1:8" ht="15.75" thickBot="1" x14ac:dyDescent="0.3">
      <c r="A53" s="56">
        <f>A49+A51</f>
        <v>355.67774280000003</v>
      </c>
      <c r="B53" s="46" t="s">
        <v>18</v>
      </c>
      <c r="C53" s="48">
        <f>C49-C51</f>
        <v>16.636818089999991</v>
      </c>
      <c r="D53" s="46" t="s">
        <v>18</v>
      </c>
      <c r="E53" s="51">
        <f>(E49+E51)</f>
        <v>333.44788390000002</v>
      </c>
      <c r="F53" s="46" t="s">
        <v>20</v>
      </c>
      <c r="G53" s="1"/>
      <c r="H53" s="1"/>
    </row>
    <row r="54" spans="1:8" ht="15.75" thickTop="1" x14ac:dyDescent="0.25">
      <c r="A54" s="1"/>
      <c r="B54" s="1"/>
      <c r="C54" s="1"/>
      <c r="D54" s="1"/>
      <c r="E54" s="1"/>
      <c r="F54" s="1"/>
      <c r="G54" s="1"/>
      <c r="H54" s="1"/>
    </row>
  </sheetData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36BE-C257-4D52-B364-90638765EB5D}">
  <dimension ref="A1:K15"/>
  <sheetViews>
    <sheetView workbookViewId="0">
      <selection activeCell="A12" sqref="A12:C15"/>
    </sheetView>
  </sheetViews>
  <sheetFormatPr defaultRowHeight="15" x14ac:dyDescent="0.25"/>
  <cols>
    <col min="1" max="1" width="10.7109375" customWidth="1"/>
  </cols>
  <sheetData>
    <row r="1" spans="1:11" x14ac:dyDescent="0.25">
      <c r="A1" s="72" t="s">
        <v>267</v>
      </c>
      <c r="B1" s="73" t="s">
        <v>268</v>
      </c>
      <c r="C1" s="71" t="s">
        <v>269</v>
      </c>
      <c r="D1" s="71"/>
      <c r="E1" s="71"/>
      <c r="F1" s="71"/>
      <c r="G1" s="71" t="s">
        <v>270</v>
      </c>
      <c r="H1" s="71"/>
      <c r="I1" s="71"/>
      <c r="J1" s="71"/>
    </row>
    <row r="2" spans="1:11" s="1" customFormat="1" ht="33" customHeight="1" x14ac:dyDescent="0.25">
      <c r="A2" s="72"/>
      <c r="B2" s="73"/>
      <c r="C2" s="13" t="s">
        <v>271</v>
      </c>
      <c r="D2" s="13" t="s">
        <v>272</v>
      </c>
      <c r="E2" s="13" t="s">
        <v>273</v>
      </c>
      <c r="F2" s="13" t="s">
        <v>274</v>
      </c>
      <c r="G2" s="13" t="s">
        <v>271</v>
      </c>
      <c r="H2" s="13" t="s">
        <v>272</v>
      </c>
      <c r="I2" s="13" t="s">
        <v>273</v>
      </c>
      <c r="J2" s="13" t="s">
        <v>274</v>
      </c>
      <c r="K2" s="1" t="s">
        <v>275</v>
      </c>
    </row>
    <row r="3" spans="1:11" x14ac:dyDescent="0.25">
      <c r="A3" s="5">
        <v>1</v>
      </c>
      <c r="B3" s="5">
        <v>4.25</v>
      </c>
      <c r="C3" s="5">
        <v>2</v>
      </c>
      <c r="D3" s="5">
        <v>1478.3</v>
      </c>
      <c r="E3" s="5">
        <v>475.00314200000003</v>
      </c>
      <c r="F3" s="5">
        <v>6311</v>
      </c>
      <c r="G3" s="5">
        <v>3.5</v>
      </c>
      <c r="H3" s="5">
        <v>1518.99</v>
      </c>
      <c r="I3" s="5" t="s">
        <v>70</v>
      </c>
      <c r="J3" s="5">
        <v>6310</v>
      </c>
    </row>
    <row r="4" spans="1:11" x14ac:dyDescent="0.25">
      <c r="A4" s="5" t="s">
        <v>276</v>
      </c>
      <c r="B4" s="5">
        <v>4.25</v>
      </c>
      <c r="C4" s="5">
        <v>2</v>
      </c>
      <c r="D4" s="5">
        <v>1478.3</v>
      </c>
      <c r="E4" s="5">
        <v>475.00314200000003</v>
      </c>
      <c r="F4" s="5">
        <v>33206</v>
      </c>
      <c r="G4" s="5">
        <v>3.5</v>
      </c>
      <c r="H4" s="5">
        <v>1518.99</v>
      </c>
      <c r="I4" s="5" t="s">
        <v>70</v>
      </c>
      <c r="J4" s="5">
        <v>33206</v>
      </c>
    </row>
    <row r="5" spans="1:11" x14ac:dyDescent="0.25">
      <c r="A5" s="5">
        <v>2</v>
      </c>
      <c r="B5" s="5">
        <v>6</v>
      </c>
      <c r="C5" s="5">
        <v>0.5</v>
      </c>
      <c r="D5" s="5">
        <v>587.74800000000005</v>
      </c>
      <c r="E5" s="6">
        <v>222.2985893</v>
      </c>
      <c r="F5" s="5">
        <v>6307</v>
      </c>
      <c r="G5" s="5">
        <v>5.5</v>
      </c>
      <c r="H5" s="5">
        <v>331.83100000000002</v>
      </c>
      <c r="I5" s="5" t="s">
        <v>70</v>
      </c>
      <c r="J5" s="5">
        <v>6305</v>
      </c>
    </row>
    <row r="6" spans="1:11" x14ac:dyDescent="0.25">
      <c r="A6" s="5">
        <v>3</v>
      </c>
      <c r="B6" s="5">
        <v>4.25</v>
      </c>
      <c r="C6" s="5">
        <v>2</v>
      </c>
      <c r="D6" s="5">
        <v>675.101</v>
      </c>
      <c r="E6" s="6">
        <v>211.11250749999999</v>
      </c>
      <c r="F6" s="5">
        <v>6307</v>
      </c>
      <c r="G6" s="5">
        <v>3.5</v>
      </c>
      <c r="H6" s="5">
        <v>675.101</v>
      </c>
      <c r="I6" s="5" t="s">
        <v>70</v>
      </c>
      <c r="J6" s="5">
        <v>6306</v>
      </c>
    </row>
    <row r="7" spans="1:11" x14ac:dyDescent="0.25">
      <c r="A7" s="5">
        <v>4</v>
      </c>
      <c r="B7" s="5">
        <v>12</v>
      </c>
      <c r="C7" s="5">
        <v>0.5</v>
      </c>
      <c r="D7" s="5">
        <v>479.35899999999998</v>
      </c>
      <c r="E7" s="5">
        <v>370.88072460000001</v>
      </c>
      <c r="F7" s="5">
        <v>6306</v>
      </c>
      <c r="G7" s="5">
        <v>9</v>
      </c>
      <c r="H7" s="5">
        <v>1156.8900000000001</v>
      </c>
      <c r="I7" s="5" t="s">
        <v>70</v>
      </c>
      <c r="J7" s="5">
        <v>6308</v>
      </c>
    </row>
    <row r="8" spans="1:11" x14ac:dyDescent="0.25">
      <c r="A8" s="5">
        <v>5</v>
      </c>
      <c r="B8" s="5">
        <v>12</v>
      </c>
      <c r="C8" s="5">
        <v>2.5</v>
      </c>
      <c r="D8" s="5">
        <v>155.88499999999999</v>
      </c>
      <c r="E8" s="5">
        <v>355.67774280000003</v>
      </c>
      <c r="F8" s="5">
        <v>6404</v>
      </c>
      <c r="G8" s="5">
        <v>11.5</v>
      </c>
      <c r="H8" s="5">
        <v>370.48099999999999</v>
      </c>
      <c r="I8" s="5" t="s">
        <v>70</v>
      </c>
      <c r="J8" s="5">
        <v>6404</v>
      </c>
    </row>
    <row r="9" spans="1:11" x14ac:dyDescent="0.25">
      <c r="A9" s="5">
        <v>6</v>
      </c>
      <c r="B9" s="5">
        <v>15</v>
      </c>
      <c r="C9" s="5">
        <v>0.5</v>
      </c>
      <c r="D9" s="5">
        <v>147.393</v>
      </c>
      <c r="E9" s="5">
        <v>168.63</v>
      </c>
      <c r="F9" s="5">
        <v>6304</v>
      </c>
      <c r="G9" s="5">
        <v>12.5</v>
      </c>
      <c r="H9" s="5">
        <v>514.43899999999996</v>
      </c>
      <c r="I9" s="5" t="s">
        <v>70</v>
      </c>
      <c r="J9" s="5">
        <v>6403</v>
      </c>
    </row>
    <row r="10" spans="1:11" x14ac:dyDescent="0.25">
      <c r="A10" s="5">
        <v>7</v>
      </c>
      <c r="B10" s="5">
        <v>12.25</v>
      </c>
      <c r="C10" s="5">
        <v>0.5</v>
      </c>
      <c r="D10" s="5">
        <v>146.08799999999999</v>
      </c>
      <c r="E10" s="5">
        <v>333.44788390000002</v>
      </c>
      <c r="F10" s="5">
        <v>6404</v>
      </c>
      <c r="G10" s="5">
        <v>11.75</v>
      </c>
      <c r="H10" s="5">
        <v>614.93299999999999</v>
      </c>
      <c r="I10" s="5" t="s">
        <v>70</v>
      </c>
      <c r="J10" s="5">
        <v>6306</v>
      </c>
    </row>
    <row r="12" spans="1:11" ht="45" x14ac:dyDescent="0.25">
      <c r="A12" s="13" t="s">
        <v>40</v>
      </c>
      <c r="B12" s="13" t="s">
        <v>272</v>
      </c>
      <c r="C12" s="13" t="s">
        <v>274</v>
      </c>
    </row>
    <row r="13" spans="1:11" x14ac:dyDescent="0.25">
      <c r="A13" s="5">
        <v>2</v>
      </c>
      <c r="B13" s="5">
        <v>479.35899999999998</v>
      </c>
      <c r="C13" s="57">
        <v>6010</v>
      </c>
    </row>
    <row r="14" spans="1:11" x14ac:dyDescent="0.25">
      <c r="A14" s="5">
        <v>5</v>
      </c>
      <c r="B14" s="5">
        <v>252.36</v>
      </c>
      <c r="C14" s="57">
        <v>6206</v>
      </c>
    </row>
    <row r="15" spans="1:11" x14ac:dyDescent="0.25">
      <c r="A15" s="5">
        <v>9</v>
      </c>
      <c r="B15" s="5">
        <v>357.95699999999999</v>
      </c>
      <c r="C15" s="57">
        <v>6007</v>
      </c>
    </row>
  </sheetData>
  <mergeCells count="4">
    <mergeCell ref="C1:F1"/>
    <mergeCell ref="G1:J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4F95-3CD4-4220-9DCF-F49E1B6BB8F6}">
  <sheetPr>
    <pageSetUpPr fitToPage="1"/>
  </sheetPr>
  <dimension ref="A1:T83"/>
  <sheetViews>
    <sheetView topLeftCell="A42" zoomScale="70" zoomScaleNormal="70" workbookViewId="0">
      <selection activeCell="AB25" sqref="AB25"/>
    </sheetView>
  </sheetViews>
  <sheetFormatPr defaultRowHeight="15" x14ac:dyDescent="0.25"/>
  <cols>
    <col min="1" max="1" width="12.5703125" customWidth="1"/>
    <col min="3" max="3" width="10.42578125" customWidth="1"/>
    <col min="4" max="4" width="15.42578125" customWidth="1"/>
    <col min="6" max="6" width="12.42578125" bestFit="1" customWidth="1"/>
    <col min="10" max="10" width="14.28515625" customWidth="1"/>
  </cols>
  <sheetData>
    <row r="1" spans="1:20" ht="45" x14ac:dyDescent="0.25">
      <c r="A1" s="13" t="s">
        <v>31</v>
      </c>
      <c r="B1" s="13" t="s">
        <v>32</v>
      </c>
      <c r="C1" s="16" t="s">
        <v>33</v>
      </c>
      <c r="D1" s="13" t="s">
        <v>34</v>
      </c>
      <c r="E1" s="13" t="s">
        <v>35</v>
      </c>
      <c r="F1" s="13" t="s">
        <v>36</v>
      </c>
      <c r="G1" s="13" t="s">
        <v>37</v>
      </c>
      <c r="I1" s="3"/>
      <c r="T1" s="4" t="s">
        <v>38</v>
      </c>
    </row>
    <row r="2" spans="1:20" x14ac:dyDescent="0.25">
      <c r="A2" s="5">
        <v>4.25</v>
      </c>
      <c r="B2" s="5">
        <v>2</v>
      </c>
      <c r="C2" s="5">
        <v>3.5</v>
      </c>
      <c r="D2" s="5">
        <v>1478.3</v>
      </c>
      <c r="E2" s="5">
        <v>1518.99</v>
      </c>
      <c r="F2" s="5">
        <v>2269.91</v>
      </c>
      <c r="G2" s="5">
        <v>0.16880000000000001</v>
      </c>
      <c r="T2" t="s">
        <v>39</v>
      </c>
    </row>
    <row r="27" spans="1:17" ht="30" x14ac:dyDescent="0.25">
      <c r="A27" s="59" t="s">
        <v>40</v>
      </c>
      <c r="B27" s="7" t="s">
        <v>41</v>
      </c>
      <c r="C27" s="7" t="s">
        <v>42</v>
      </c>
      <c r="D27" s="7" t="s">
        <v>43</v>
      </c>
      <c r="E27" s="7" t="s">
        <v>44</v>
      </c>
      <c r="F27" s="7" t="s">
        <v>45</v>
      </c>
      <c r="G27" s="62" t="s">
        <v>46</v>
      </c>
      <c r="H27" s="7" t="s">
        <v>47</v>
      </c>
      <c r="I27" s="7" t="s">
        <v>48</v>
      </c>
      <c r="J27" s="7" t="s">
        <v>49</v>
      </c>
      <c r="K27" s="7" t="s">
        <v>50</v>
      </c>
      <c r="L27" s="7" t="s">
        <v>51</v>
      </c>
      <c r="M27" s="7" t="s">
        <v>52</v>
      </c>
      <c r="N27" s="7" t="s">
        <v>53</v>
      </c>
      <c r="O27" s="7" t="s">
        <v>54</v>
      </c>
      <c r="P27" s="62" t="s">
        <v>55</v>
      </c>
      <c r="Q27" s="7" t="s">
        <v>56</v>
      </c>
    </row>
    <row r="28" spans="1:17" ht="30" x14ac:dyDescent="0.25">
      <c r="A28" s="60"/>
      <c r="B28" s="8" t="s">
        <v>57</v>
      </c>
      <c r="C28" s="8" t="s">
        <v>58</v>
      </c>
      <c r="D28" s="8" t="s">
        <v>59</v>
      </c>
      <c r="E28" s="8" t="s">
        <v>60</v>
      </c>
      <c r="F28" s="8" t="s">
        <v>61</v>
      </c>
      <c r="G28" s="63"/>
      <c r="H28" s="8" t="s">
        <v>62</v>
      </c>
      <c r="I28" s="8" t="s">
        <v>62</v>
      </c>
      <c r="J28" s="8" t="s">
        <v>63</v>
      </c>
      <c r="K28" s="8" t="s">
        <v>64</v>
      </c>
      <c r="L28" s="8" t="s">
        <v>65</v>
      </c>
      <c r="M28" s="8" t="s">
        <v>66</v>
      </c>
      <c r="N28" s="8" t="s">
        <v>66</v>
      </c>
      <c r="O28" s="8" t="s">
        <v>66</v>
      </c>
      <c r="P28" s="63"/>
      <c r="Q28" s="8" t="s">
        <v>67</v>
      </c>
    </row>
    <row r="29" spans="1:17" ht="30" x14ac:dyDescent="0.25">
      <c r="A29" s="60"/>
      <c r="B29" s="8"/>
      <c r="C29" s="8"/>
      <c r="D29" s="8"/>
      <c r="E29" s="8"/>
      <c r="F29" s="8"/>
      <c r="G29" s="63"/>
      <c r="H29" s="8" t="s">
        <v>68</v>
      </c>
      <c r="I29" s="8" t="s">
        <v>68</v>
      </c>
      <c r="J29" s="8" t="s">
        <v>62</v>
      </c>
      <c r="K29" s="8" t="s">
        <v>69</v>
      </c>
      <c r="L29" s="8"/>
      <c r="M29" s="8"/>
      <c r="N29" s="8"/>
      <c r="O29" s="8"/>
      <c r="P29" s="63"/>
      <c r="Q29" s="8"/>
    </row>
    <row r="30" spans="1:17" x14ac:dyDescent="0.25">
      <c r="A30" s="61"/>
      <c r="B30" s="9"/>
      <c r="C30" s="9"/>
      <c r="D30" s="9"/>
      <c r="E30" s="9"/>
      <c r="F30" s="9"/>
      <c r="G30" s="64"/>
      <c r="H30" s="9"/>
      <c r="I30" s="9"/>
      <c r="J30" s="9" t="s">
        <v>68</v>
      </c>
      <c r="K30" s="9"/>
      <c r="L30" s="9"/>
      <c r="M30" s="9"/>
      <c r="N30" s="9"/>
      <c r="O30" s="9"/>
      <c r="P30" s="64"/>
      <c r="Q30" s="9"/>
    </row>
    <row r="31" spans="1:17" x14ac:dyDescent="0.25">
      <c r="A31" s="6">
        <v>4</v>
      </c>
      <c r="B31" s="6">
        <v>36</v>
      </c>
      <c r="C31" s="6">
        <v>24</v>
      </c>
      <c r="D31" s="6">
        <v>450</v>
      </c>
      <c r="E31" s="6">
        <v>3360</v>
      </c>
      <c r="F31" s="6">
        <v>6</v>
      </c>
      <c r="G31" s="6">
        <v>6</v>
      </c>
      <c r="H31" s="6">
        <v>35</v>
      </c>
      <c r="I31" s="6">
        <v>20</v>
      </c>
      <c r="J31" s="6" t="s">
        <v>70</v>
      </c>
      <c r="K31" s="6">
        <v>1</v>
      </c>
      <c r="L31" s="6" t="s">
        <v>70</v>
      </c>
      <c r="M31" s="6">
        <v>1459.1018919999999</v>
      </c>
      <c r="N31" s="6">
        <v>237.50157100000001</v>
      </c>
      <c r="O31" s="10">
        <v>475.00314200000003</v>
      </c>
      <c r="P31" s="6">
        <v>706.85834709999995</v>
      </c>
      <c r="Q31" s="6" t="s">
        <v>71</v>
      </c>
    </row>
    <row r="33" spans="1:6" x14ac:dyDescent="0.25">
      <c r="A33" s="4" t="s">
        <v>72</v>
      </c>
    </row>
    <row r="35" spans="1:6" x14ac:dyDescent="0.25">
      <c r="A35" s="4" t="s">
        <v>73</v>
      </c>
    </row>
    <row r="36" spans="1:6" x14ac:dyDescent="0.25">
      <c r="A36" s="4" t="s">
        <v>74</v>
      </c>
      <c r="F36" s="11">
        <f>25000*450*60</f>
        <v>675000000</v>
      </c>
    </row>
    <row r="38" spans="1:6" ht="87.75" customHeight="1" x14ac:dyDescent="0.25">
      <c r="A38" s="13" t="s">
        <v>75</v>
      </c>
      <c r="B38" s="14" t="s">
        <v>76</v>
      </c>
      <c r="C38" s="14" t="s">
        <v>77</v>
      </c>
      <c r="D38" s="13" t="s">
        <v>78</v>
      </c>
      <c r="E38" s="13" t="s">
        <v>79</v>
      </c>
    </row>
    <row r="39" spans="1:6" x14ac:dyDescent="0.25">
      <c r="A39" s="5">
        <v>1518.99</v>
      </c>
      <c r="B39" s="5"/>
      <c r="C39" s="5" t="s">
        <v>80</v>
      </c>
      <c r="D39" s="5">
        <f>A39*(F36/10^6)^(1/3)</f>
        <v>13324.661112503887</v>
      </c>
      <c r="E39" s="5"/>
    </row>
    <row r="41" spans="1:6" ht="48.75" customHeight="1" x14ac:dyDescent="0.25">
      <c r="A41" s="65" t="s">
        <v>81</v>
      </c>
      <c r="B41" s="65"/>
      <c r="C41" s="65"/>
      <c r="D41" s="65"/>
      <c r="E41" s="65"/>
      <c r="F41" s="1"/>
    </row>
    <row r="42" spans="1:6" ht="36.75" customHeight="1" x14ac:dyDescent="0.25">
      <c r="A42" s="58"/>
      <c r="B42" s="58"/>
      <c r="C42" s="58"/>
      <c r="D42" s="58"/>
      <c r="E42" s="58"/>
    </row>
    <row r="43" spans="1:6" x14ac:dyDescent="0.25">
      <c r="A43" s="58"/>
      <c r="B43" s="58"/>
      <c r="C43" s="58"/>
      <c r="D43" s="58"/>
      <c r="E43" s="58"/>
    </row>
    <row r="44" spans="1:6" x14ac:dyDescent="0.25">
      <c r="A44" s="58"/>
      <c r="B44" s="58"/>
      <c r="C44" s="58"/>
      <c r="D44" s="58"/>
      <c r="E44" s="58"/>
    </row>
    <row r="52" spans="1:10" ht="75" x14ac:dyDescent="0.25">
      <c r="A52" s="13" t="s">
        <v>82</v>
      </c>
      <c r="B52" s="14" t="s">
        <v>76</v>
      </c>
      <c r="C52" s="14" t="s">
        <v>77</v>
      </c>
      <c r="D52" s="13" t="s">
        <v>78</v>
      </c>
      <c r="E52" s="13" t="s">
        <v>79</v>
      </c>
      <c r="F52" s="13" t="s">
        <v>83</v>
      </c>
      <c r="G52" s="3"/>
      <c r="H52" s="3"/>
      <c r="I52" s="3"/>
      <c r="J52" s="3"/>
    </row>
    <row r="53" spans="1:10" x14ac:dyDescent="0.25">
      <c r="A53" s="5">
        <f>1*0.56*D2+1.5*F53</f>
        <v>1540.348</v>
      </c>
      <c r="B53" s="5"/>
      <c r="C53" s="5" t="s">
        <v>84</v>
      </c>
      <c r="D53" s="15">
        <f>A53*(F36/10^6)^(1/3)</f>
        <v>13512.014625062138</v>
      </c>
      <c r="E53" s="5"/>
      <c r="F53" s="5">
        <v>475</v>
      </c>
    </row>
    <row r="55" spans="1:10" x14ac:dyDescent="0.25">
      <c r="A55" t="s">
        <v>85</v>
      </c>
    </row>
    <row r="57" spans="1:10" ht="75" x14ac:dyDescent="0.25">
      <c r="A57" s="13" t="s">
        <v>86</v>
      </c>
      <c r="B57" s="13" t="s">
        <v>87</v>
      </c>
      <c r="C57" s="13" t="s">
        <v>88</v>
      </c>
      <c r="D57" s="13" t="s">
        <v>89</v>
      </c>
      <c r="E57" s="13" t="s">
        <v>90</v>
      </c>
      <c r="F57" s="13" t="s">
        <v>91</v>
      </c>
    </row>
    <row r="58" spans="1:10" x14ac:dyDescent="0.25">
      <c r="A58" s="5">
        <v>8543</v>
      </c>
      <c r="B58" s="5">
        <f>F53/A58</f>
        <v>5.5601076905068478E-2</v>
      </c>
      <c r="C58" s="5">
        <v>0.56000000000000005</v>
      </c>
      <c r="D58" s="5">
        <v>1.7</v>
      </c>
      <c r="E58" s="5">
        <f>1*0.56*D2+1.7*F53</f>
        <v>1635.348</v>
      </c>
      <c r="F58" s="5">
        <f>E58*(F36/10^6)^(1/3)</f>
        <v>14345.359680452804</v>
      </c>
    </row>
    <row r="60" spans="1:10" x14ac:dyDescent="0.25">
      <c r="A60" t="s">
        <v>92</v>
      </c>
    </row>
    <row r="61" spans="1:10" x14ac:dyDescent="0.25">
      <c r="A61" s="4" t="s">
        <v>93</v>
      </c>
      <c r="B61" s="4"/>
      <c r="C61" s="4"/>
    </row>
    <row r="63" spans="1:10" ht="75.75" customHeight="1" x14ac:dyDescent="0.25">
      <c r="A63" s="13" t="s">
        <v>86</v>
      </c>
      <c r="B63" s="13" t="s">
        <v>87</v>
      </c>
      <c r="C63" s="13" t="s">
        <v>88</v>
      </c>
      <c r="D63" s="13" t="s">
        <v>94</v>
      </c>
      <c r="F63" s="13" t="s">
        <v>95</v>
      </c>
      <c r="G63" s="13" t="s">
        <v>96</v>
      </c>
      <c r="I63" s="13" t="s">
        <v>90</v>
      </c>
      <c r="J63" s="13" t="s">
        <v>91</v>
      </c>
    </row>
    <row r="64" spans="1:10" x14ac:dyDescent="0.25">
      <c r="A64" s="5">
        <v>10117</v>
      </c>
      <c r="B64" s="5">
        <f>F53/A64</f>
        <v>4.6950677078185232E-2</v>
      </c>
      <c r="C64" s="5">
        <v>0.56000000000000005</v>
      </c>
      <c r="D64" s="5">
        <v>1.8</v>
      </c>
      <c r="F64" s="5">
        <v>2.8000000000000001E-2</v>
      </c>
      <c r="G64" s="5">
        <v>1.99</v>
      </c>
      <c r="I64" s="5">
        <f>1*0.56*A53+1.8*F53</f>
        <v>1717.5948800000001</v>
      </c>
      <c r="J64" s="5">
        <f>I64*(F36/10^6)^(1/3)</f>
        <v>15066.833688550802</v>
      </c>
    </row>
    <row r="65" spans="1:10" x14ac:dyDescent="0.25">
      <c r="F65" s="5">
        <v>4.7E-2</v>
      </c>
      <c r="G65" s="5">
        <f>1.99-(G64-G66)*(F64-F65)/(F64-F66)</f>
        <v>1.8</v>
      </c>
    </row>
    <row r="66" spans="1:10" x14ac:dyDescent="0.25">
      <c r="F66" s="5">
        <v>5.6000000000000001E-2</v>
      </c>
      <c r="G66" s="5">
        <v>1.71</v>
      </c>
    </row>
    <row r="68" spans="1:10" x14ac:dyDescent="0.25">
      <c r="A68" t="s">
        <v>97</v>
      </c>
    </row>
    <row r="71" spans="1:10" ht="18.75" x14ac:dyDescent="0.3">
      <c r="J71" s="20" t="s">
        <v>98</v>
      </c>
    </row>
    <row r="72" spans="1:10" ht="18.75" x14ac:dyDescent="0.3">
      <c r="J72" s="20" t="s">
        <v>99</v>
      </c>
    </row>
    <row r="79" spans="1:10" x14ac:dyDescent="0.25">
      <c r="I79" t="s">
        <v>100</v>
      </c>
    </row>
    <row r="80" spans="1:10" x14ac:dyDescent="0.25">
      <c r="I80" t="s">
        <v>101</v>
      </c>
    </row>
    <row r="81" spans="9:9" x14ac:dyDescent="0.25">
      <c r="I81" t="s">
        <v>102</v>
      </c>
    </row>
    <row r="82" spans="9:9" x14ac:dyDescent="0.25">
      <c r="I82" t="s">
        <v>103</v>
      </c>
    </row>
    <row r="83" spans="9:9" x14ac:dyDescent="0.25">
      <c r="I83" t="s">
        <v>104</v>
      </c>
    </row>
  </sheetData>
  <mergeCells count="6">
    <mergeCell ref="A43:E44"/>
    <mergeCell ref="A27:A30"/>
    <mergeCell ref="G27:G30"/>
    <mergeCell ref="P27:P30"/>
    <mergeCell ref="A41:E41"/>
    <mergeCell ref="A42:E42"/>
  </mergeCells>
  <pageMargins left="0.25" right="0.25" top="0.75" bottom="0.75" header="0.3" footer="0.3"/>
  <pageSetup scale="3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AFDC-6503-4854-AD6C-C592E1220733}">
  <dimension ref="A1:AL103"/>
  <sheetViews>
    <sheetView topLeftCell="A51" zoomScale="85" zoomScaleNormal="85" workbookViewId="0">
      <selection activeCell="R76" sqref="R76"/>
    </sheetView>
  </sheetViews>
  <sheetFormatPr defaultRowHeight="15" x14ac:dyDescent="0.25"/>
  <cols>
    <col min="4" max="4" width="11" customWidth="1"/>
  </cols>
  <sheetData>
    <row r="1" spans="1:20" ht="45" x14ac:dyDescent="0.25">
      <c r="A1" s="13" t="s">
        <v>31</v>
      </c>
      <c r="B1" s="13" t="s">
        <v>32</v>
      </c>
      <c r="C1" s="16" t="s">
        <v>33</v>
      </c>
      <c r="D1" s="13" t="s">
        <v>34</v>
      </c>
      <c r="E1" s="13" t="s">
        <v>35</v>
      </c>
      <c r="F1" s="13" t="s">
        <v>36</v>
      </c>
      <c r="G1" s="13" t="s">
        <v>37</v>
      </c>
      <c r="I1" s="3" t="s">
        <v>105</v>
      </c>
      <c r="T1" s="4" t="s">
        <v>38</v>
      </c>
    </row>
    <row r="2" spans="1:20" x14ac:dyDescent="0.25">
      <c r="A2" s="5">
        <v>4.25</v>
      </c>
      <c r="B2" s="5">
        <v>2</v>
      </c>
      <c r="C2" s="5">
        <v>3.5</v>
      </c>
      <c r="D2" s="5">
        <v>1478.3</v>
      </c>
      <c r="E2" s="5">
        <v>1518.99</v>
      </c>
      <c r="F2" s="5">
        <v>2269.91</v>
      </c>
      <c r="G2" s="5">
        <v>0.16880000000000001</v>
      </c>
      <c r="T2" t="s">
        <v>39</v>
      </c>
    </row>
    <row r="27" spans="1:17" ht="30" x14ac:dyDescent="0.25">
      <c r="A27" s="59" t="s">
        <v>40</v>
      </c>
      <c r="B27" s="7" t="s">
        <v>41</v>
      </c>
      <c r="C27" s="7" t="s">
        <v>42</v>
      </c>
      <c r="D27" s="7" t="s">
        <v>43</v>
      </c>
      <c r="E27" s="7" t="s">
        <v>44</v>
      </c>
      <c r="F27" s="7" t="s">
        <v>45</v>
      </c>
      <c r="G27" s="62" t="s">
        <v>46</v>
      </c>
      <c r="H27" s="7" t="s">
        <v>47</v>
      </c>
      <c r="I27" s="7" t="s">
        <v>48</v>
      </c>
      <c r="J27" s="7" t="s">
        <v>49</v>
      </c>
      <c r="K27" s="7" t="s">
        <v>50</v>
      </c>
      <c r="L27" s="7" t="s">
        <v>51</v>
      </c>
      <c r="M27" s="7" t="s">
        <v>52</v>
      </c>
      <c r="N27" s="7" t="s">
        <v>53</v>
      </c>
      <c r="O27" s="7" t="s">
        <v>54</v>
      </c>
      <c r="P27" s="62" t="s">
        <v>55</v>
      </c>
      <c r="Q27" s="7" t="s">
        <v>56</v>
      </c>
    </row>
    <row r="28" spans="1:17" ht="30" x14ac:dyDescent="0.25">
      <c r="A28" s="60"/>
      <c r="B28" s="8" t="s">
        <v>57</v>
      </c>
      <c r="C28" s="8" t="s">
        <v>58</v>
      </c>
      <c r="D28" s="8" t="s">
        <v>59</v>
      </c>
      <c r="E28" s="8" t="s">
        <v>60</v>
      </c>
      <c r="F28" s="8" t="s">
        <v>61</v>
      </c>
      <c r="G28" s="63"/>
      <c r="H28" s="8" t="s">
        <v>62</v>
      </c>
      <c r="I28" s="8" t="s">
        <v>62</v>
      </c>
      <c r="J28" s="8" t="s">
        <v>63</v>
      </c>
      <c r="K28" s="8" t="s">
        <v>64</v>
      </c>
      <c r="L28" s="8" t="s">
        <v>65</v>
      </c>
      <c r="M28" s="8" t="s">
        <v>66</v>
      </c>
      <c r="N28" s="8" t="s">
        <v>66</v>
      </c>
      <c r="O28" s="8" t="s">
        <v>66</v>
      </c>
      <c r="P28" s="63"/>
      <c r="Q28" s="8" t="s">
        <v>67</v>
      </c>
    </row>
    <row r="29" spans="1:17" ht="30" x14ac:dyDescent="0.25">
      <c r="A29" s="60"/>
      <c r="B29" s="8"/>
      <c r="C29" s="8"/>
      <c r="D29" s="8"/>
      <c r="E29" s="8"/>
      <c r="F29" s="8"/>
      <c r="G29" s="63"/>
      <c r="H29" s="8" t="s">
        <v>68</v>
      </c>
      <c r="I29" s="8" t="s">
        <v>68</v>
      </c>
      <c r="J29" s="8" t="s">
        <v>62</v>
      </c>
      <c r="K29" s="8" t="s">
        <v>69</v>
      </c>
      <c r="L29" s="8"/>
      <c r="M29" s="8"/>
      <c r="N29" s="8"/>
      <c r="O29" s="8"/>
      <c r="P29" s="63"/>
      <c r="Q29" s="8"/>
    </row>
    <row r="30" spans="1:17" ht="30" x14ac:dyDescent="0.25">
      <c r="A30" s="61"/>
      <c r="B30" s="9"/>
      <c r="C30" s="9"/>
      <c r="D30" s="9"/>
      <c r="E30" s="9"/>
      <c r="F30" s="9"/>
      <c r="G30" s="64"/>
      <c r="H30" s="9"/>
      <c r="I30" s="9"/>
      <c r="J30" s="9" t="s">
        <v>68</v>
      </c>
      <c r="K30" s="9"/>
      <c r="L30" s="9"/>
      <c r="M30" s="9"/>
      <c r="N30" s="9"/>
      <c r="O30" s="9"/>
      <c r="P30" s="64"/>
      <c r="Q30" s="9"/>
    </row>
    <row r="31" spans="1:17" x14ac:dyDescent="0.25">
      <c r="A31" s="6">
        <v>4</v>
      </c>
      <c r="B31" s="6">
        <v>36</v>
      </c>
      <c r="C31" s="6">
        <v>24</v>
      </c>
      <c r="D31" s="6">
        <v>450</v>
      </c>
      <c r="E31" s="6">
        <v>3360</v>
      </c>
      <c r="F31" s="6">
        <v>6</v>
      </c>
      <c r="G31" s="6">
        <v>6</v>
      </c>
      <c r="H31" s="6">
        <v>35</v>
      </c>
      <c r="I31" s="6">
        <v>20</v>
      </c>
      <c r="J31" s="6" t="s">
        <v>70</v>
      </c>
      <c r="K31" s="6">
        <v>1</v>
      </c>
      <c r="L31" s="6" t="s">
        <v>70</v>
      </c>
      <c r="M31" s="6">
        <v>1459.1018919999999</v>
      </c>
      <c r="N31" s="6">
        <v>237.50157100000001</v>
      </c>
      <c r="O31" s="10">
        <v>475.00314200000003</v>
      </c>
      <c r="P31" s="6">
        <v>706.85834709999995</v>
      </c>
      <c r="Q31" s="6" t="s">
        <v>71</v>
      </c>
    </row>
    <row r="33" spans="1:7" x14ac:dyDescent="0.25">
      <c r="A33" s="4" t="s">
        <v>72</v>
      </c>
    </row>
    <row r="35" spans="1:7" x14ac:dyDescent="0.25">
      <c r="A35" s="4" t="s">
        <v>73</v>
      </c>
    </row>
    <row r="36" spans="1:7" x14ac:dyDescent="0.25">
      <c r="A36" s="4" t="s">
        <v>74</v>
      </c>
      <c r="F36" s="11">
        <f>25000*450*60</f>
        <v>675000000</v>
      </c>
    </row>
    <row r="38" spans="1:7" ht="60" x14ac:dyDescent="0.25">
      <c r="A38" s="3" t="s">
        <v>106</v>
      </c>
      <c r="B38" s="3" t="s">
        <v>107</v>
      </c>
      <c r="C38" s="17" t="s">
        <v>108</v>
      </c>
      <c r="D38" s="3" t="s">
        <v>109</v>
      </c>
      <c r="E38" s="3" t="s">
        <v>110</v>
      </c>
      <c r="F38" s="3" t="s">
        <v>111</v>
      </c>
      <c r="G38" s="3" t="s">
        <v>112</v>
      </c>
    </row>
    <row r="39" spans="1:7" x14ac:dyDescent="0.25">
      <c r="A39" s="5">
        <v>1478.3</v>
      </c>
      <c r="B39" s="5">
        <v>1518.99</v>
      </c>
      <c r="C39" s="10">
        <v>475.00314200000003</v>
      </c>
      <c r="D39" s="11">
        <f>0.4*A39+0.5*B39+1.75*C39</f>
        <v>2182.0704985000002</v>
      </c>
      <c r="E39">
        <f>B39</f>
        <v>1518.99</v>
      </c>
      <c r="F39" s="11">
        <f>D39*(F36/10^6)^0.3</f>
        <v>15404.936396308553</v>
      </c>
      <c r="G39" s="11">
        <f>E39*(F36/10^6)^0.3</f>
        <v>10723.734339799896</v>
      </c>
    </row>
    <row r="41" spans="1:7" x14ac:dyDescent="0.25">
      <c r="A41" s="65"/>
      <c r="B41" s="65"/>
      <c r="C41" s="65"/>
      <c r="D41" s="65"/>
      <c r="E41" s="65"/>
      <c r="F41" s="1"/>
    </row>
    <row r="42" spans="1:7" x14ac:dyDescent="0.25">
      <c r="A42" s="58"/>
      <c r="B42" s="58"/>
      <c r="C42" s="58"/>
      <c r="D42" s="58"/>
      <c r="E42" s="58"/>
    </row>
    <row r="43" spans="1:7" x14ac:dyDescent="0.25">
      <c r="A43" s="58"/>
      <c r="B43" s="58"/>
      <c r="C43" s="58"/>
      <c r="D43" s="58"/>
      <c r="E43" s="58"/>
    </row>
    <row r="44" spans="1:7" x14ac:dyDescent="0.25">
      <c r="A44" s="58"/>
      <c r="B44" s="58"/>
      <c r="C44" s="58"/>
      <c r="D44" s="58"/>
      <c r="E44" s="58"/>
    </row>
    <row r="49" spans="1:11" x14ac:dyDescent="0.25">
      <c r="A49" s="3"/>
      <c r="B49" s="3"/>
    </row>
    <row r="50" spans="1:11" x14ac:dyDescent="0.25">
      <c r="A50" s="11"/>
    </row>
    <row r="52" spans="1:11" ht="90" x14ac:dyDescent="0.25">
      <c r="A52" s="3" t="s">
        <v>109</v>
      </c>
      <c r="B52" s="3" t="s">
        <v>110</v>
      </c>
      <c r="C52" s="3" t="s">
        <v>111</v>
      </c>
      <c r="D52" s="3" t="s">
        <v>112</v>
      </c>
      <c r="E52" s="3"/>
      <c r="F52" s="3" t="s">
        <v>113</v>
      </c>
      <c r="G52" s="3"/>
      <c r="H52" s="3"/>
      <c r="I52" s="3"/>
      <c r="J52" s="3"/>
    </row>
    <row r="53" spans="1:11" x14ac:dyDescent="0.25">
      <c r="A53" s="11">
        <f>0.4*A39+0.5*(1.9/1.6)*B39+1.9*C39</f>
        <v>2395.7262823000001</v>
      </c>
      <c r="B53">
        <f>B39</f>
        <v>1518.99</v>
      </c>
      <c r="C53" s="11">
        <f>A53*(F36/10^6)^0.3</f>
        <v>16913.299101548826</v>
      </c>
      <c r="D53" s="11">
        <f>B53*(F36/10^6)^0.3</f>
        <v>10723.734339799896</v>
      </c>
    </row>
    <row r="57" spans="1:11" x14ac:dyDescent="0.25">
      <c r="A57" s="3"/>
      <c r="B57" s="3"/>
      <c r="C57" s="3"/>
      <c r="D57" s="3"/>
      <c r="E57" s="3"/>
      <c r="F57" s="3"/>
    </row>
    <row r="58" spans="1:11" x14ac:dyDescent="0.25">
      <c r="F58" s="11"/>
    </row>
    <row r="61" spans="1:11" ht="60" x14ac:dyDescent="0.25">
      <c r="A61" s="3" t="s">
        <v>109</v>
      </c>
      <c r="B61" s="3" t="s">
        <v>110</v>
      </c>
      <c r="C61" s="3" t="s">
        <v>111</v>
      </c>
      <c r="D61" s="3" t="s">
        <v>112</v>
      </c>
      <c r="F61" s="3" t="s">
        <v>114</v>
      </c>
    </row>
    <row r="62" spans="1:11" x14ac:dyDescent="0.25">
      <c r="A62" s="11">
        <f>0.4*A39+0.5*(1.7/1.6)*B39+1.9*C39</f>
        <v>2300.7894073000002</v>
      </c>
      <c r="B62">
        <f>B39</f>
        <v>1518.99</v>
      </c>
      <c r="C62" s="11">
        <f>A62*(F36/10^6)^0.3</f>
        <v>16243.065705311332</v>
      </c>
      <c r="D62" s="11">
        <f>B62*(F36/10^6)^0.3</f>
        <v>10723.734339799896</v>
      </c>
    </row>
    <row r="63" spans="1:11" x14ac:dyDescent="0.25">
      <c r="A63" s="3"/>
      <c r="B63" s="3"/>
      <c r="C63" s="3"/>
      <c r="D63" s="3"/>
      <c r="F63" s="3"/>
      <c r="G63" s="3"/>
      <c r="I63" s="3"/>
      <c r="J63" s="3"/>
    </row>
    <row r="64" spans="1:11" ht="69" customHeight="1" x14ac:dyDescent="0.25">
      <c r="H64" s="58" t="s">
        <v>115</v>
      </c>
      <c r="I64" s="58"/>
      <c r="J64" s="58"/>
      <c r="K64" s="58"/>
    </row>
    <row r="71" spans="10:38" ht="18.75" x14ac:dyDescent="0.3">
      <c r="J71" s="20"/>
      <c r="N71" t="s">
        <v>116</v>
      </c>
      <c r="U71" t="s">
        <v>117</v>
      </c>
    </row>
    <row r="72" spans="10:38" ht="18.75" x14ac:dyDescent="0.3">
      <c r="J72" s="20"/>
      <c r="N72" t="s">
        <v>118</v>
      </c>
      <c r="U72" s="33" t="s">
        <v>119</v>
      </c>
    </row>
    <row r="73" spans="10:38" x14ac:dyDescent="0.25">
      <c r="N73" t="s">
        <v>120</v>
      </c>
    </row>
    <row r="74" spans="10:38" x14ac:dyDescent="0.25">
      <c r="N74" t="s">
        <v>121</v>
      </c>
      <c r="AL74" t="s">
        <v>122</v>
      </c>
    </row>
    <row r="75" spans="10:38" x14ac:dyDescent="0.25">
      <c r="AL75" t="s">
        <v>123</v>
      </c>
    </row>
    <row r="76" spans="10:38" x14ac:dyDescent="0.25">
      <c r="AL76" t="s">
        <v>124</v>
      </c>
    </row>
    <row r="103" spans="2:2" x14ac:dyDescent="0.25">
      <c r="B103" s="33" t="s">
        <v>125</v>
      </c>
    </row>
  </sheetData>
  <mergeCells count="7">
    <mergeCell ref="H64:K64"/>
    <mergeCell ref="A27:A30"/>
    <mergeCell ref="G27:G30"/>
    <mergeCell ref="P27:P30"/>
    <mergeCell ref="A41:E41"/>
    <mergeCell ref="A42:E42"/>
    <mergeCell ref="A43:E44"/>
  </mergeCells>
  <hyperlinks>
    <hyperlink ref="B103" r:id="rId1" xr:uid="{E0CF3024-3E14-4044-AD9A-1460BCD760BB}"/>
    <hyperlink ref="U72" r:id="rId2" xr:uid="{71FA51EC-9804-400B-ADBD-544A1E127DE3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924A-528F-4AEB-993D-A685A3EEE96A}">
  <dimension ref="A1:P72"/>
  <sheetViews>
    <sheetView topLeftCell="A51" zoomScale="85" zoomScaleNormal="85" workbookViewId="0">
      <selection activeCell="N52" sqref="N52"/>
    </sheetView>
  </sheetViews>
  <sheetFormatPr defaultRowHeight="15" x14ac:dyDescent="0.25"/>
  <cols>
    <col min="4" max="4" width="11.42578125" customWidth="1"/>
    <col min="5" max="5" width="12.42578125" customWidth="1"/>
    <col min="6" max="6" width="13" customWidth="1"/>
  </cols>
  <sheetData>
    <row r="1" spans="1:9" ht="45" x14ac:dyDescent="0.25">
      <c r="A1" s="3" t="s">
        <v>31</v>
      </c>
      <c r="B1" s="3" t="s">
        <v>32</v>
      </c>
      <c r="C1" s="12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I1" s="3" t="s">
        <v>105</v>
      </c>
    </row>
    <row r="2" spans="1:9" x14ac:dyDescent="0.25">
      <c r="A2">
        <v>6</v>
      </c>
      <c r="B2">
        <v>0.5</v>
      </c>
      <c r="C2">
        <v>5.5</v>
      </c>
      <c r="D2">
        <v>587.74800000000005</v>
      </c>
      <c r="E2">
        <v>331.83100000000002</v>
      </c>
      <c r="F2">
        <v>0</v>
      </c>
      <c r="G2">
        <v>0.11755</v>
      </c>
    </row>
    <row r="31" spans="1:16" ht="90" x14ac:dyDescent="0.25">
      <c r="A31" s="21" t="s">
        <v>40</v>
      </c>
      <c r="B31" s="14" t="s">
        <v>126</v>
      </c>
      <c r="C31" s="14" t="s">
        <v>127</v>
      </c>
      <c r="D31" s="14" t="s">
        <v>128</v>
      </c>
      <c r="E31" s="14" t="s">
        <v>129</v>
      </c>
      <c r="F31" s="14" t="s">
        <v>130</v>
      </c>
      <c r="G31" s="14" t="s">
        <v>131</v>
      </c>
      <c r="H31" s="14" t="s">
        <v>132</v>
      </c>
      <c r="I31" s="14" t="s">
        <v>133</v>
      </c>
      <c r="J31" s="14" t="s">
        <v>134</v>
      </c>
      <c r="K31" s="14" t="s">
        <v>135</v>
      </c>
      <c r="L31" s="14" t="s">
        <v>136</v>
      </c>
      <c r="M31" s="14" t="s">
        <v>137</v>
      </c>
      <c r="N31" s="14" t="s">
        <v>138</v>
      </c>
      <c r="O31" s="14" t="s">
        <v>139</v>
      </c>
      <c r="P31" s="14" t="s">
        <v>140</v>
      </c>
    </row>
    <row r="32" spans="1:16" x14ac:dyDescent="0.25">
      <c r="A32" s="5">
        <v>11</v>
      </c>
      <c r="B32" s="5">
        <v>45</v>
      </c>
      <c r="C32" s="5">
        <v>5.625</v>
      </c>
      <c r="D32" s="5">
        <v>20</v>
      </c>
      <c r="E32" s="5">
        <v>3</v>
      </c>
      <c r="F32" s="5">
        <v>15</v>
      </c>
      <c r="G32" s="5">
        <v>20</v>
      </c>
      <c r="H32" s="5">
        <f t="shared" ref="H32" si="0">DEGREES(ATAN(TAN(RADIANS(G32))/COS(RADIANS(F32))))</f>
        <v>20.646896487046469</v>
      </c>
      <c r="I32" s="5">
        <v>540</v>
      </c>
      <c r="J32" s="5">
        <f t="shared" ref="J32" si="1">63000*D32/I32</f>
        <v>2333.3333333333335</v>
      </c>
      <c r="K32" s="5">
        <v>1</v>
      </c>
      <c r="L32" s="5">
        <f t="shared" ref="L32" si="2">PI()*C32*I32/12</f>
        <v>795.21564043991646</v>
      </c>
      <c r="M32" s="5">
        <f t="shared" ref="M32" si="3">J32/(C32/2)</f>
        <v>829.62962962962968</v>
      </c>
      <c r="N32" s="5">
        <f t="shared" ref="N32" si="4">M32*TAN(RADIANS(G32))/COS(RADIANS(F32))</f>
        <v>312.61250339538248</v>
      </c>
      <c r="O32" s="22">
        <f t="shared" ref="O32" si="5">M32*TAN(RADIANS(F32))</f>
        <v>222.29858927619068</v>
      </c>
      <c r="P32">
        <f t="shared" ref="P32" si="6">SQRT(M32^2+N32^2+O32^2)</f>
        <v>914.01781297341745</v>
      </c>
    </row>
    <row r="34" spans="1:8" x14ac:dyDescent="0.25">
      <c r="A34" s="4" t="s">
        <v>72</v>
      </c>
    </row>
    <row r="36" spans="1:8" x14ac:dyDescent="0.25">
      <c r="A36" s="4" t="s">
        <v>73</v>
      </c>
    </row>
    <row r="37" spans="1:8" x14ac:dyDescent="0.25">
      <c r="A37" s="4" t="s">
        <v>74</v>
      </c>
      <c r="F37" s="11">
        <f>25000*450*60</f>
        <v>675000000</v>
      </c>
    </row>
    <row r="39" spans="1:8" ht="105" x14ac:dyDescent="0.25">
      <c r="A39" s="13" t="s">
        <v>75</v>
      </c>
      <c r="B39" s="14" t="s">
        <v>76</v>
      </c>
      <c r="C39" s="14" t="s">
        <v>77</v>
      </c>
      <c r="D39" s="13" t="s">
        <v>78</v>
      </c>
      <c r="E39" s="13" t="s">
        <v>79</v>
      </c>
      <c r="F39" s="66" t="s">
        <v>141</v>
      </c>
      <c r="G39" s="67"/>
      <c r="H39" s="67"/>
    </row>
    <row r="40" spans="1:8" x14ac:dyDescent="0.25">
      <c r="A40" s="5">
        <f>1*E2</f>
        <v>331.83100000000002</v>
      </c>
      <c r="B40" s="5"/>
      <c r="C40" s="5">
        <v>0.85</v>
      </c>
      <c r="D40" s="15">
        <f>A40*(F37/10^6)^(1/3)</f>
        <v>2910.8391902667413</v>
      </c>
      <c r="E40" s="5"/>
    </row>
    <row r="49" spans="1:10" ht="105" x14ac:dyDescent="0.25">
      <c r="A49" s="13" t="s">
        <v>82</v>
      </c>
      <c r="B49" s="14" t="s">
        <v>76</v>
      </c>
      <c r="C49" s="14" t="s">
        <v>77</v>
      </c>
      <c r="D49" s="13" t="s">
        <v>78</v>
      </c>
      <c r="E49" s="13" t="s">
        <v>79</v>
      </c>
      <c r="F49" s="13" t="s">
        <v>83</v>
      </c>
      <c r="G49" s="66" t="s">
        <v>142</v>
      </c>
      <c r="H49" s="67"/>
    </row>
    <row r="50" spans="1:10" x14ac:dyDescent="0.25">
      <c r="A50" s="5">
        <f>1*0.56*D2+1.5*'Axial Forces'!C3</f>
        <v>662.58676395000009</v>
      </c>
      <c r="B50" s="5"/>
      <c r="C50" s="5">
        <v>0.7</v>
      </c>
      <c r="D50" s="15">
        <f>A50*(F37/10^6)^(1/3)</f>
        <v>5812.2463526845859</v>
      </c>
      <c r="E50" s="5"/>
      <c r="F50" s="5">
        <v>222.29858927619068</v>
      </c>
    </row>
    <row r="52" spans="1:10" ht="75" x14ac:dyDescent="0.25">
      <c r="A52" s="13" t="s">
        <v>86</v>
      </c>
      <c r="B52" s="13" t="s">
        <v>87</v>
      </c>
      <c r="C52" s="13" t="s">
        <v>88</v>
      </c>
      <c r="D52" s="13" t="s">
        <v>143</v>
      </c>
      <c r="E52" s="13" t="s">
        <v>90</v>
      </c>
      <c r="F52" s="13" t="s">
        <v>91</v>
      </c>
      <c r="H52" s="13" t="s">
        <v>95</v>
      </c>
      <c r="I52" s="13" t="s">
        <v>96</v>
      </c>
    </row>
    <row r="53" spans="1:10" x14ac:dyDescent="0.25">
      <c r="A53" s="5">
        <v>3597</v>
      </c>
      <c r="B53" s="5">
        <f>F50/A53</f>
        <v>6.1801109056488931E-2</v>
      </c>
      <c r="C53" s="5">
        <v>0.56000000000000005</v>
      </c>
      <c r="D53" s="5">
        <f>$I$54</f>
        <v>1.6768571428571428</v>
      </c>
      <c r="E53" s="5">
        <f>1*0.56*A50+D53*F50</f>
        <v>743.81156508684671</v>
      </c>
      <c r="F53" s="15">
        <f>E53*(F37/10^6)^(1/3)</f>
        <v>6524.7546306054419</v>
      </c>
      <c r="H53" s="5">
        <v>5.6000000000000001E-2</v>
      </c>
      <c r="I53" s="5">
        <v>1.71</v>
      </c>
    </row>
    <row r="54" spans="1:10" x14ac:dyDescent="0.25">
      <c r="H54" s="5">
        <v>6.1800000000000001E-2</v>
      </c>
      <c r="I54" s="5">
        <f>1.71-(I53-I55)*(H53-H54)/(H53-H55)</f>
        <v>1.6768571428571428</v>
      </c>
    </row>
    <row r="55" spans="1:10" x14ac:dyDescent="0.25">
      <c r="A55" t="s">
        <v>144</v>
      </c>
      <c r="H55" s="5">
        <v>8.4000000000000005E-2</v>
      </c>
      <c r="I55" s="5">
        <v>1.55</v>
      </c>
    </row>
    <row r="57" spans="1:10" ht="75" x14ac:dyDescent="0.25">
      <c r="A57" s="13" t="s">
        <v>86</v>
      </c>
      <c r="B57" s="13" t="s">
        <v>87</v>
      </c>
      <c r="C57" s="13" t="s">
        <v>88</v>
      </c>
      <c r="D57" s="13" t="s">
        <v>143</v>
      </c>
      <c r="E57" s="13" t="s">
        <v>90</v>
      </c>
      <c r="F57" s="13" t="s">
        <v>91</v>
      </c>
      <c r="H57" s="13" t="s">
        <v>95</v>
      </c>
      <c r="I57" s="13" t="s">
        <v>96</v>
      </c>
      <c r="J57" s="30" t="s">
        <v>145</v>
      </c>
    </row>
    <row r="58" spans="1:10" x14ac:dyDescent="0.25">
      <c r="A58" s="5">
        <v>4272</v>
      </c>
      <c r="B58" s="5">
        <f>F50/A58</f>
        <v>5.2036186628321789E-2</v>
      </c>
      <c r="C58" s="5">
        <v>0.56000000000000005</v>
      </c>
      <c r="D58" s="5">
        <f>$I$59</f>
        <v>1.75</v>
      </c>
      <c r="E58" s="5">
        <f>1*0.56*A50+D58*F50</f>
        <v>760.07111904533372</v>
      </c>
      <c r="F58" s="15">
        <f>E58*(F37/10^6)^(1/3)</f>
        <v>6667.3843031755778</v>
      </c>
      <c r="H58" s="5">
        <v>2.8000000000000001E-2</v>
      </c>
      <c r="I58" s="5">
        <v>1.99</v>
      </c>
    </row>
    <row r="59" spans="1:10" x14ac:dyDescent="0.25">
      <c r="H59" s="5">
        <v>5.1999999999999998E-2</v>
      </c>
      <c r="I59" s="5">
        <f>1.99-(I58-I60)*(H58-H59)/(H58-H60)</f>
        <v>1.75</v>
      </c>
    </row>
    <row r="60" spans="1:10" x14ac:dyDescent="0.25">
      <c r="A60" t="s">
        <v>146</v>
      </c>
      <c r="H60" s="5">
        <v>5.6000000000000001E-2</v>
      </c>
      <c r="I60" s="5">
        <v>1.71</v>
      </c>
    </row>
    <row r="63" spans="1:10" ht="15.75" x14ac:dyDescent="0.25">
      <c r="G63" s="19" t="s">
        <v>147</v>
      </c>
      <c r="H63" s="19"/>
    </row>
    <row r="64" spans="1:10" ht="15.75" x14ac:dyDescent="0.25">
      <c r="G64" s="19" t="s">
        <v>148</v>
      </c>
      <c r="H64" s="19"/>
    </row>
    <row r="69" spans="10:10" x14ac:dyDescent="0.25">
      <c r="J69" t="s">
        <v>149</v>
      </c>
    </row>
    <row r="70" spans="10:10" x14ac:dyDescent="0.25">
      <c r="J70" t="s">
        <v>150</v>
      </c>
    </row>
    <row r="71" spans="10:10" x14ac:dyDescent="0.25">
      <c r="J71" t="s">
        <v>151</v>
      </c>
    </row>
    <row r="72" spans="10:10" x14ac:dyDescent="0.25">
      <c r="J72" t="s">
        <v>152</v>
      </c>
    </row>
  </sheetData>
  <mergeCells count="2">
    <mergeCell ref="F39:H39"/>
    <mergeCell ref="G49:H4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A3D1-B4AC-4FD7-898A-6AF54C1CC78F}">
  <dimension ref="A1:L68"/>
  <sheetViews>
    <sheetView topLeftCell="A50" zoomScale="85" zoomScaleNormal="85" workbookViewId="0">
      <selection activeCell="J61" sqref="J61"/>
    </sheetView>
  </sheetViews>
  <sheetFormatPr defaultRowHeight="15" x14ac:dyDescent="0.25"/>
  <sheetData>
    <row r="1" spans="1:9" ht="45" x14ac:dyDescent="0.25">
      <c r="A1" s="1" t="s">
        <v>31</v>
      </c>
      <c r="B1" s="1" t="s">
        <v>32</v>
      </c>
      <c r="C1" s="2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I1" s="3" t="s">
        <v>105</v>
      </c>
    </row>
    <row r="2" spans="1:9" x14ac:dyDescent="0.25">
      <c r="A2">
        <v>4.25</v>
      </c>
      <c r="B2">
        <v>2</v>
      </c>
      <c r="C2">
        <v>3.5</v>
      </c>
      <c r="D2">
        <v>675.101</v>
      </c>
      <c r="E2">
        <v>675.101</v>
      </c>
      <c r="F2">
        <v>1012.57</v>
      </c>
      <c r="G2">
        <v>7.4999999999999997E-2</v>
      </c>
    </row>
    <row r="31" spans="1:5" s="3" customFormat="1" ht="87.75" customHeight="1" x14ac:dyDescent="0.25">
      <c r="A31" s="31" t="s">
        <v>153</v>
      </c>
      <c r="B31" s="32" t="s">
        <v>1</v>
      </c>
      <c r="D31" s="13" t="s">
        <v>154</v>
      </c>
      <c r="E31" s="13" t="s">
        <v>155</v>
      </c>
    </row>
    <row r="32" spans="1:5" x14ac:dyDescent="0.25">
      <c r="A32" s="5" t="s">
        <v>11</v>
      </c>
      <c r="D32">
        <v>1.05</v>
      </c>
      <c r="E32">
        <v>0.6</v>
      </c>
    </row>
    <row r="33" spans="1:9" x14ac:dyDescent="0.25">
      <c r="A33" s="27">
        <v>211.11250749999999</v>
      </c>
      <c r="B33" s="5" t="s">
        <v>19</v>
      </c>
    </row>
    <row r="35" spans="1:9" x14ac:dyDescent="0.25">
      <c r="A35" s="4" t="s">
        <v>72</v>
      </c>
    </row>
    <row r="37" spans="1:9" x14ac:dyDescent="0.25">
      <c r="A37" s="4" t="s">
        <v>73</v>
      </c>
    </row>
    <row r="38" spans="1:9" x14ac:dyDescent="0.25">
      <c r="A38" s="4" t="s">
        <v>74</v>
      </c>
      <c r="F38" s="11">
        <f>25000*450*60</f>
        <v>675000000</v>
      </c>
    </row>
    <row r="40" spans="1:9" ht="105" x14ac:dyDescent="0.25">
      <c r="A40" s="13" t="s">
        <v>75</v>
      </c>
      <c r="B40" s="14" t="s">
        <v>76</v>
      </c>
      <c r="C40" s="14" t="s">
        <v>77</v>
      </c>
      <c r="D40" s="13" t="s">
        <v>78</v>
      </c>
      <c r="E40" s="13" t="s">
        <v>79</v>
      </c>
      <c r="G40" s="68" t="s">
        <v>156</v>
      </c>
      <c r="H40" s="68"/>
      <c r="I40" s="68"/>
    </row>
    <row r="41" spans="1:9" x14ac:dyDescent="0.25">
      <c r="A41" s="5">
        <v>675.101</v>
      </c>
      <c r="B41" s="5"/>
      <c r="C41" s="5">
        <v>0.6</v>
      </c>
      <c r="D41" s="15">
        <f>A41*($F$38/10^6)^(1/3)</f>
        <v>5922.0218972557332</v>
      </c>
      <c r="E41" s="5"/>
    </row>
    <row r="45" spans="1:9" ht="105" x14ac:dyDescent="0.25">
      <c r="A45" s="13" t="s">
        <v>82</v>
      </c>
      <c r="B45" s="14" t="s">
        <v>76</v>
      </c>
      <c r="C45" s="14" t="s">
        <v>77</v>
      </c>
      <c r="D45" s="13" t="s">
        <v>78</v>
      </c>
      <c r="E45" s="13" t="s">
        <v>79</v>
      </c>
      <c r="F45" s="13" t="s">
        <v>83</v>
      </c>
      <c r="G45" s="3"/>
      <c r="H45" s="68" t="s">
        <v>157</v>
      </c>
      <c r="I45" s="68"/>
    </row>
    <row r="46" spans="1:9" x14ac:dyDescent="0.25">
      <c r="A46" s="5">
        <f>1*0.56*D2+1.5*$A$33</f>
        <v>694.72532124999998</v>
      </c>
      <c r="B46" s="5"/>
      <c r="C46" s="5">
        <v>1.05</v>
      </c>
      <c r="D46" s="15">
        <f>A46*($F$38/10^6)^(1/3)</f>
        <v>6094.1674875618965</v>
      </c>
      <c r="E46" s="5"/>
      <c r="F46" s="5">
        <f>$A$33</f>
        <v>211.11250749999999</v>
      </c>
    </row>
    <row r="50" spans="1:12" ht="90" x14ac:dyDescent="0.25">
      <c r="A50" s="13" t="s">
        <v>86</v>
      </c>
      <c r="B50" s="13" t="s">
        <v>87</v>
      </c>
      <c r="C50" s="13" t="s">
        <v>88</v>
      </c>
      <c r="D50" s="13" t="s">
        <v>89</v>
      </c>
      <c r="E50" s="13" t="s">
        <v>90</v>
      </c>
      <c r="F50" s="13" t="s">
        <v>91</v>
      </c>
      <c r="H50" s="13" t="s">
        <v>95</v>
      </c>
      <c r="I50" s="13" t="s">
        <v>96</v>
      </c>
      <c r="K50" s="18" t="s">
        <v>146</v>
      </c>
    </row>
    <row r="51" spans="1:12" x14ac:dyDescent="0.25">
      <c r="A51" s="5">
        <v>4272</v>
      </c>
      <c r="B51" s="5">
        <f>F46/A51</f>
        <v>4.9417721793071162E-2</v>
      </c>
      <c r="C51" s="5">
        <v>0.56000000000000005</v>
      </c>
      <c r="D51" s="5">
        <f>$I$52</f>
        <v>1.7758227820692885</v>
      </c>
      <c r="E51" s="5">
        <f>1*0.56*D2+D51*F46</f>
        <v>752.95496039827356</v>
      </c>
      <c r="F51" s="15">
        <f>E51*(F38/10^6)^(1/3)</f>
        <v>6604.9609808397554</v>
      </c>
      <c r="H51" s="5">
        <v>2.8000000000000001E-2</v>
      </c>
      <c r="I51" s="5">
        <v>1.99</v>
      </c>
    </row>
    <row r="52" spans="1:12" x14ac:dyDescent="0.25">
      <c r="H52" s="5">
        <f>$B$51</f>
        <v>4.9417721793071162E-2</v>
      </c>
      <c r="I52" s="5">
        <f>1.99-(I51-I53)*(H51-H52)/(H51-H53)</f>
        <v>1.7758227820692885</v>
      </c>
    </row>
    <row r="53" spans="1:12" x14ac:dyDescent="0.25">
      <c r="H53" s="5">
        <v>5.6000000000000001E-2</v>
      </c>
      <c r="I53" s="5">
        <v>1.71</v>
      </c>
    </row>
    <row r="57" spans="1:12" ht="15.75" x14ac:dyDescent="0.25">
      <c r="H57" s="19" t="s">
        <v>147</v>
      </c>
      <c r="I57" s="19"/>
    </row>
    <row r="58" spans="1:12" ht="15.75" x14ac:dyDescent="0.25">
      <c r="H58" s="19" t="s">
        <v>158</v>
      </c>
      <c r="I58" s="19"/>
      <c r="L58" t="s">
        <v>159</v>
      </c>
    </row>
    <row r="65" spans="10:10" x14ac:dyDescent="0.25">
      <c r="J65" t="s">
        <v>160</v>
      </c>
    </row>
    <row r="66" spans="10:10" x14ac:dyDescent="0.25">
      <c r="J66" t="s">
        <v>102</v>
      </c>
    </row>
    <row r="67" spans="10:10" x14ac:dyDescent="0.25">
      <c r="J67" t="s">
        <v>161</v>
      </c>
    </row>
    <row r="68" spans="10:10" x14ac:dyDescent="0.25">
      <c r="J68" t="s">
        <v>162</v>
      </c>
    </row>
  </sheetData>
  <mergeCells count="2">
    <mergeCell ref="G40:I40"/>
    <mergeCell ref="H45:I4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71A-542D-4F01-AC5C-037FAB5B8C0E}">
  <dimension ref="A1:P101"/>
  <sheetViews>
    <sheetView tabSelected="1" topLeftCell="A82" zoomScaleNormal="100" workbookViewId="0">
      <selection activeCell="T105" sqref="T105"/>
    </sheetView>
  </sheetViews>
  <sheetFormatPr defaultRowHeight="15" x14ac:dyDescent="0.25"/>
  <cols>
    <col min="4" max="4" width="9.28515625" bestFit="1" customWidth="1"/>
  </cols>
  <sheetData>
    <row r="1" spans="1:9" ht="45" x14ac:dyDescent="0.25">
      <c r="A1" s="1" t="s">
        <v>31</v>
      </c>
      <c r="B1" s="1" t="s">
        <v>32</v>
      </c>
      <c r="C1" s="2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I1" s="3" t="s">
        <v>105</v>
      </c>
    </row>
    <row r="2" spans="1:9" x14ac:dyDescent="0.25">
      <c r="A2">
        <v>12</v>
      </c>
      <c r="B2">
        <v>0.5</v>
      </c>
      <c r="C2">
        <v>9</v>
      </c>
      <c r="D2">
        <v>479.35899999999998</v>
      </c>
      <c r="E2">
        <v>1156.8900000000001</v>
      </c>
      <c r="F2">
        <v>0</v>
      </c>
      <c r="G2">
        <v>2430.08</v>
      </c>
    </row>
    <row r="26" spans="1:6" x14ac:dyDescent="0.25">
      <c r="A26" s="4" t="s">
        <v>163</v>
      </c>
    </row>
    <row r="27" spans="1:6" ht="45" x14ac:dyDescent="0.25">
      <c r="A27" s="1" t="s">
        <v>164</v>
      </c>
      <c r="B27" s="1" t="s">
        <v>165</v>
      </c>
      <c r="C27" s="1" t="s">
        <v>166</v>
      </c>
    </row>
    <row r="28" spans="1:6" x14ac:dyDescent="0.25">
      <c r="A28">
        <v>5.5</v>
      </c>
      <c r="B28">
        <v>479.35899999999998</v>
      </c>
      <c r="C28">
        <v>2396.9899999999998</v>
      </c>
    </row>
    <row r="30" spans="1:6" ht="45" x14ac:dyDescent="0.25">
      <c r="A30" s="25" t="s">
        <v>4</v>
      </c>
      <c r="B30" s="24" t="s">
        <v>1</v>
      </c>
      <c r="D30" s="13" t="s">
        <v>154</v>
      </c>
      <c r="E30" s="13" t="s">
        <v>155</v>
      </c>
      <c r="F30" s="16" t="s">
        <v>167</v>
      </c>
    </row>
    <row r="31" spans="1:6" x14ac:dyDescent="0.25">
      <c r="A31" s="5" t="s">
        <v>12</v>
      </c>
      <c r="D31">
        <v>0.62</v>
      </c>
      <c r="E31">
        <v>1.89</v>
      </c>
      <c r="F31">
        <v>1.87</v>
      </c>
    </row>
    <row r="32" spans="1:6" x14ac:dyDescent="0.25">
      <c r="A32" s="28">
        <v>133.3791536</v>
      </c>
      <c r="B32" s="5" t="s">
        <v>20</v>
      </c>
    </row>
    <row r="33" spans="1:15" x14ac:dyDescent="0.25">
      <c r="A33" s="5" t="s">
        <v>21</v>
      </c>
    </row>
    <row r="34" spans="1:15" x14ac:dyDescent="0.25">
      <c r="A34" s="29">
        <v>237.50157100000001</v>
      </c>
      <c r="B34" s="5" t="s">
        <v>20</v>
      </c>
    </row>
    <row r="35" spans="1:15" x14ac:dyDescent="0.25">
      <c r="A35" s="5" t="s">
        <v>25</v>
      </c>
    </row>
    <row r="36" spans="1:15" x14ac:dyDescent="0.25">
      <c r="A36" s="5">
        <f>A32+A34</f>
        <v>370.88072460000001</v>
      </c>
      <c r="B36" s="5" t="s">
        <v>20</v>
      </c>
    </row>
    <row r="38" spans="1:15" x14ac:dyDescent="0.25">
      <c r="A38" s="4" t="s">
        <v>72</v>
      </c>
    </row>
    <row r="40" spans="1:15" x14ac:dyDescent="0.25">
      <c r="A40" s="4" t="s">
        <v>73</v>
      </c>
    </row>
    <row r="41" spans="1:15" x14ac:dyDescent="0.25">
      <c r="A41" s="4" t="s">
        <v>74</v>
      </c>
      <c r="F41" s="11">
        <f>25000*450*60</f>
        <v>675000000</v>
      </c>
    </row>
    <row r="43" spans="1:15" ht="105" x14ac:dyDescent="0.25">
      <c r="A43" s="13" t="s">
        <v>75</v>
      </c>
      <c r="B43" s="14" t="s">
        <v>76</v>
      </c>
      <c r="C43" s="14" t="s">
        <v>77</v>
      </c>
      <c r="D43" s="13" t="s">
        <v>78</v>
      </c>
      <c r="E43" s="13" t="s">
        <v>79</v>
      </c>
      <c r="F43" s="69" t="s">
        <v>168</v>
      </c>
      <c r="G43" s="70"/>
      <c r="J43">
        <v>1.9690000000000001</v>
      </c>
      <c r="N43">
        <v>8543</v>
      </c>
      <c r="O43">
        <v>14613</v>
      </c>
    </row>
    <row r="44" spans="1:15" x14ac:dyDescent="0.25">
      <c r="A44" s="5">
        <f>1*E2</f>
        <v>1156.8900000000001</v>
      </c>
      <c r="B44" s="5"/>
      <c r="C44" s="5">
        <f>$E$31</f>
        <v>1.89</v>
      </c>
      <c r="D44" s="15">
        <f>A44*($F$41/10^6)^(1/3)</f>
        <v>10148.300643483251</v>
      </c>
      <c r="E44" s="5"/>
    </row>
    <row r="46" spans="1:15" ht="105" x14ac:dyDescent="0.25">
      <c r="A46" s="13" t="s">
        <v>82</v>
      </c>
      <c r="B46" s="14" t="s">
        <v>76</v>
      </c>
      <c r="C46" s="14" t="s">
        <v>77</v>
      </c>
      <c r="D46" s="13" t="s">
        <v>78</v>
      </c>
      <c r="E46" s="13" t="s">
        <v>79</v>
      </c>
      <c r="F46" s="13" t="s">
        <v>83</v>
      </c>
      <c r="G46" s="1" t="s">
        <v>169</v>
      </c>
    </row>
    <row r="47" spans="1:15" x14ac:dyDescent="0.25">
      <c r="A47" s="5">
        <f>1*0.56*D2+1.5*A36</f>
        <v>824.76212689999988</v>
      </c>
      <c r="B47" s="5"/>
      <c r="C47" s="5">
        <v>0.5</v>
      </c>
      <c r="D47" s="15">
        <f>A47*($F$41/10^6)^(1/3)</f>
        <v>7234.8572665853126</v>
      </c>
      <c r="E47" s="5"/>
      <c r="F47" s="5">
        <f>$A$36</f>
        <v>370.88072460000001</v>
      </c>
    </row>
    <row r="51" spans="1:10" ht="90" x14ac:dyDescent="0.25">
      <c r="A51" s="13" t="s">
        <v>86</v>
      </c>
      <c r="B51" s="13" t="s">
        <v>87</v>
      </c>
      <c r="C51" s="13" t="s">
        <v>88</v>
      </c>
      <c r="D51" s="13" t="s">
        <v>89</v>
      </c>
      <c r="E51" s="13" t="s">
        <v>90</v>
      </c>
      <c r="F51" s="13" t="s">
        <v>91</v>
      </c>
      <c r="H51" s="13" t="s">
        <v>95</v>
      </c>
      <c r="I51" s="13" t="s">
        <v>96</v>
      </c>
      <c r="J51" s="30" t="s">
        <v>170</v>
      </c>
    </row>
    <row r="52" spans="1:10" x14ac:dyDescent="0.25">
      <c r="A52" s="5">
        <v>3597</v>
      </c>
      <c r="B52" s="5">
        <f>F47/A52</f>
        <v>0.10310834712260217</v>
      </c>
      <c r="C52" s="5">
        <v>0.56000000000000005</v>
      </c>
      <c r="D52" s="5">
        <f>$I$53</f>
        <v>1.4765063572207608</v>
      </c>
      <c r="E52" s="5">
        <f>1*0.56*D2+D52*F47</f>
        <v>816.04878764254227</v>
      </c>
      <c r="F52" s="15">
        <f>E52*(F41/10^6)^(1/3)</f>
        <v>7158.4233909416953</v>
      </c>
      <c r="H52" s="5">
        <v>8.4000000000000005E-2</v>
      </c>
      <c r="I52" s="5">
        <v>1.55</v>
      </c>
    </row>
    <row r="53" spans="1:10" x14ac:dyDescent="0.25">
      <c r="H53" s="5">
        <f>$B$52</f>
        <v>0.10310834712260217</v>
      </c>
      <c r="I53" s="5">
        <f>1.55-(I52-I54)*(H52-H53)/(H52-H54)</f>
        <v>1.4765063572207608</v>
      </c>
    </row>
    <row r="54" spans="1:10" x14ac:dyDescent="0.25">
      <c r="H54" s="5">
        <v>0.11</v>
      </c>
      <c r="I54" s="5">
        <v>1.45</v>
      </c>
    </row>
    <row r="58" spans="1:10" ht="15.75" x14ac:dyDescent="0.25">
      <c r="H58" s="19" t="s">
        <v>171</v>
      </c>
    </row>
    <row r="59" spans="1:10" ht="15.75" x14ac:dyDescent="0.25">
      <c r="H59" s="19" t="s">
        <v>172</v>
      </c>
    </row>
    <row r="62" spans="1:10" ht="105" x14ac:dyDescent="0.25">
      <c r="A62" s="13" t="s">
        <v>173</v>
      </c>
      <c r="B62" s="14" t="s">
        <v>76</v>
      </c>
      <c r="C62" s="14" t="s">
        <v>77</v>
      </c>
      <c r="D62" s="13" t="s">
        <v>78</v>
      </c>
      <c r="E62" s="13" t="s">
        <v>79</v>
      </c>
      <c r="F62" s="30" t="s">
        <v>174</v>
      </c>
    </row>
    <row r="63" spans="1:10" x14ac:dyDescent="0.25">
      <c r="A63" s="5">
        <f>1*B28</f>
        <v>479.35899999999998</v>
      </c>
      <c r="B63" s="5"/>
      <c r="C63" s="5">
        <v>1.18</v>
      </c>
      <c r="D63" s="15">
        <f>A63*($F$41/10^6)^(1/3)</f>
        <v>4204.9626569159445</v>
      </c>
      <c r="E63" s="5"/>
    </row>
    <row r="64" spans="1:10" ht="73.5" customHeight="1" x14ac:dyDescent="0.25">
      <c r="F64" s="58" t="s">
        <v>175</v>
      </c>
      <c r="G64" s="58"/>
    </row>
    <row r="65" spans="8:16" ht="15.75" x14ac:dyDescent="0.25">
      <c r="H65" s="19" t="s">
        <v>176</v>
      </c>
      <c r="K65" t="s">
        <v>177</v>
      </c>
    </row>
    <row r="66" spans="8:16" x14ac:dyDescent="0.25">
      <c r="H66" t="s">
        <v>178</v>
      </c>
    </row>
    <row r="72" spans="8:16" x14ac:dyDescent="0.25">
      <c r="I72" t="s">
        <v>179</v>
      </c>
    </row>
    <row r="73" spans="8:16" x14ac:dyDescent="0.25">
      <c r="I73" t="s">
        <v>180</v>
      </c>
      <c r="K73" t="s">
        <v>181</v>
      </c>
    </row>
    <row r="74" spans="8:16" x14ac:dyDescent="0.25">
      <c r="I74" t="s">
        <v>151</v>
      </c>
    </row>
    <row r="75" spans="8:16" x14ac:dyDescent="0.25">
      <c r="I75" t="s">
        <v>182</v>
      </c>
    </row>
    <row r="76" spans="8:16" x14ac:dyDescent="0.25">
      <c r="I76" t="s">
        <v>183</v>
      </c>
    </row>
    <row r="80" spans="8:16" x14ac:dyDescent="0.25">
      <c r="I80" s="4" t="s">
        <v>184</v>
      </c>
      <c r="P80" t="s">
        <v>185</v>
      </c>
    </row>
    <row r="81" spans="1:9" x14ac:dyDescent="0.25">
      <c r="I81" t="s">
        <v>179</v>
      </c>
    </row>
    <row r="82" spans="1:9" x14ac:dyDescent="0.25">
      <c r="I82" t="s">
        <v>186</v>
      </c>
    </row>
    <row r="83" spans="1:9" x14ac:dyDescent="0.25">
      <c r="I83" t="s">
        <v>151</v>
      </c>
    </row>
    <row r="84" spans="1:9" x14ac:dyDescent="0.25">
      <c r="I84" t="s">
        <v>187</v>
      </c>
    </row>
    <row r="85" spans="1:9" x14ac:dyDescent="0.25">
      <c r="I85" t="s">
        <v>188</v>
      </c>
    </row>
    <row r="91" spans="1:9" x14ac:dyDescent="0.25">
      <c r="A91" s="4" t="s">
        <v>189</v>
      </c>
    </row>
    <row r="95" spans="1:9" x14ac:dyDescent="0.25">
      <c r="B95" t="s">
        <v>190</v>
      </c>
    </row>
    <row r="99" spans="9:9" x14ac:dyDescent="0.25">
      <c r="I99" t="s">
        <v>277</v>
      </c>
    </row>
    <row r="101" spans="9:9" x14ac:dyDescent="0.25">
      <c r="I101" t="s">
        <v>278</v>
      </c>
    </row>
  </sheetData>
  <mergeCells count="2">
    <mergeCell ref="F43:G43"/>
    <mergeCell ref="F64:G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D44D-3749-4C51-A152-C31DC6F832A8}">
  <dimension ref="A1:N91"/>
  <sheetViews>
    <sheetView topLeftCell="A50" zoomScale="85" zoomScaleNormal="85" workbookViewId="0">
      <selection activeCell="A30" sqref="A30"/>
    </sheetView>
  </sheetViews>
  <sheetFormatPr defaultRowHeight="15" x14ac:dyDescent="0.25"/>
  <cols>
    <col min="1" max="1" width="9.28515625" bestFit="1" customWidth="1"/>
    <col min="4" max="4" width="9.28515625" bestFit="1" customWidth="1"/>
    <col min="6" max="6" width="9.28515625" bestFit="1" customWidth="1"/>
    <col min="8" max="8" width="9.28515625" bestFit="1" customWidth="1"/>
  </cols>
  <sheetData>
    <row r="1" spans="1:9" ht="45" x14ac:dyDescent="0.25">
      <c r="A1" s="1" t="s">
        <v>31</v>
      </c>
      <c r="B1" s="1" t="s">
        <v>32</v>
      </c>
      <c r="C1" s="2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I1" s="3" t="s">
        <v>105</v>
      </c>
    </row>
    <row r="2" spans="1:9" x14ac:dyDescent="0.25">
      <c r="A2">
        <v>12</v>
      </c>
      <c r="B2">
        <v>2.5</v>
      </c>
      <c r="C2">
        <v>11.5</v>
      </c>
      <c r="D2">
        <v>155.88499999999999</v>
      </c>
      <c r="E2">
        <v>370.48099999999999</v>
      </c>
      <c r="F2">
        <v>0</v>
      </c>
      <c r="G2">
        <v>0</v>
      </c>
    </row>
    <row r="24" spans="1:5" ht="45" x14ac:dyDescent="0.25">
      <c r="A24" s="25" t="s">
        <v>5</v>
      </c>
      <c r="B24" s="24" t="s">
        <v>1</v>
      </c>
      <c r="D24" s="13" t="s">
        <v>154</v>
      </c>
      <c r="E24" s="13" t="s">
        <v>155</v>
      </c>
    </row>
    <row r="25" spans="1:5" x14ac:dyDescent="0.25">
      <c r="A25" s="5" t="s">
        <v>13</v>
      </c>
      <c r="D25">
        <v>0.5</v>
      </c>
      <c r="E25">
        <v>0.6</v>
      </c>
    </row>
    <row r="26" spans="1:5" x14ac:dyDescent="0.25">
      <c r="A26" s="6">
        <v>244.52844820000001</v>
      </c>
      <c r="B26" s="5" t="s">
        <v>18</v>
      </c>
    </row>
    <row r="27" spans="1:5" x14ac:dyDescent="0.25">
      <c r="A27" s="5" t="s">
        <v>22</v>
      </c>
      <c r="C27" s="1"/>
    </row>
    <row r="28" spans="1:5" x14ac:dyDescent="0.25">
      <c r="A28" s="6">
        <v>111.1492946</v>
      </c>
      <c r="B28" s="5" t="s">
        <v>18</v>
      </c>
    </row>
    <row r="29" spans="1:5" x14ac:dyDescent="0.25">
      <c r="A29" s="5" t="s">
        <v>25</v>
      </c>
    </row>
    <row r="30" spans="1:5" x14ac:dyDescent="0.25">
      <c r="A30" s="5">
        <f>A26+A28</f>
        <v>355.67774280000003</v>
      </c>
      <c r="B30" s="5" t="s">
        <v>18</v>
      </c>
    </row>
    <row r="32" spans="1:5" x14ac:dyDescent="0.25">
      <c r="A32" s="4" t="s">
        <v>72</v>
      </c>
    </row>
    <row r="34" spans="1:14" x14ac:dyDescent="0.25">
      <c r="A34" s="4" t="s">
        <v>73</v>
      </c>
    </row>
    <row r="35" spans="1:14" x14ac:dyDescent="0.25">
      <c r="A35" s="4" t="s">
        <v>74</v>
      </c>
      <c r="F35" s="11">
        <f>25000*450*60</f>
        <v>675000000</v>
      </c>
    </row>
    <row r="37" spans="1:14" ht="105" x14ac:dyDescent="0.25">
      <c r="A37" s="13" t="s">
        <v>75</v>
      </c>
      <c r="B37" s="14" t="s">
        <v>76</v>
      </c>
      <c r="C37" s="14" t="s">
        <v>191</v>
      </c>
      <c r="D37" s="13" t="s">
        <v>78</v>
      </c>
      <c r="E37" s="13" t="s">
        <v>79</v>
      </c>
      <c r="F37" s="30" t="s">
        <v>192</v>
      </c>
    </row>
    <row r="38" spans="1:14" x14ac:dyDescent="0.25">
      <c r="A38" s="5">
        <f>1*E2</f>
        <v>370.48099999999999</v>
      </c>
      <c r="B38" s="5"/>
      <c r="C38" s="5">
        <v>0.6</v>
      </c>
      <c r="D38" s="15">
        <f>A38*(F35/10^6)^(1/3)</f>
        <v>3249.8790470125232</v>
      </c>
      <c r="E38" s="5"/>
    </row>
    <row r="40" spans="1:14" ht="105" x14ac:dyDescent="0.25">
      <c r="A40" s="13" t="s">
        <v>82</v>
      </c>
      <c r="B40" s="14" t="s">
        <v>76</v>
      </c>
      <c r="C40" s="14" t="s">
        <v>77</v>
      </c>
      <c r="D40" s="13" t="s">
        <v>78</v>
      </c>
      <c r="E40" s="13" t="s">
        <v>79</v>
      </c>
      <c r="F40" s="13" t="s">
        <v>83</v>
      </c>
      <c r="G40" s="1" t="s">
        <v>169</v>
      </c>
    </row>
    <row r="41" spans="1:14" x14ac:dyDescent="0.25">
      <c r="A41" s="5">
        <f>1*0.56*D2+1.5*A30</f>
        <v>620.81221420000008</v>
      </c>
      <c r="B41" s="5"/>
      <c r="C41" s="5">
        <v>0.5</v>
      </c>
      <c r="D41" s="15">
        <f>A41*(F35/10^6)^(1/3)</f>
        <v>5445.7977792600177</v>
      </c>
      <c r="E41" s="5"/>
      <c r="F41" s="5">
        <f>$A$30</f>
        <v>355.67774280000003</v>
      </c>
    </row>
    <row r="45" spans="1:14" ht="90" x14ac:dyDescent="0.25">
      <c r="A45" s="13" t="s">
        <v>86</v>
      </c>
      <c r="B45" s="13" t="s">
        <v>87</v>
      </c>
      <c r="C45" s="13" t="s">
        <v>88</v>
      </c>
      <c r="D45" s="13" t="s">
        <v>89</v>
      </c>
      <c r="E45" s="13" t="s">
        <v>90</v>
      </c>
      <c r="F45" s="13" t="s">
        <v>91</v>
      </c>
      <c r="G45" s="30" t="s">
        <v>146</v>
      </c>
      <c r="H45" s="13" t="s">
        <v>95</v>
      </c>
      <c r="I45" s="13" t="s">
        <v>96</v>
      </c>
    </row>
    <row r="46" spans="1:14" x14ac:dyDescent="0.25">
      <c r="A46" s="5">
        <v>3372</v>
      </c>
      <c r="B46" s="5">
        <f>F41/A46</f>
        <v>0.10547975765124556</v>
      </c>
      <c r="C46" s="5">
        <v>0.56000000000000005</v>
      </c>
      <c r="D46" s="5">
        <f>$I$47</f>
        <v>1.4673846153846153</v>
      </c>
      <c r="E46" s="5">
        <f>1*0.56*D2+D46*F41</f>
        <v>609.21164781944617</v>
      </c>
      <c r="F46" s="15">
        <f>E46*(F35/10^6)^(1/3)</f>
        <v>5344.036993649851</v>
      </c>
      <c r="H46" s="5">
        <v>8.4000000000000005E-2</v>
      </c>
      <c r="I46" s="5">
        <v>1.55</v>
      </c>
      <c r="K46" t="s">
        <v>193</v>
      </c>
      <c r="N46" t="s">
        <v>194</v>
      </c>
    </row>
    <row r="47" spans="1:14" x14ac:dyDescent="0.25">
      <c r="H47" s="5">
        <v>0.10548</v>
      </c>
      <c r="I47" s="5">
        <f>1.55-(I46-I48)*(H46-H47)/(H46-H48)</f>
        <v>1.4673846153846153</v>
      </c>
      <c r="K47" t="s">
        <v>195</v>
      </c>
      <c r="L47" s="34">
        <v>9.8881999999999998E-2</v>
      </c>
      <c r="N47" t="s">
        <v>196</v>
      </c>
    </row>
    <row r="48" spans="1:14" x14ac:dyDescent="0.25">
      <c r="H48" s="5">
        <v>0.11</v>
      </c>
      <c r="I48" s="5">
        <v>1.45</v>
      </c>
    </row>
    <row r="51" spans="8:9" ht="15.75" x14ac:dyDescent="0.25">
      <c r="H51" s="19" t="s">
        <v>171</v>
      </c>
    </row>
    <row r="52" spans="8:9" ht="15.75" x14ac:dyDescent="0.25">
      <c r="H52" s="19" t="s">
        <v>197</v>
      </c>
    </row>
    <row r="60" spans="8:9" x14ac:dyDescent="0.25">
      <c r="I60" t="s">
        <v>198</v>
      </c>
    </row>
    <row r="61" spans="8:9" x14ac:dyDescent="0.25">
      <c r="I61" t="s">
        <v>199</v>
      </c>
    </row>
    <row r="62" spans="8:9" x14ac:dyDescent="0.25">
      <c r="I62" t="s">
        <v>200</v>
      </c>
    </row>
    <row r="63" spans="8:9" x14ac:dyDescent="0.25">
      <c r="I63" t="s">
        <v>201</v>
      </c>
    </row>
    <row r="64" spans="8:9" x14ac:dyDescent="0.25">
      <c r="I64" t="s">
        <v>202</v>
      </c>
    </row>
    <row r="66" spans="1:9" x14ac:dyDescent="0.25">
      <c r="I66" t="s">
        <v>203</v>
      </c>
    </row>
    <row r="76" spans="1:9" x14ac:dyDescent="0.25">
      <c r="A76" t="s">
        <v>204</v>
      </c>
    </row>
    <row r="78" spans="1:9" x14ac:dyDescent="0.25">
      <c r="A78" t="s">
        <v>198</v>
      </c>
    </row>
    <row r="79" spans="1:9" x14ac:dyDescent="0.25">
      <c r="A79" t="s">
        <v>199</v>
      </c>
      <c r="E79" t="s">
        <v>205</v>
      </c>
    </row>
    <row r="80" spans="1:9" x14ac:dyDescent="0.25">
      <c r="A80" t="s">
        <v>200</v>
      </c>
      <c r="E80" t="s">
        <v>206</v>
      </c>
    </row>
    <row r="81" spans="1:13" x14ac:dyDescent="0.25">
      <c r="A81" t="s">
        <v>201</v>
      </c>
      <c r="E81" t="s">
        <v>207</v>
      </c>
      <c r="J81" t="s">
        <v>208</v>
      </c>
    </row>
    <row r="82" spans="1:13" x14ac:dyDescent="0.25">
      <c r="A82" t="s">
        <v>202</v>
      </c>
      <c r="D82" t="s">
        <v>209</v>
      </c>
      <c r="J82">
        <f>1.25984+0.125</f>
        <v>1.3848400000000001</v>
      </c>
      <c r="K82" t="s">
        <v>210</v>
      </c>
    </row>
    <row r="83" spans="1:13" ht="210" customHeight="1" x14ac:dyDescent="0.25">
      <c r="K83" s="58" t="s">
        <v>211</v>
      </c>
      <c r="L83" s="58"/>
      <c r="M83" s="58"/>
    </row>
    <row r="84" spans="1:13" x14ac:dyDescent="0.25">
      <c r="A84" t="s">
        <v>203</v>
      </c>
    </row>
    <row r="89" spans="1:13" x14ac:dyDescent="0.25">
      <c r="A89" s="33" t="s">
        <v>212</v>
      </c>
    </row>
    <row r="91" spans="1:13" x14ac:dyDescent="0.25">
      <c r="A91" t="s">
        <v>213</v>
      </c>
      <c r="E91" t="s">
        <v>214</v>
      </c>
      <c r="J91" t="s">
        <v>215</v>
      </c>
      <c r="L91" t="s">
        <v>216</v>
      </c>
    </row>
  </sheetData>
  <mergeCells count="1">
    <mergeCell ref="K83:M83"/>
  </mergeCells>
  <hyperlinks>
    <hyperlink ref="A89" r:id="rId1" location="cid-493604" xr:uid="{AAAA1211-ECFD-4B7C-8474-EBA8DD390876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3C94-0EE1-4618-8347-401A7761180A}">
  <dimension ref="A1:O163"/>
  <sheetViews>
    <sheetView topLeftCell="A123" zoomScale="70" zoomScaleNormal="70" workbookViewId="0">
      <selection activeCell="I141" sqref="I141"/>
    </sheetView>
  </sheetViews>
  <sheetFormatPr defaultRowHeight="15" x14ac:dyDescent="0.25"/>
  <cols>
    <col min="4" max="4" width="9.28515625" bestFit="1" customWidth="1"/>
    <col min="6" max="6" width="9.28515625" bestFit="1" customWidth="1"/>
  </cols>
  <sheetData>
    <row r="1" spans="1:9" ht="45" x14ac:dyDescent="0.25">
      <c r="A1" s="1" t="s">
        <v>31</v>
      </c>
      <c r="B1" s="1" t="s">
        <v>32</v>
      </c>
      <c r="C1" s="2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I1" s="3" t="s">
        <v>105</v>
      </c>
    </row>
    <row r="2" spans="1:9" x14ac:dyDescent="0.25">
      <c r="A2">
        <v>15</v>
      </c>
      <c r="B2">
        <v>0.5</v>
      </c>
      <c r="C2">
        <v>12.5</v>
      </c>
      <c r="D2">
        <v>147.393</v>
      </c>
      <c r="E2">
        <v>514.43899999999996</v>
      </c>
      <c r="F2">
        <v>0</v>
      </c>
      <c r="G2">
        <v>740</v>
      </c>
    </row>
    <row r="8" spans="1:9" ht="45" x14ac:dyDescent="0.25">
      <c r="A8" s="24" t="s">
        <v>6</v>
      </c>
      <c r="B8" s="24" t="s">
        <v>1</v>
      </c>
      <c r="E8" s="13" t="s">
        <v>154</v>
      </c>
      <c r="F8" s="13" t="s">
        <v>155</v>
      </c>
    </row>
    <row r="9" spans="1:9" x14ac:dyDescent="0.25">
      <c r="A9" t="s">
        <v>217</v>
      </c>
      <c r="E9">
        <v>0.23599999999999999</v>
      </c>
      <c r="F9">
        <v>0.93100000000000005</v>
      </c>
    </row>
    <row r="10" spans="1:9" x14ac:dyDescent="0.25">
      <c r="A10" s="23">
        <v>79.63</v>
      </c>
      <c r="B10" s="5" t="s">
        <v>20</v>
      </c>
    </row>
    <row r="11" spans="1:9" x14ac:dyDescent="0.25">
      <c r="A11" t="s">
        <v>218</v>
      </c>
    </row>
    <row r="12" spans="1:9" x14ac:dyDescent="0.25">
      <c r="A12" s="23">
        <v>89</v>
      </c>
      <c r="B12" s="5" t="s">
        <v>20</v>
      </c>
    </row>
    <row r="13" spans="1:9" x14ac:dyDescent="0.25">
      <c r="A13" s="5" t="s">
        <v>25</v>
      </c>
    </row>
    <row r="14" spans="1:9" x14ac:dyDescent="0.25">
      <c r="A14" s="5">
        <f>(A10+A12)</f>
        <v>168.63</v>
      </c>
      <c r="B14" s="5" t="s">
        <v>20</v>
      </c>
    </row>
    <row r="19" spans="1:3" x14ac:dyDescent="0.25">
      <c r="A19" s="4"/>
    </row>
    <row r="20" spans="1:3" x14ac:dyDescent="0.25">
      <c r="A20" s="1"/>
      <c r="B20" s="1"/>
      <c r="C20" s="1"/>
    </row>
    <row r="26" spans="1:3" x14ac:dyDescent="0.25">
      <c r="A26" s="4" t="s">
        <v>219</v>
      </c>
    </row>
    <row r="27" spans="1:3" ht="45" x14ac:dyDescent="0.25">
      <c r="A27" s="1" t="s">
        <v>220</v>
      </c>
      <c r="B27" s="1" t="s">
        <v>221</v>
      </c>
      <c r="C27" s="1" t="s">
        <v>222</v>
      </c>
    </row>
    <row r="28" spans="1:3" x14ac:dyDescent="0.25">
      <c r="A28">
        <v>5.5</v>
      </c>
      <c r="B28">
        <v>208.446</v>
      </c>
      <c r="C28">
        <v>843.98199999999997</v>
      </c>
    </row>
    <row r="31" spans="1:3" x14ac:dyDescent="0.25">
      <c r="A31" s="4" t="s">
        <v>72</v>
      </c>
    </row>
    <row r="33" spans="1:7" x14ac:dyDescent="0.25">
      <c r="A33" s="4" t="s">
        <v>73</v>
      </c>
    </row>
    <row r="34" spans="1:7" x14ac:dyDescent="0.25">
      <c r="A34" s="4" t="s">
        <v>74</v>
      </c>
      <c r="F34" s="11">
        <f>25000*450*60</f>
        <v>675000000</v>
      </c>
    </row>
    <row r="36" spans="1:7" ht="105" x14ac:dyDescent="0.25">
      <c r="A36" s="13" t="s">
        <v>75</v>
      </c>
      <c r="B36" s="14" t="s">
        <v>76</v>
      </c>
      <c r="C36" s="14" t="s">
        <v>191</v>
      </c>
      <c r="D36" s="13" t="s">
        <v>78</v>
      </c>
      <c r="E36" s="13" t="s">
        <v>79</v>
      </c>
      <c r="G36" s="13" t="s">
        <v>155</v>
      </c>
    </row>
    <row r="37" spans="1:7" x14ac:dyDescent="0.25">
      <c r="A37" s="5">
        <f>1*E2</f>
        <v>514.43899999999996</v>
      </c>
      <c r="B37" s="5"/>
      <c r="C37" s="5">
        <f>$F$9</f>
        <v>0.93100000000000005</v>
      </c>
      <c r="D37" s="15">
        <f>A37*($F$34/10^6)^(1/3)</f>
        <v>4512.6862836854662</v>
      </c>
      <c r="E37" s="5"/>
      <c r="G37">
        <v>0.93100000000000005</v>
      </c>
    </row>
    <row r="40" spans="1:7" x14ac:dyDescent="0.25">
      <c r="A40" t="s">
        <v>223</v>
      </c>
    </row>
    <row r="51" spans="1:14" ht="105" x14ac:dyDescent="0.25">
      <c r="A51" s="13" t="s">
        <v>82</v>
      </c>
      <c r="B51" s="14" t="s">
        <v>76</v>
      </c>
      <c r="C51" s="14" t="s">
        <v>77</v>
      </c>
      <c r="D51" s="13" t="s">
        <v>78</v>
      </c>
      <c r="E51" s="13" t="s">
        <v>79</v>
      </c>
      <c r="F51" s="13" t="s">
        <v>83</v>
      </c>
      <c r="H51" s="13" t="s">
        <v>154</v>
      </c>
      <c r="I51" s="13" t="s">
        <v>155</v>
      </c>
    </row>
    <row r="52" spans="1:14" x14ac:dyDescent="0.25">
      <c r="A52" s="5">
        <f>1*0.56*D2+1.5*A14</f>
        <v>335.48507999999998</v>
      </c>
      <c r="B52" s="5"/>
      <c r="C52" s="5">
        <f>E9</f>
        <v>0.23599999999999999</v>
      </c>
      <c r="D52" s="15">
        <f>A52*($F$34/10^6)^(1/3)</f>
        <v>2942.8929744772877</v>
      </c>
      <c r="E52" s="5"/>
      <c r="F52" s="5">
        <f>$A$14</f>
        <v>168.63</v>
      </c>
      <c r="H52">
        <v>0.23599999999999999</v>
      </c>
      <c r="I52">
        <v>0.93100000000000005</v>
      </c>
    </row>
    <row r="53" spans="1:14" x14ac:dyDescent="0.25">
      <c r="H53" t="s">
        <v>224</v>
      </c>
      <c r="J53">
        <v>0.66900000000000004</v>
      </c>
    </row>
    <row r="55" spans="1:14" ht="90" x14ac:dyDescent="0.25">
      <c r="A55" s="13" t="s">
        <v>86</v>
      </c>
      <c r="B55" s="13" t="s">
        <v>87</v>
      </c>
      <c r="C55" s="13" t="s">
        <v>88</v>
      </c>
      <c r="D55" s="13" t="s">
        <v>89</v>
      </c>
      <c r="E55" s="13" t="s">
        <v>90</v>
      </c>
      <c r="F55" s="13" t="s">
        <v>91</v>
      </c>
      <c r="G55" s="30" t="s">
        <v>146</v>
      </c>
      <c r="H55" s="13"/>
      <c r="I55" s="13"/>
      <c r="K55" s="13" t="s">
        <v>95</v>
      </c>
      <c r="L55" s="13" t="s">
        <v>96</v>
      </c>
    </row>
    <row r="56" spans="1:14" x14ac:dyDescent="0.25">
      <c r="A56" s="5">
        <v>1472</v>
      </c>
      <c r="B56" s="5">
        <f>F52/A56</f>
        <v>0.11455842391304348</v>
      </c>
      <c r="C56" s="5">
        <v>0.56000000000000005</v>
      </c>
      <c r="D56" s="5">
        <f>1.45</f>
        <v>1.45</v>
      </c>
      <c r="E56" s="5">
        <f>1*0.56*D2+D56*F52</f>
        <v>327.05358000000001</v>
      </c>
      <c r="F56" s="15">
        <f>E56*(F34/10^6)^(1/3)</f>
        <v>2868.9314077980625</v>
      </c>
      <c r="H56" s="5"/>
      <c r="I56" s="5"/>
      <c r="K56" s="5">
        <v>8.4000000000000005E-2</v>
      </c>
      <c r="L56" s="5">
        <v>1.55</v>
      </c>
      <c r="N56" t="s">
        <v>225</v>
      </c>
    </row>
    <row r="57" spans="1:14" x14ac:dyDescent="0.25">
      <c r="H57" s="5"/>
      <c r="I57" s="5"/>
      <c r="K57" s="5">
        <f>$B$56</f>
        <v>0.11455842391304348</v>
      </c>
      <c r="L57" s="5">
        <f>1.99-(L56-L58)*(K56-K57)/(K56-K58)</f>
        <v>1.872467600334448</v>
      </c>
    </row>
    <row r="58" spans="1:14" x14ac:dyDescent="0.25">
      <c r="H58" s="5"/>
      <c r="I58" s="5"/>
      <c r="K58" s="5">
        <v>0.11</v>
      </c>
      <c r="L58" s="5">
        <v>1.45</v>
      </c>
    </row>
    <row r="60" spans="1:14" ht="105" x14ac:dyDescent="0.25">
      <c r="A60" s="13" t="s">
        <v>226</v>
      </c>
      <c r="B60" s="14" t="s">
        <v>76</v>
      </c>
      <c r="C60" s="14" t="s">
        <v>77</v>
      </c>
      <c r="D60" s="13" t="s">
        <v>78</v>
      </c>
      <c r="E60" s="13" t="s">
        <v>79</v>
      </c>
    </row>
    <row r="61" spans="1:14" x14ac:dyDescent="0.25">
      <c r="A61" s="5">
        <v>208.446</v>
      </c>
      <c r="B61" s="5"/>
      <c r="C61" s="5">
        <v>0.85</v>
      </c>
      <c r="D61" s="15">
        <f>A61*($F$34/10^6)^(1/3)</f>
        <v>1828.4994043785575</v>
      </c>
      <c r="E61" s="5"/>
      <c r="G61" t="s">
        <v>227</v>
      </c>
      <c r="H61" t="s">
        <v>228</v>
      </c>
      <c r="I61" t="s">
        <v>229</v>
      </c>
    </row>
    <row r="87" spans="1:7" x14ac:dyDescent="0.25">
      <c r="A87" s="35" t="s">
        <v>230</v>
      </c>
      <c r="B87" s="35"/>
      <c r="C87" s="35"/>
    </row>
    <row r="89" spans="1:7" ht="45" x14ac:dyDescent="0.25">
      <c r="A89" s="1" t="s">
        <v>31</v>
      </c>
      <c r="B89" s="1" t="s">
        <v>32</v>
      </c>
      <c r="C89" s="2" t="s">
        <v>33</v>
      </c>
      <c r="D89" s="1" t="s">
        <v>34</v>
      </c>
      <c r="E89" s="1" t="s">
        <v>35</v>
      </c>
      <c r="F89" s="1" t="s">
        <v>36</v>
      </c>
      <c r="G89" s="1" t="s">
        <v>37</v>
      </c>
    </row>
    <row r="90" spans="1:7" x14ac:dyDescent="0.25">
      <c r="A90">
        <v>15</v>
      </c>
      <c r="B90">
        <v>0.5</v>
      </c>
      <c r="C90">
        <v>14.5</v>
      </c>
      <c r="D90">
        <v>252.364</v>
      </c>
      <c r="E90">
        <v>578.21900000000005</v>
      </c>
      <c r="F90">
        <v>0</v>
      </c>
      <c r="G90">
        <v>0</v>
      </c>
    </row>
    <row r="94" spans="1:7" ht="45" x14ac:dyDescent="0.25">
      <c r="A94" s="24" t="s">
        <v>6</v>
      </c>
      <c r="B94" s="24" t="s">
        <v>1</v>
      </c>
      <c r="D94" s="13" t="s">
        <v>154</v>
      </c>
      <c r="E94" s="13" t="s">
        <v>155</v>
      </c>
      <c r="F94" t="s">
        <v>231</v>
      </c>
    </row>
    <row r="95" spans="1:7" x14ac:dyDescent="0.25">
      <c r="A95" t="s">
        <v>217</v>
      </c>
      <c r="D95">
        <v>0.30869999999999997</v>
      </c>
      <c r="E95">
        <v>0.46700000000000003</v>
      </c>
      <c r="F95">
        <v>0.97</v>
      </c>
    </row>
    <row r="96" spans="1:7" x14ac:dyDescent="0.25">
      <c r="A96" s="23">
        <v>79.63</v>
      </c>
      <c r="B96" s="5" t="s">
        <v>20</v>
      </c>
    </row>
    <row r="97" spans="1:14" x14ac:dyDescent="0.25">
      <c r="A97" t="s">
        <v>218</v>
      </c>
    </row>
    <row r="98" spans="1:14" x14ac:dyDescent="0.25">
      <c r="A98" s="23">
        <v>89</v>
      </c>
      <c r="B98" s="5" t="s">
        <v>20</v>
      </c>
    </row>
    <row r="99" spans="1:14" x14ac:dyDescent="0.25">
      <c r="A99" s="5" t="s">
        <v>25</v>
      </c>
    </row>
    <row r="100" spans="1:14" x14ac:dyDescent="0.25">
      <c r="A100" s="5">
        <f>(A96+A98)</f>
        <v>168.63</v>
      </c>
      <c r="B100" s="5" t="s">
        <v>20</v>
      </c>
    </row>
    <row r="102" spans="1:14" x14ac:dyDescent="0.25">
      <c r="A102" s="4" t="s">
        <v>219</v>
      </c>
    </row>
    <row r="103" spans="1:14" ht="45" x14ac:dyDescent="0.25">
      <c r="A103" s="1" t="s">
        <v>220</v>
      </c>
      <c r="B103" s="1" t="s">
        <v>221</v>
      </c>
      <c r="C103" s="1" t="s">
        <v>222</v>
      </c>
    </row>
    <row r="104" spans="1:14" x14ac:dyDescent="0.25">
      <c r="A104">
        <v>5.5</v>
      </c>
      <c r="B104">
        <v>252.36</v>
      </c>
      <c r="C104">
        <v>1310</v>
      </c>
      <c r="M104" s="13"/>
      <c r="N104" s="13"/>
    </row>
    <row r="106" spans="1:14" x14ac:dyDescent="0.25">
      <c r="A106" s="4" t="s">
        <v>72</v>
      </c>
      <c r="L106" t="s">
        <v>232</v>
      </c>
    </row>
    <row r="108" spans="1:14" x14ac:dyDescent="0.25">
      <c r="A108" s="4" t="s">
        <v>73</v>
      </c>
    </row>
    <row r="109" spans="1:14" x14ac:dyDescent="0.25">
      <c r="A109" s="4" t="s">
        <v>74</v>
      </c>
      <c r="F109" s="11">
        <f>25000*450*60</f>
        <v>675000000</v>
      </c>
    </row>
    <row r="111" spans="1:14" ht="105" x14ac:dyDescent="0.25">
      <c r="A111" s="13" t="s">
        <v>75</v>
      </c>
      <c r="B111" s="14" t="s">
        <v>76</v>
      </c>
      <c r="C111" s="14" t="s">
        <v>191</v>
      </c>
      <c r="D111" s="13" t="s">
        <v>78</v>
      </c>
      <c r="E111" s="13" t="s">
        <v>79</v>
      </c>
      <c r="G111" s="13" t="s">
        <v>155</v>
      </c>
    </row>
    <row r="112" spans="1:14" x14ac:dyDescent="0.25">
      <c r="A112" s="5">
        <f>1*E90</f>
        <v>578.21900000000005</v>
      </c>
      <c r="B112" s="5"/>
      <c r="C112" s="5">
        <f>E95</f>
        <v>0.46700000000000003</v>
      </c>
      <c r="D112" s="15">
        <f>A112*(F109/10^6)^(1/3)</f>
        <v>5072.1678377151175</v>
      </c>
      <c r="E112" s="5"/>
      <c r="G112">
        <f>C112</f>
        <v>0.46700000000000003</v>
      </c>
    </row>
    <row r="114" spans="1:13" x14ac:dyDescent="0.25">
      <c r="A114" s="34" t="s">
        <v>233</v>
      </c>
      <c r="D114" t="s">
        <v>234</v>
      </c>
    </row>
    <row r="118" spans="1:13" ht="105" x14ac:dyDescent="0.25">
      <c r="A118" s="13" t="s">
        <v>82</v>
      </c>
      <c r="B118" s="14" t="s">
        <v>76</v>
      </c>
      <c r="C118" s="14" t="s">
        <v>77</v>
      </c>
      <c r="D118" s="13" t="s">
        <v>78</v>
      </c>
      <c r="E118" s="13" t="s">
        <v>79</v>
      </c>
      <c r="F118" s="13" t="s">
        <v>83</v>
      </c>
      <c r="H118" s="13" t="s">
        <v>154</v>
      </c>
      <c r="I118" s="13"/>
    </row>
    <row r="119" spans="1:13" x14ac:dyDescent="0.25">
      <c r="A119" s="5">
        <f>1*0.56*D90+1.5*A100</f>
        <v>394.26884000000001</v>
      </c>
      <c r="B119" s="5"/>
      <c r="C119" s="5">
        <f>D95</f>
        <v>0.30869999999999997</v>
      </c>
      <c r="D119" s="15">
        <f>A119*(F109/10^6)^(1/3)</f>
        <v>3458.5472453538318</v>
      </c>
      <c r="E119" s="5"/>
      <c r="F119" s="5">
        <f>$A$14</f>
        <v>168.63</v>
      </c>
      <c r="H119">
        <f>D95</f>
        <v>0.30869999999999997</v>
      </c>
    </row>
    <row r="120" spans="1:13" x14ac:dyDescent="0.25">
      <c r="H120" t="s">
        <v>235</v>
      </c>
      <c r="J120">
        <v>0.78700000000000003</v>
      </c>
    </row>
    <row r="121" spans="1:13" x14ac:dyDescent="0.25">
      <c r="M121" t="s">
        <v>236</v>
      </c>
    </row>
    <row r="123" spans="1:13" ht="90" x14ac:dyDescent="0.25">
      <c r="A123" s="13" t="s">
        <v>86</v>
      </c>
      <c r="B123" s="13" t="s">
        <v>87</v>
      </c>
      <c r="C123" s="13" t="s">
        <v>88</v>
      </c>
      <c r="D123" s="13" t="s">
        <v>89</v>
      </c>
      <c r="E123" s="13" t="s">
        <v>90</v>
      </c>
      <c r="F123" s="13" t="s">
        <v>91</v>
      </c>
      <c r="G123" s="30" t="s">
        <v>146</v>
      </c>
      <c r="H123" s="13" t="s">
        <v>95</v>
      </c>
      <c r="I123" s="13" t="s">
        <v>96</v>
      </c>
    </row>
    <row r="124" spans="1:13" x14ac:dyDescent="0.25">
      <c r="A124" s="5">
        <v>1754</v>
      </c>
      <c r="B124" s="5">
        <f>F119/A124</f>
        <v>9.6140250855188139E-2</v>
      </c>
      <c r="C124" s="5">
        <v>0.56000000000000005</v>
      </c>
      <c r="D124" s="5">
        <f>I125</f>
        <v>1.5033067274800456</v>
      </c>
      <c r="E124" s="5">
        <f>1*0.56*D90+D124*F119</f>
        <v>394.82645345496007</v>
      </c>
      <c r="F124" s="15">
        <f>E124*(F109/10^6)^(1/3)</f>
        <v>3463.4386602539403</v>
      </c>
      <c r="H124" s="5">
        <v>8.4000000000000005E-2</v>
      </c>
      <c r="I124" s="5">
        <v>1.55</v>
      </c>
    </row>
    <row r="125" spans="1:13" x14ac:dyDescent="0.25">
      <c r="H125" s="5">
        <f>B124</f>
        <v>9.6140250855188139E-2</v>
      </c>
      <c r="I125" s="5">
        <f>I124-(I124-I126)*(H124-H125)/(H124-H126)</f>
        <v>1.5033067274800456</v>
      </c>
    </row>
    <row r="126" spans="1:13" x14ac:dyDescent="0.25">
      <c r="H126" s="5">
        <v>0.11</v>
      </c>
      <c r="I126" s="5">
        <v>1.45</v>
      </c>
    </row>
    <row r="128" spans="1:13" ht="105" x14ac:dyDescent="0.25">
      <c r="A128" s="13" t="s">
        <v>226</v>
      </c>
      <c r="B128" s="14" t="s">
        <v>76</v>
      </c>
      <c r="C128" s="14" t="s">
        <v>77</v>
      </c>
      <c r="D128" s="13" t="s">
        <v>78</v>
      </c>
      <c r="E128" s="13" t="s">
        <v>79</v>
      </c>
    </row>
    <row r="129" spans="1:11" x14ac:dyDescent="0.25">
      <c r="A129" s="5">
        <f>B104</f>
        <v>252.36</v>
      </c>
      <c r="B129" s="5"/>
      <c r="C129" s="5">
        <f>F95</f>
        <v>0.97</v>
      </c>
      <c r="D129" s="15">
        <f>A129*(F109/10^6)^(1/3)</f>
        <v>2213.7153492461971</v>
      </c>
      <c r="E129" s="5"/>
      <c r="G129" t="s">
        <v>227</v>
      </c>
      <c r="H129" t="s">
        <v>237</v>
      </c>
      <c r="J129" t="s">
        <v>238</v>
      </c>
    </row>
    <row r="132" spans="1:11" x14ac:dyDescent="0.25">
      <c r="K132" t="s">
        <v>239</v>
      </c>
    </row>
    <row r="159" spans="9:12" x14ac:dyDescent="0.25">
      <c r="I159" t="s">
        <v>240</v>
      </c>
    </row>
    <row r="160" spans="9:12" x14ac:dyDescent="0.25">
      <c r="I160" t="s">
        <v>241</v>
      </c>
      <c r="L160" t="s">
        <v>242</v>
      </c>
    </row>
    <row r="161" spans="9:15" x14ac:dyDescent="0.25">
      <c r="I161" t="s">
        <v>243</v>
      </c>
    </row>
    <row r="162" spans="9:15" x14ac:dyDescent="0.25">
      <c r="I162" t="s">
        <v>244</v>
      </c>
      <c r="O162" t="s">
        <v>245</v>
      </c>
    </row>
    <row r="163" spans="9:15" x14ac:dyDescent="0.25">
      <c r="I163" t="s">
        <v>246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6A85-A599-410E-895F-11E5E85B7376}">
  <dimension ref="A1:K85"/>
  <sheetViews>
    <sheetView topLeftCell="A60" zoomScale="85" zoomScaleNormal="85" workbookViewId="0">
      <selection activeCell="A61" sqref="A61"/>
    </sheetView>
  </sheetViews>
  <sheetFormatPr defaultRowHeight="15" x14ac:dyDescent="0.25"/>
  <cols>
    <col min="4" max="4" width="9.28515625" bestFit="1" customWidth="1"/>
    <col min="6" max="6" width="9.28515625" bestFit="1" customWidth="1"/>
  </cols>
  <sheetData>
    <row r="1" spans="1:11" ht="45" x14ac:dyDescent="0.25">
      <c r="A1" s="1" t="s">
        <v>31</v>
      </c>
      <c r="B1" s="1" t="s">
        <v>32</v>
      </c>
      <c r="C1" s="2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I1" s="3" t="s">
        <v>105</v>
      </c>
      <c r="K1" s="1" t="s">
        <v>247</v>
      </c>
    </row>
    <row r="2" spans="1:11" x14ac:dyDescent="0.25">
      <c r="A2">
        <v>12.25</v>
      </c>
      <c r="B2">
        <v>0.5</v>
      </c>
      <c r="C2">
        <v>11.75</v>
      </c>
      <c r="D2">
        <v>146.08799999999999</v>
      </c>
      <c r="E2">
        <v>614.93299999999999</v>
      </c>
      <c r="F2">
        <v>0</v>
      </c>
      <c r="G2">
        <v>0</v>
      </c>
    </row>
    <row r="26" spans="1:6" x14ac:dyDescent="0.25">
      <c r="A26" s="4" t="s">
        <v>248</v>
      </c>
    </row>
    <row r="27" spans="1:6" ht="45" x14ac:dyDescent="0.25">
      <c r="A27" s="1" t="s">
        <v>249</v>
      </c>
      <c r="B27" s="1" t="s">
        <v>250</v>
      </c>
      <c r="C27" s="1" t="s">
        <v>251</v>
      </c>
    </row>
    <row r="28" spans="1:6" x14ac:dyDescent="0.25">
      <c r="A28">
        <v>6</v>
      </c>
      <c r="B28">
        <v>357.95699999999999</v>
      </c>
      <c r="C28">
        <v>874.09100000000001</v>
      </c>
    </row>
    <row r="30" spans="1:6" ht="45" x14ac:dyDescent="0.25">
      <c r="A30" s="24" t="s">
        <v>7</v>
      </c>
      <c r="B30" s="24" t="s">
        <v>1</v>
      </c>
      <c r="D30" s="13" t="s">
        <v>154</v>
      </c>
      <c r="E30" s="13" t="s">
        <v>155</v>
      </c>
      <c r="F30" s="16" t="s">
        <v>252</v>
      </c>
    </row>
    <row r="31" spans="1:6" x14ac:dyDescent="0.25">
      <c r="A31" t="s">
        <v>15</v>
      </c>
      <c r="D31">
        <v>0.5</v>
      </c>
      <c r="E31">
        <v>0.7</v>
      </c>
      <c r="F31">
        <v>0.9</v>
      </c>
    </row>
    <row r="32" spans="1:6" x14ac:dyDescent="0.25">
      <c r="A32" s="23">
        <v>111.1492946</v>
      </c>
      <c r="B32" s="5" t="s">
        <v>20</v>
      </c>
    </row>
    <row r="33" spans="1:7" x14ac:dyDescent="0.25">
      <c r="A33" t="s">
        <v>24</v>
      </c>
    </row>
    <row r="34" spans="1:7" x14ac:dyDescent="0.25">
      <c r="A34" s="23">
        <v>222.2985893</v>
      </c>
      <c r="B34" s="5" t="s">
        <v>20</v>
      </c>
    </row>
    <row r="35" spans="1:7" x14ac:dyDescent="0.25">
      <c r="A35" s="5" t="s">
        <v>25</v>
      </c>
    </row>
    <row r="36" spans="1:7" x14ac:dyDescent="0.25">
      <c r="A36" s="5">
        <f>(A32+A34)</f>
        <v>333.44788390000002</v>
      </c>
      <c r="B36" s="5" t="s">
        <v>20</v>
      </c>
    </row>
    <row r="38" spans="1:7" x14ac:dyDescent="0.25">
      <c r="A38" s="4" t="s">
        <v>72</v>
      </c>
    </row>
    <row r="40" spans="1:7" x14ac:dyDescent="0.25">
      <c r="A40" s="4" t="s">
        <v>73</v>
      </c>
    </row>
    <row r="41" spans="1:7" x14ac:dyDescent="0.25">
      <c r="A41" s="4" t="s">
        <v>74</v>
      </c>
      <c r="F41" s="11">
        <f>25000*450*60</f>
        <v>675000000</v>
      </c>
    </row>
    <row r="43" spans="1:7" ht="105" x14ac:dyDescent="0.25">
      <c r="A43" s="13" t="s">
        <v>75</v>
      </c>
      <c r="B43" s="14" t="s">
        <v>76</v>
      </c>
      <c r="C43" s="14" t="s">
        <v>191</v>
      </c>
      <c r="D43" s="13" t="s">
        <v>78</v>
      </c>
      <c r="E43" s="13" t="s">
        <v>79</v>
      </c>
      <c r="F43" s="30" t="s">
        <v>253</v>
      </c>
    </row>
    <row r="44" spans="1:7" x14ac:dyDescent="0.25">
      <c r="A44" s="5">
        <f>1*E2</f>
        <v>614.93299999999999</v>
      </c>
      <c r="B44" s="5"/>
      <c r="C44" s="5">
        <f>$E$31</f>
        <v>0.7</v>
      </c>
      <c r="D44" s="15">
        <f>A44*($F$41/10^6)^(1/3)</f>
        <v>5394.2249994373578</v>
      </c>
      <c r="E44" s="5"/>
    </row>
    <row r="46" spans="1:7" ht="105" x14ac:dyDescent="0.25">
      <c r="A46" s="13" t="s">
        <v>82</v>
      </c>
      <c r="B46" s="14" t="s">
        <v>76</v>
      </c>
      <c r="C46" s="14" t="s">
        <v>77</v>
      </c>
      <c r="D46" s="13" t="s">
        <v>78</v>
      </c>
      <c r="E46" s="13" t="s">
        <v>79</v>
      </c>
      <c r="F46" s="13" t="s">
        <v>83</v>
      </c>
      <c r="G46" s="30" t="s">
        <v>169</v>
      </c>
    </row>
    <row r="47" spans="1:7" x14ac:dyDescent="0.25">
      <c r="A47" s="5">
        <f>1*0.56*D2+1.5*A36</f>
        <v>581.98110584999995</v>
      </c>
      <c r="B47" s="5"/>
      <c r="C47" s="5">
        <v>0.5</v>
      </c>
      <c r="D47" s="15">
        <f>A47*($F$41/10^6)^(1/3)</f>
        <v>5105.1692304304197</v>
      </c>
      <c r="E47" s="5"/>
      <c r="F47" s="5">
        <f>$A$36</f>
        <v>333.44788390000002</v>
      </c>
    </row>
    <row r="51" spans="1:11" ht="90" x14ac:dyDescent="0.25">
      <c r="A51" s="13" t="s">
        <v>86</v>
      </c>
      <c r="B51" s="13" t="s">
        <v>87</v>
      </c>
      <c r="C51" s="13" t="s">
        <v>88</v>
      </c>
      <c r="D51" s="13" t="s">
        <v>89</v>
      </c>
      <c r="E51" s="13" t="s">
        <v>90</v>
      </c>
      <c r="F51" s="13" t="s">
        <v>91</v>
      </c>
      <c r="G51" s="30" t="s">
        <v>146</v>
      </c>
      <c r="H51" s="13" t="s">
        <v>95</v>
      </c>
      <c r="I51" s="13" t="s">
        <v>96</v>
      </c>
    </row>
    <row r="52" spans="1:11" x14ac:dyDescent="0.25">
      <c r="A52" s="5">
        <v>3372</v>
      </c>
      <c r="B52" s="5">
        <f>F47/A52</f>
        <v>9.8887272805456713E-2</v>
      </c>
      <c r="C52" s="5">
        <v>0.56000000000000005</v>
      </c>
      <c r="D52" s="5">
        <f>$I$53</f>
        <v>1.4927412584405511</v>
      </c>
      <c r="E52" s="5">
        <f>1*0.56*D2+D52*F47</f>
        <v>579.56069383722479</v>
      </c>
      <c r="F52" s="15">
        <f>E52*(F41/10^6)^(1/3)</f>
        <v>5083.9372474530055</v>
      </c>
      <c r="H52" s="5">
        <v>8.4000000000000005E-2</v>
      </c>
      <c r="I52" s="5">
        <v>1.55</v>
      </c>
      <c r="K52" t="s">
        <v>254</v>
      </c>
    </row>
    <row r="53" spans="1:11" x14ac:dyDescent="0.25">
      <c r="H53" s="5">
        <f>$B$52</f>
        <v>9.8887272805456713E-2</v>
      </c>
      <c r="I53" s="5">
        <f>1.55-(I52-I54)*(H52-H53)/(H52-H54)</f>
        <v>1.4927412584405511</v>
      </c>
    </row>
    <row r="54" spans="1:11" x14ac:dyDescent="0.25">
      <c r="H54" s="5">
        <v>0.11</v>
      </c>
      <c r="I54" s="5">
        <v>1.45</v>
      </c>
    </row>
    <row r="57" spans="1:11" ht="15.75" x14ac:dyDescent="0.25">
      <c r="H57" s="19" t="s">
        <v>255</v>
      </c>
    </row>
    <row r="58" spans="1:11" ht="15.75" x14ac:dyDescent="0.25">
      <c r="H58" s="19" t="s">
        <v>158</v>
      </c>
    </row>
    <row r="60" spans="1:11" ht="105" x14ac:dyDescent="0.25">
      <c r="A60" s="13" t="s">
        <v>256</v>
      </c>
      <c r="B60" s="14" t="s">
        <v>76</v>
      </c>
      <c r="C60" s="14" t="s">
        <v>77</v>
      </c>
      <c r="D60" s="13" t="s">
        <v>78</v>
      </c>
      <c r="E60" s="13" t="s">
        <v>79</v>
      </c>
      <c r="F60" s="30" t="s">
        <v>257</v>
      </c>
    </row>
    <row r="61" spans="1:11" x14ac:dyDescent="0.25">
      <c r="A61" s="5">
        <f>1*B28</f>
        <v>357.95699999999999</v>
      </c>
      <c r="B61" s="5"/>
      <c r="C61" s="5">
        <v>0.9</v>
      </c>
      <c r="D61" s="15">
        <f>A61*($F$41/10^6)^(1/3)</f>
        <v>3140.0178525523893</v>
      </c>
      <c r="E61" s="5"/>
    </row>
    <row r="62" spans="1:11" ht="105" x14ac:dyDescent="0.25">
      <c r="F62" s="3" t="s">
        <v>258</v>
      </c>
    </row>
    <row r="64" spans="1:11" x14ac:dyDescent="0.25">
      <c r="F64" s="58" t="s">
        <v>259</v>
      </c>
      <c r="G64" s="58"/>
    </row>
    <row r="65" spans="6:9" ht="15.75" x14ac:dyDescent="0.25">
      <c r="F65" s="58"/>
      <c r="G65" s="58"/>
      <c r="H65" s="19" t="s">
        <v>260</v>
      </c>
    </row>
    <row r="66" spans="6:9" x14ac:dyDescent="0.25">
      <c r="F66" s="58"/>
      <c r="G66" s="58"/>
    </row>
    <row r="67" spans="6:9" x14ac:dyDescent="0.25">
      <c r="F67" s="58"/>
      <c r="G67" s="58"/>
    </row>
    <row r="70" spans="6:9" x14ac:dyDescent="0.25">
      <c r="I70" t="s">
        <v>261</v>
      </c>
    </row>
    <row r="71" spans="6:9" x14ac:dyDescent="0.25">
      <c r="I71" t="s">
        <v>262</v>
      </c>
    </row>
    <row r="72" spans="6:9" x14ac:dyDescent="0.25">
      <c r="I72" t="s">
        <v>263</v>
      </c>
    </row>
    <row r="73" spans="6:9" x14ac:dyDescent="0.25">
      <c r="I73" t="s">
        <v>264</v>
      </c>
    </row>
    <row r="74" spans="6:9" x14ac:dyDescent="0.25">
      <c r="I74" t="s">
        <v>265</v>
      </c>
    </row>
    <row r="85" spans="10:10" x14ac:dyDescent="0.25">
      <c r="J85" t="s">
        <v>266</v>
      </c>
    </row>
  </sheetData>
  <mergeCells count="1">
    <mergeCell ref="F64:G6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44680-a18d-4bd5-b27f-4f889f5c35c9">
      <Terms xmlns="http://schemas.microsoft.com/office/infopath/2007/PartnerControls"/>
    </lcf76f155ced4ddcb4097134ff3c332f>
    <TaxCatchAll xmlns="00c6eed5-55d1-4f7d-8820-a1f0b06d12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A2DB41D08734A9FD373FD8CF083E0" ma:contentTypeVersion="9" ma:contentTypeDescription="Create a new document." ma:contentTypeScope="" ma:versionID="1681d0473a7bcb7110b152e04601379b">
  <xsd:schema xmlns:xsd="http://www.w3.org/2001/XMLSchema" xmlns:xs="http://www.w3.org/2001/XMLSchema" xmlns:p="http://schemas.microsoft.com/office/2006/metadata/properties" xmlns:ns2="26e44680-a18d-4bd5-b27f-4f889f5c35c9" xmlns:ns3="00c6eed5-55d1-4f7d-8820-a1f0b06d1240" targetNamespace="http://schemas.microsoft.com/office/2006/metadata/properties" ma:root="true" ma:fieldsID="6ab61d30aeee52c54f851c0a2e28d01e" ns2:_="" ns3:_="">
    <xsd:import namespace="26e44680-a18d-4bd5-b27f-4f889f5c35c9"/>
    <xsd:import namespace="00c6eed5-55d1-4f7d-8820-a1f0b06d12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44680-a18d-4bd5-b27f-4f889f5c35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111843b-6948-4e45-a4d0-217e70d3d4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6eed5-55d1-4f7d-8820-a1f0b06d124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6c8e234-cf1a-4616-bd9b-9bfae1923567}" ma:internalName="TaxCatchAll" ma:showField="CatchAllData" ma:web="00c6eed5-55d1-4f7d-8820-a1f0b06d12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67B763-95A6-4014-BF66-5E6ECE5A46BA}">
  <ds:schemaRefs>
    <ds:schemaRef ds:uri="http://purl.org/dc/terms/"/>
    <ds:schemaRef ds:uri="26e44680-a18d-4bd5-b27f-4f889f5c35c9"/>
    <ds:schemaRef ds:uri="http://purl.org/dc/dcmitype/"/>
    <ds:schemaRef ds:uri="00c6eed5-55d1-4f7d-8820-a1f0b06d1240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86B9800-944E-4877-8E7A-F17AD2F1AA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3CF36-0ED5-4C0D-B535-AE38D9091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44680-a18d-4bd5-b27f-4f889f5c35c9"/>
    <ds:schemaRef ds:uri="00c6eed5-55d1-4f7d-8820-a1f0b06d12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Axial Forces</vt:lpstr>
      <vt:lpstr>Shaft 1</vt:lpstr>
      <vt:lpstr>Shaft 1 Tapered</vt:lpstr>
      <vt:lpstr>Shaft 2</vt:lpstr>
      <vt:lpstr>Shaft 3</vt:lpstr>
      <vt:lpstr>Shaft 4</vt:lpstr>
      <vt:lpstr>Shaft 5</vt:lpstr>
      <vt:lpstr>Shaft 6</vt:lpstr>
      <vt:lpstr>Shaft 7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Naseer</dc:creator>
  <cp:keywords/>
  <dc:description/>
  <cp:lastModifiedBy>Mohammad Umer</cp:lastModifiedBy>
  <cp:revision/>
  <dcterms:created xsi:type="dcterms:W3CDTF">2023-11-21T01:11:59Z</dcterms:created>
  <dcterms:modified xsi:type="dcterms:W3CDTF">2023-12-04T23:00:26Z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0x010100A48A2DB41D08734A9FD373FD8CF083E0</vt:lpwstr>
  </property>
  <property fmtid="{D5CDD505-2E9C-101B-9397-08002B2CF9AE}" pid="3" name="MediaServiceImageTags">
    <vt:lpwstr/>
  </property>
</Properties>
</file>