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.sharepoint.com/teams/Mech390Project203/Shared Documents/Design/"/>
    </mc:Choice>
  </mc:AlternateContent>
  <xr:revisionPtr revIDLastSave="14" documentId="8_{C4BA760D-82B0-4516-B653-72D0B94F6265}" xr6:coauthVersionLast="47" xr6:coauthVersionMax="47" xr10:uidLastSave="{2D46EF9D-8DD5-45BC-81E0-02B1CA522144}"/>
  <bookViews>
    <workbookView minimized="1" xWindow="1710" yWindow="825" windowWidth="15300" windowHeight="11160" firstSheet="2" activeTab="3" xr2:uid="{6A6296B1-FC65-45CC-9C4B-96E52D506488}"/>
  </bookViews>
  <sheets>
    <sheet name="Basic" sheetId="1" r:id="rId1"/>
    <sheet name="Iteration 2 (decrease Pd)" sheetId="7" r:id="rId2"/>
    <sheet name="Iteration 3 (decrease Teeth)" sheetId="8" r:id="rId3"/>
    <sheet name="Iteration 4 (decrease Pd)" sheetId="9" r:id="rId4"/>
    <sheet name="Kv" sheetId="2" r:id="rId5"/>
    <sheet name="Ks" sheetId="3" r:id="rId6"/>
    <sheet name="St" sheetId="4" r:id="rId7"/>
    <sheet name="Cs" sheetId="5" r:id="rId8"/>
    <sheet name="Sc" sheetId="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E31" i="9"/>
  <c r="E32" i="9"/>
  <c r="E33" i="9"/>
  <c r="E34" i="9"/>
  <c r="E35" i="9"/>
  <c r="C19" i="9"/>
  <c r="C20" i="9"/>
  <c r="C21" i="9"/>
  <c r="C22" i="9"/>
  <c r="C23" i="9"/>
  <c r="A13" i="9"/>
  <c r="A14" i="9"/>
  <c r="A15" i="9"/>
  <c r="A16" i="9"/>
  <c r="A17" i="9"/>
  <c r="F14" i="9"/>
  <c r="E13" i="9"/>
  <c r="E14" i="9"/>
  <c r="E15" i="9"/>
  <c r="E16" i="9"/>
  <c r="E17" i="9"/>
  <c r="B19" i="9"/>
  <c r="B20" i="9"/>
  <c r="B21" i="9"/>
  <c r="B22" i="9"/>
  <c r="B23" i="9"/>
  <c r="H20" i="9"/>
  <c r="M35" i="9"/>
  <c r="D35" i="9"/>
  <c r="P35" i="9" s="1"/>
  <c r="M34" i="9"/>
  <c r="D34" i="9"/>
  <c r="P34" i="9" s="1"/>
  <c r="M33" i="9"/>
  <c r="D33" i="9"/>
  <c r="P33" i="9" s="1"/>
  <c r="P32" i="9"/>
  <c r="M32" i="9"/>
  <c r="D32" i="9"/>
  <c r="B29" i="9"/>
  <c r="B28" i="9"/>
  <c r="B27" i="9"/>
  <c r="B26" i="9"/>
  <c r="D17" i="9"/>
  <c r="D16" i="9"/>
  <c r="D15" i="9"/>
  <c r="D14" i="9"/>
  <c r="C11" i="9"/>
  <c r="D11" i="9" s="1"/>
  <c r="E11" i="9" s="1"/>
  <c r="C10" i="9"/>
  <c r="D10" i="9" s="1"/>
  <c r="E10" i="9" s="1"/>
  <c r="C9" i="9"/>
  <c r="D9" i="9" s="1"/>
  <c r="E9" i="9" s="1"/>
  <c r="C8" i="9"/>
  <c r="D8" i="9" s="1"/>
  <c r="E8" i="9" s="1"/>
  <c r="F5" i="9"/>
  <c r="O5" i="9" s="1"/>
  <c r="E5" i="9"/>
  <c r="D5" i="9"/>
  <c r="O4" i="9"/>
  <c r="I4" i="9"/>
  <c r="K4" i="9" s="1"/>
  <c r="L4" i="9" s="1"/>
  <c r="E4" i="9"/>
  <c r="D4" i="9"/>
  <c r="F3" i="9"/>
  <c r="O3" i="9" s="1"/>
  <c r="D3" i="9"/>
  <c r="O2" i="9"/>
  <c r="I2" i="9"/>
  <c r="K2" i="9" s="1"/>
  <c r="L2" i="9" s="1"/>
  <c r="E2" i="9"/>
  <c r="D2" i="9"/>
  <c r="I20" i="8"/>
  <c r="E8" i="8"/>
  <c r="D8" i="8"/>
  <c r="P2" i="8"/>
  <c r="F3" i="8"/>
  <c r="F4" i="8"/>
  <c r="F5" i="8"/>
  <c r="F2" i="8"/>
  <c r="N35" i="8"/>
  <c r="G35" i="8"/>
  <c r="E35" i="8"/>
  <c r="Q35" i="8" s="1"/>
  <c r="N34" i="8"/>
  <c r="E34" i="8"/>
  <c r="Q34" i="8" s="1"/>
  <c r="N33" i="8"/>
  <c r="G33" i="8"/>
  <c r="E33" i="8"/>
  <c r="Q33" i="8" s="1"/>
  <c r="N32" i="8"/>
  <c r="E32" i="8"/>
  <c r="Q32" i="8" s="1"/>
  <c r="C29" i="8"/>
  <c r="C28" i="8"/>
  <c r="C27" i="8"/>
  <c r="C26" i="8"/>
  <c r="E17" i="8"/>
  <c r="E16" i="8"/>
  <c r="E15" i="8"/>
  <c r="E14" i="8"/>
  <c r="D11" i="8"/>
  <c r="E11" i="8" s="1"/>
  <c r="F11" i="8" s="1"/>
  <c r="D10" i="8"/>
  <c r="E10" i="8" s="1"/>
  <c r="F10" i="8" s="1"/>
  <c r="D9" i="8"/>
  <c r="E9" i="8" s="1"/>
  <c r="F9" i="8" s="1"/>
  <c r="F8" i="8"/>
  <c r="G5" i="8"/>
  <c r="P5" i="8" s="1"/>
  <c r="E5" i="8"/>
  <c r="I23" i="8" s="1"/>
  <c r="P4" i="8"/>
  <c r="J4" i="8"/>
  <c r="L4" i="8" s="1"/>
  <c r="M4" i="8" s="1"/>
  <c r="E4" i="8"/>
  <c r="G3" i="8"/>
  <c r="P3" i="8" s="1"/>
  <c r="E3" i="8"/>
  <c r="J2" i="8"/>
  <c r="L2" i="8" s="1"/>
  <c r="E2" i="8"/>
  <c r="I20" i="7"/>
  <c r="G2" i="3"/>
  <c r="N3" i="6"/>
  <c r="N4" i="6"/>
  <c r="Q4" i="6" s="1"/>
  <c r="N5" i="6"/>
  <c r="N2" i="6"/>
  <c r="N33" i="7"/>
  <c r="N34" i="7"/>
  <c r="Q34" i="7" s="1"/>
  <c r="N35" i="7"/>
  <c r="N32" i="7"/>
  <c r="F8" i="7"/>
  <c r="Q35" i="7"/>
  <c r="Q33" i="7"/>
  <c r="Q32" i="7"/>
  <c r="G35" i="7"/>
  <c r="E35" i="7"/>
  <c r="E34" i="7"/>
  <c r="G33" i="7"/>
  <c r="E33" i="7"/>
  <c r="E32" i="7"/>
  <c r="C29" i="7"/>
  <c r="C28" i="7"/>
  <c r="C27" i="7"/>
  <c r="C26" i="7"/>
  <c r="I21" i="7"/>
  <c r="I22" i="7"/>
  <c r="I23" i="7"/>
  <c r="G17" i="7"/>
  <c r="E17" i="7"/>
  <c r="G16" i="7"/>
  <c r="E16" i="7"/>
  <c r="G15" i="7"/>
  <c r="E15" i="7"/>
  <c r="G14" i="7"/>
  <c r="E14" i="7"/>
  <c r="D11" i="7"/>
  <c r="E11" i="7" s="1"/>
  <c r="D10" i="7"/>
  <c r="E10" i="7" s="1"/>
  <c r="D9" i="7"/>
  <c r="E9" i="7" s="1"/>
  <c r="D8" i="7"/>
  <c r="E8" i="7" s="1"/>
  <c r="M2" i="7"/>
  <c r="L2" i="7"/>
  <c r="J2" i="7"/>
  <c r="G5" i="7"/>
  <c r="G3" i="7"/>
  <c r="P5" i="7"/>
  <c r="E5" i="7"/>
  <c r="P4" i="7"/>
  <c r="J4" i="7"/>
  <c r="L4" i="7" s="1"/>
  <c r="M4" i="7" s="1"/>
  <c r="E4" i="7"/>
  <c r="P3" i="7"/>
  <c r="E3" i="7"/>
  <c r="P2" i="7"/>
  <c r="E2" i="7"/>
  <c r="E2" i="6"/>
  <c r="Q3" i="6"/>
  <c r="Q5" i="6"/>
  <c r="Q2" i="6"/>
  <c r="E5" i="6"/>
  <c r="E4" i="6"/>
  <c r="E3" i="6"/>
  <c r="C3" i="5"/>
  <c r="C4" i="5"/>
  <c r="C5" i="5"/>
  <c r="C2" i="5"/>
  <c r="W3" i="4"/>
  <c r="W4" i="4"/>
  <c r="W5" i="4"/>
  <c r="W2" i="4"/>
  <c r="E2" i="4"/>
  <c r="P5" i="4"/>
  <c r="E5" i="4"/>
  <c r="P4" i="4"/>
  <c r="J4" i="4"/>
  <c r="L4" i="4" s="1"/>
  <c r="E4" i="4"/>
  <c r="P3" i="4"/>
  <c r="E3" i="4"/>
  <c r="P2" i="4"/>
  <c r="J2" i="4"/>
  <c r="L2" i="4" s="1"/>
  <c r="G3" i="3"/>
  <c r="G4" i="3"/>
  <c r="G5" i="3"/>
  <c r="E5" i="3"/>
  <c r="E4" i="3"/>
  <c r="E3" i="3"/>
  <c r="E2" i="3"/>
  <c r="D3" i="2"/>
  <c r="E3" i="2" s="1"/>
  <c r="F3" i="2" s="1"/>
  <c r="D4" i="2"/>
  <c r="E4" i="2" s="1"/>
  <c r="F4" i="2" s="1"/>
  <c r="D5" i="2"/>
  <c r="E5" i="2" s="1"/>
  <c r="F5" i="2" s="1"/>
  <c r="D2" i="2"/>
  <c r="E2" i="2" s="1"/>
  <c r="F2" i="2" s="1"/>
  <c r="P3" i="1"/>
  <c r="P4" i="1"/>
  <c r="P5" i="1"/>
  <c r="P2" i="1"/>
  <c r="L2" i="1"/>
  <c r="E3" i="1"/>
  <c r="E4" i="1"/>
  <c r="E5" i="1"/>
  <c r="E2" i="1"/>
  <c r="J4" i="1"/>
  <c r="L4" i="1" s="1"/>
  <c r="J2" i="1"/>
  <c r="H22" i="9" l="1"/>
  <c r="H23" i="9"/>
  <c r="E3" i="9"/>
  <c r="H21" i="9" s="1"/>
  <c r="M4" i="9"/>
  <c r="N4" i="9"/>
  <c r="M2" i="9"/>
  <c r="N2" i="9"/>
  <c r="I22" i="8"/>
  <c r="N4" i="8"/>
  <c r="O4" i="8"/>
  <c r="M2" i="8"/>
  <c r="I21" i="8"/>
  <c r="F9" i="7"/>
  <c r="F10" i="7"/>
  <c r="F11" i="7"/>
  <c r="O2" i="7"/>
  <c r="N2" i="7"/>
  <c r="O4" i="7"/>
  <c r="N4" i="7"/>
  <c r="M2" i="4"/>
  <c r="M4" i="4"/>
  <c r="O2" i="8" l="1"/>
  <c r="N2" i="8"/>
  <c r="O4" i="4"/>
  <c r="N4" i="4"/>
  <c r="O2" i="4"/>
  <c r="N2" i="4"/>
  <c r="G17" i="8"/>
  <c r="G14" i="8"/>
  <c r="G15" i="8"/>
  <c r="G16" i="8"/>
  <c r="F15" i="9"/>
  <c r="F16" i="9"/>
  <c r="F17" i="9"/>
</calcChain>
</file>

<file path=xl/sharedStrings.xml><?xml version="1.0" encoding="utf-8"?>
<sst xmlns="http://schemas.openxmlformats.org/spreadsheetml/2006/main" count="275" uniqueCount="35">
  <si>
    <t>Gear #</t>
  </si>
  <si>
    <t>No.
Teeth</t>
  </si>
  <si>
    <t>Power 
Transmitted (hp)</t>
  </si>
  <si>
    <t>Rotational Speed
(rpm)</t>
  </si>
  <si>
    <t>Torque 
(lb-in)</t>
  </si>
  <si>
    <t>Diametral 
Pitch</t>
  </si>
  <si>
    <t>Pitch Diameter</t>
  </si>
  <si>
    <t>Spiral 
Angle
(degrees)</t>
  </si>
  <si>
    <t>Pressure 
Angle
(degrees)</t>
  </si>
  <si>
    <t>Pinion
Pitch Cone
Angle
(degrees)</t>
  </si>
  <si>
    <t>Face
Width
(in)</t>
  </si>
  <si>
    <t>Mean Radius
Of Pinion</t>
  </si>
  <si>
    <t>Tangential Force 
(lb)</t>
  </si>
  <si>
    <t>Radial Force 
(lb)</t>
  </si>
  <si>
    <t>Axial Force
(lb)</t>
  </si>
  <si>
    <t>Pitch Line Velocity (fpm)</t>
  </si>
  <si>
    <t>Quality 
Number</t>
  </si>
  <si>
    <t>A10</t>
  </si>
  <si>
    <t>n/a</t>
  </si>
  <si>
    <t>A8</t>
  </si>
  <si>
    <t>B</t>
  </si>
  <si>
    <t>C</t>
  </si>
  <si>
    <t>Kv</t>
  </si>
  <si>
    <t>Ks</t>
  </si>
  <si>
    <t>Ko</t>
  </si>
  <si>
    <t>Km</t>
  </si>
  <si>
    <t>Kx</t>
  </si>
  <si>
    <t>J</t>
  </si>
  <si>
    <t>St</t>
  </si>
  <si>
    <t>Cs</t>
  </si>
  <si>
    <t>Cp</t>
  </si>
  <si>
    <t>Cxc</t>
  </si>
  <si>
    <t>I</t>
  </si>
  <si>
    <t>Sc</t>
  </si>
  <si>
    <t>We can work with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</si>
</sst>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7</xdr:row>
      <xdr:rowOff>76200</xdr:rowOff>
    </xdr:from>
    <xdr:to>
      <xdr:col>6</xdr:col>
      <xdr:colOff>257801</xdr:colOff>
      <xdr:row>36</xdr:row>
      <xdr:rowOff>162708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12528-BEDA-7189-2826-6D910A27A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981200"/>
          <a:ext cx="4486901" cy="56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16</xdr:col>
      <xdr:colOff>138819</xdr:colOff>
      <xdr:row>83</xdr:row>
      <xdr:rowOff>134539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B60D3B67-FF35-B5FE-08DA-E6724CF6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0"/>
          <a:ext cx="9935962" cy="8516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6</xdr:row>
      <xdr:rowOff>95250</xdr:rowOff>
    </xdr:from>
    <xdr:to>
      <xdr:col>21</xdr:col>
      <xdr:colOff>542925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2918-7AF6-4D4B-5D47-1CEAF43E1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2190750"/>
          <a:ext cx="3819525" cy="1400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7</xdr:row>
      <xdr:rowOff>152400</xdr:rowOff>
    </xdr:from>
    <xdr:to>
      <xdr:col>16</xdr:col>
      <xdr:colOff>114300</xdr:colOff>
      <xdr:row>11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04FEF-2D74-70D8-1845-C88E2188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057400"/>
          <a:ext cx="351472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DE1D-51BB-44E0-8176-7F0D6E2B11FA}">
  <dimension ref="A1:Q5"/>
  <sheetViews>
    <sheetView topLeftCell="D1" zoomScale="85" zoomScaleNormal="85" workbookViewId="0">
      <selection activeCell="P24" sqref="P24"/>
    </sheetView>
  </sheetViews>
  <sheetFormatPr defaultRowHeight="15" x14ac:dyDescent="0.25"/>
  <cols>
    <col min="3" max="5" width="13.140625" customWidth="1"/>
    <col min="6" max="7" width="10.140625" customWidth="1"/>
    <col min="8" max="8" width="10.28515625" customWidth="1"/>
    <col min="9" max="9" width="10.140625" customWidth="1"/>
    <col min="10" max="10" width="14.28515625" customWidth="1"/>
    <col min="11" max="11" width="9.140625" customWidth="1"/>
    <col min="12" max="12" width="14.140625" customWidth="1"/>
    <col min="13" max="13" width="13.28515625" customWidth="1"/>
    <col min="14" max="15" width="9.140625" customWidth="1"/>
    <col min="16" max="16" width="9" customWidth="1"/>
  </cols>
  <sheetData>
    <row r="1" spans="1:17" s="4" customFormat="1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3</v>
      </c>
      <c r="B2" s="3">
        <v>18</v>
      </c>
      <c r="C2" s="3">
        <v>24</v>
      </c>
      <c r="D2" s="3">
        <v>900</v>
      </c>
      <c r="E2" s="3">
        <f>63000*C2/D2</f>
        <v>1680</v>
      </c>
      <c r="F2" s="3">
        <v>6.5449999999999999</v>
      </c>
      <c r="G2" s="3">
        <v>2.75</v>
      </c>
      <c r="H2" s="3">
        <v>35</v>
      </c>
      <c r="I2" s="3">
        <v>20</v>
      </c>
      <c r="J2" s="3">
        <f>DEGREES(ATAN(B2/B3))</f>
        <v>26.56505117707799</v>
      </c>
      <c r="K2" s="3">
        <v>1</v>
      </c>
      <c r="L2" s="3">
        <f>(G2/2)-(K2/2)*SIN(RADIANS(J2))</f>
        <v>1.1513932022500211</v>
      </c>
      <c r="M2" s="3">
        <v>1459.1018921398788</v>
      </c>
      <c r="N2" s="3">
        <v>475.00314198337986</v>
      </c>
      <c r="O2" s="3">
        <v>237.50157099168993</v>
      </c>
      <c r="P2" s="3">
        <f>PI()*G2*D2/12</f>
        <v>647.95348480289476</v>
      </c>
      <c r="Q2" s="3" t="s">
        <v>17</v>
      </c>
    </row>
    <row r="3" spans="1:17" x14ac:dyDescent="0.25">
      <c r="A3" s="3">
        <v>4</v>
      </c>
      <c r="B3" s="3">
        <v>36</v>
      </c>
      <c r="C3" s="3">
        <v>24</v>
      </c>
      <c r="D3" s="3">
        <v>450</v>
      </c>
      <c r="E3" s="3">
        <f t="shared" ref="E3:E5" si="0">63000*C3/D3</f>
        <v>3360</v>
      </c>
      <c r="F3" s="3">
        <v>6.5449999999999999</v>
      </c>
      <c r="G3" s="3">
        <v>5.5</v>
      </c>
      <c r="H3" s="3">
        <v>35</v>
      </c>
      <c r="I3" s="3">
        <v>20</v>
      </c>
      <c r="J3" s="3" t="s">
        <v>18</v>
      </c>
      <c r="K3" s="3">
        <v>1</v>
      </c>
      <c r="L3" s="3" t="s">
        <v>18</v>
      </c>
      <c r="M3" s="3">
        <v>1459.1018921398788</v>
      </c>
      <c r="N3" s="3">
        <v>237.50157099168993</v>
      </c>
      <c r="O3" s="3">
        <v>475.00314198337986</v>
      </c>
      <c r="P3" s="3">
        <f t="shared" ref="P3:P5" si="1">PI()*G3*D3/12</f>
        <v>647.95348480289476</v>
      </c>
      <c r="Q3" s="3" t="s">
        <v>17</v>
      </c>
    </row>
    <row r="4" spans="1:17" x14ac:dyDescent="0.25">
      <c r="A4" s="3">
        <v>6</v>
      </c>
      <c r="B4" s="3">
        <v>18</v>
      </c>
      <c r="C4" s="3">
        <v>16</v>
      </c>
      <c r="D4" s="3">
        <v>1350</v>
      </c>
      <c r="E4" s="3">
        <f t="shared" si="0"/>
        <v>746.66666666666663</v>
      </c>
      <c r="F4" s="3">
        <v>6.5449999999999999</v>
      </c>
      <c r="G4" s="3">
        <v>2.75</v>
      </c>
      <c r="H4" s="3">
        <v>35</v>
      </c>
      <c r="I4" s="3">
        <v>20</v>
      </c>
      <c r="J4" s="3">
        <f>DEGREES(ATAN(B4/B5))</f>
        <v>26.56505117707799</v>
      </c>
      <c r="K4" s="3">
        <v>1</v>
      </c>
      <c r="L4" s="3">
        <f t="shared" ref="L4" si="2">(G4/2)-(K4/2)*SIN(RADIANS(J4))</f>
        <v>1.1513932022500211</v>
      </c>
      <c r="M4" s="3">
        <v>648.48972983994611</v>
      </c>
      <c r="N4" s="3">
        <v>211.11250754816879</v>
      </c>
      <c r="O4" s="3">
        <v>105.5562537740844</v>
      </c>
      <c r="P4" s="3">
        <f t="shared" si="1"/>
        <v>971.93022720434203</v>
      </c>
      <c r="Q4" s="3" t="s">
        <v>19</v>
      </c>
    </row>
    <row r="5" spans="1:17" x14ac:dyDescent="0.25">
      <c r="A5" s="3">
        <v>7</v>
      </c>
      <c r="B5" s="3">
        <v>36</v>
      </c>
      <c r="C5" s="3">
        <v>16</v>
      </c>
      <c r="D5" s="3">
        <v>675</v>
      </c>
      <c r="E5" s="3">
        <f t="shared" si="0"/>
        <v>1493.3333333333333</v>
      </c>
      <c r="F5" s="3">
        <v>6.5449999999999999</v>
      </c>
      <c r="G5" s="3">
        <v>5.5</v>
      </c>
      <c r="H5" s="3">
        <v>35</v>
      </c>
      <c r="I5" s="3">
        <v>20</v>
      </c>
      <c r="J5" s="3" t="s">
        <v>18</v>
      </c>
      <c r="K5" s="3">
        <v>1</v>
      </c>
      <c r="L5" s="3" t="s">
        <v>18</v>
      </c>
      <c r="M5" s="3">
        <v>648.48972983994611</v>
      </c>
      <c r="N5" s="3">
        <v>105.5562537740844</v>
      </c>
      <c r="O5" s="3">
        <v>211.11250754816879</v>
      </c>
      <c r="P5" s="3">
        <f t="shared" si="1"/>
        <v>971.93022720434203</v>
      </c>
      <c r="Q5" s="3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B412-AB9D-4798-8C8F-ED88AB8F10A2}">
  <dimension ref="A1:Q35"/>
  <sheetViews>
    <sheetView zoomScale="40" zoomScaleNormal="40" workbookViewId="0">
      <selection activeCell="A3" sqref="A3"/>
    </sheetView>
  </sheetViews>
  <sheetFormatPr defaultRowHeight="15" x14ac:dyDescent="0.25"/>
  <sheetData>
    <row r="1" spans="1:17" ht="9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3</v>
      </c>
      <c r="B2" s="3">
        <v>18</v>
      </c>
      <c r="C2" s="3">
        <v>24</v>
      </c>
      <c r="D2" s="3">
        <v>900</v>
      </c>
      <c r="E2" s="3">
        <f>63000*C2/D2</f>
        <v>1680</v>
      </c>
      <c r="F2" s="3">
        <v>6</v>
      </c>
      <c r="G2" s="3">
        <v>3</v>
      </c>
      <c r="H2" s="3">
        <v>35</v>
      </c>
      <c r="I2" s="3">
        <v>20</v>
      </c>
      <c r="J2" s="3">
        <f>DEGREES(ATAN(B2/B3))</f>
        <v>26.56505117707799</v>
      </c>
      <c r="K2" s="3">
        <v>1</v>
      </c>
      <c r="L2" s="3">
        <f>(G2/2)-(K2/2)*SIN(RADIANS(J2))</f>
        <v>1.2763932022500211</v>
      </c>
      <c r="M2" s="3">
        <f>E2/L2</f>
        <v>1316.2088273727111</v>
      </c>
      <c r="N2" s="3">
        <f>M2*TAN(RADIANS(I2))*COS(RADIANS(J2))</f>
        <v>428.48503718365527</v>
      </c>
      <c r="O2" s="3">
        <f>M2*TAN(RADIANS(I2))*SIN(RADIANS(J2))</f>
        <v>214.24251859182763</v>
      </c>
      <c r="P2" s="3">
        <f>PI()*G2*D2/12</f>
        <v>706.85834705770355</v>
      </c>
      <c r="Q2" s="3" t="s">
        <v>17</v>
      </c>
    </row>
    <row r="3" spans="1:17" x14ac:dyDescent="0.25">
      <c r="A3" s="3">
        <v>4</v>
      </c>
      <c r="B3" s="3">
        <v>36</v>
      </c>
      <c r="C3" s="3">
        <v>24</v>
      </c>
      <c r="D3" s="3">
        <v>450</v>
      </c>
      <c r="E3" s="3">
        <f t="shared" ref="E3:E5" si="0">63000*C3/D3</f>
        <v>3360</v>
      </c>
      <c r="F3" s="3">
        <v>6</v>
      </c>
      <c r="G3" s="3">
        <f>G2*2</f>
        <v>6</v>
      </c>
      <c r="H3" s="3">
        <v>35</v>
      </c>
      <c r="I3" s="3">
        <v>20</v>
      </c>
      <c r="J3" s="3" t="s">
        <v>18</v>
      </c>
      <c r="K3" s="3">
        <v>1</v>
      </c>
      <c r="L3" s="3" t="s">
        <v>18</v>
      </c>
      <c r="M3" s="3">
        <v>1459.1018921398788</v>
      </c>
      <c r="N3" s="3">
        <v>237.50157099168993</v>
      </c>
      <c r="O3" s="3">
        <v>475.00314198337986</v>
      </c>
      <c r="P3" s="3">
        <f t="shared" ref="P3:P5" si="1">PI()*G3*D3/12</f>
        <v>706.85834705770355</v>
      </c>
      <c r="Q3" s="3" t="s">
        <v>17</v>
      </c>
    </row>
    <row r="4" spans="1:17" x14ac:dyDescent="0.25">
      <c r="A4" s="3">
        <v>6</v>
      </c>
      <c r="B4" s="3">
        <v>18</v>
      </c>
      <c r="C4" s="3">
        <v>16</v>
      </c>
      <c r="D4" s="3">
        <v>1350</v>
      </c>
      <c r="E4" s="3">
        <f t="shared" si="0"/>
        <v>746.66666666666663</v>
      </c>
      <c r="F4" s="3">
        <v>6</v>
      </c>
      <c r="G4" s="3">
        <v>3</v>
      </c>
      <c r="H4" s="3">
        <v>35</v>
      </c>
      <c r="I4" s="3">
        <v>20</v>
      </c>
      <c r="J4" s="3">
        <f>DEGREES(ATAN(B4/B5))</f>
        <v>26.56505117707799</v>
      </c>
      <c r="K4" s="3">
        <v>1</v>
      </c>
      <c r="L4" s="3">
        <f t="shared" ref="L4" si="2">(G4/2)-(K4/2)*SIN(RADIANS(J4))</f>
        <v>1.2763932022500211</v>
      </c>
      <c r="M4" s="3">
        <f t="shared" ref="M4" si="3">E4/L4</f>
        <v>584.98170105453823</v>
      </c>
      <c r="N4" s="3">
        <f>M4*TAN(RADIANS(I4))*COS(RADIANS(J4))</f>
        <v>190.4377943038468</v>
      </c>
      <c r="O4" s="3">
        <f>M4*TAN(RADIANS(I4))*SIN(RADIANS(J4))</f>
        <v>95.2188971519234</v>
      </c>
      <c r="P4" s="3">
        <f t="shared" si="1"/>
        <v>1060.287520586555</v>
      </c>
      <c r="Q4" s="3" t="s">
        <v>19</v>
      </c>
    </row>
    <row r="5" spans="1:17" x14ac:dyDescent="0.25">
      <c r="A5" s="3">
        <v>7</v>
      </c>
      <c r="B5" s="3">
        <v>36</v>
      </c>
      <c r="C5" s="3">
        <v>16</v>
      </c>
      <c r="D5" s="3">
        <v>675</v>
      </c>
      <c r="E5" s="3">
        <f t="shared" si="0"/>
        <v>1493.3333333333333</v>
      </c>
      <c r="F5" s="3">
        <v>6</v>
      </c>
      <c r="G5" s="3">
        <f>G4*2</f>
        <v>6</v>
      </c>
      <c r="H5" s="3">
        <v>35</v>
      </c>
      <c r="I5" s="3">
        <v>20</v>
      </c>
      <c r="J5" s="3" t="s">
        <v>18</v>
      </c>
      <c r="K5" s="3">
        <v>1</v>
      </c>
      <c r="L5" s="3" t="s">
        <v>18</v>
      </c>
      <c r="M5" s="3">
        <v>648.48972983994611</v>
      </c>
      <c r="N5" s="3">
        <v>105.5562537740844</v>
      </c>
      <c r="O5" s="3">
        <v>211.11250754816879</v>
      </c>
      <c r="P5" s="3">
        <f t="shared" si="1"/>
        <v>1060.287520586555</v>
      </c>
      <c r="Q5" s="3" t="s">
        <v>19</v>
      </c>
    </row>
    <row r="7" spans="1:17" ht="60" x14ac:dyDescent="0.25">
      <c r="A7" s="1" t="s">
        <v>0</v>
      </c>
      <c r="B7" s="2" t="s">
        <v>16</v>
      </c>
      <c r="C7" s="2" t="s">
        <v>15</v>
      </c>
      <c r="D7" s="1" t="s">
        <v>20</v>
      </c>
      <c r="E7" s="1" t="s">
        <v>21</v>
      </c>
      <c r="F7" s="1" t="s">
        <v>22</v>
      </c>
    </row>
    <row r="8" spans="1:17" x14ac:dyDescent="0.25">
      <c r="A8" s="3">
        <v>3</v>
      </c>
      <c r="B8" s="3">
        <v>10</v>
      </c>
      <c r="C8" s="3">
        <v>706.85834705770355</v>
      </c>
      <c r="D8" s="3">
        <f>0.25*(B8-5)^0.667</f>
        <v>0.73139670851761562</v>
      </c>
      <c r="E8" s="3">
        <f>50+56*(1-D8)</f>
        <v>65.04178432301353</v>
      </c>
      <c r="F8" s="3">
        <f>POWER((E8/(E8+SQRT(C8))),(-D8))</f>
        <v>1.2848725106706074</v>
      </c>
    </row>
    <row r="9" spans="1:17" x14ac:dyDescent="0.25">
      <c r="A9" s="3">
        <v>4</v>
      </c>
      <c r="B9" s="3">
        <v>10</v>
      </c>
      <c r="C9" s="3">
        <v>706.85834705770355</v>
      </c>
      <c r="D9" s="3">
        <f t="shared" ref="D9:D11" si="4">0.25*(B9-5)^0.667</f>
        <v>0.73139670851761562</v>
      </c>
      <c r="E9" s="3">
        <f t="shared" ref="E9:E11" si="5">50+56*(1-D9)</f>
        <v>65.04178432301353</v>
      </c>
      <c r="F9" s="3">
        <f t="shared" ref="F9:F11" si="6">POWER((E9/(E9+SQRT(C9))),(-D9))</f>
        <v>1.2848725106706074</v>
      </c>
    </row>
    <row r="10" spans="1:17" x14ac:dyDescent="0.25">
      <c r="A10" s="3">
        <v>6</v>
      </c>
      <c r="B10" s="3">
        <v>8</v>
      </c>
      <c r="C10" s="3">
        <v>1060.287520586555</v>
      </c>
      <c r="D10" s="3">
        <f t="shared" si="4"/>
        <v>0.52021142444017443</v>
      </c>
      <c r="E10" s="3">
        <f t="shared" si="5"/>
        <v>76.868160231350231</v>
      </c>
      <c r="F10" s="3">
        <f t="shared" si="6"/>
        <v>1.2016988130859645</v>
      </c>
    </row>
    <row r="11" spans="1:17" x14ac:dyDescent="0.25">
      <c r="A11" s="3">
        <v>7</v>
      </c>
      <c r="B11" s="3">
        <v>8</v>
      </c>
      <c r="C11" s="3">
        <v>1060.287520586555</v>
      </c>
      <c r="D11" s="3">
        <f t="shared" si="4"/>
        <v>0.52021142444017443</v>
      </c>
      <c r="E11" s="3">
        <f t="shared" si="5"/>
        <v>76.868160231350231</v>
      </c>
      <c r="F11" s="3">
        <f t="shared" si="6"/>
        <v>1.2016988130859645</v>
      </c>
    </row>
    <row r="13" spans="1:17" ht="4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23</v>
      </c>
    </row>
    <row r="14" spans="1:17" x14ac:dyDescent="0.25">
      <c r="A14" s="3">
        <v>3</v>
      </c>
      <c r="B14" s="3">
        <v>18</v>
      </c>
      <c r="C14" s="3">
        <v>24</v>
      </c>
      <c r="D14" s="3">
        <v>900</v>
      </c>
      <c r="E14" s="3">
        <f>63000*C14/D14</f>
        <v>1680</v>
      </c>
      <c r="F14" s="3">
        <v>6</v>
      </c>
      <c r="G14" s="3">
        <f>0.4867 + (0.2133/F14)</f>
        <v>0.52224999999999999</v>
      </c>
    </row>
    <row r="15" spans="1:17" x14ac:dyDescent="0.25">
      <c r="A15" s="3">
        <v>4</v>
      </c>
      <c r="B15" s="3">
        <v>36</v>
      </c>
      <c r="C15" s="3">
        <v>24</v>
      </c>
      <c r="D15" s="3">
        <v>450</v>
      </c>
      <c r="E15" s="3">
        <f t="shared" ref="E15:E17" si="7">63000*C15/D15</f>
        <v>3360</v>
      </c>
      <c r="F15" s="3">
        <v>6</v>
      </c>
      <c r="G15" s="3">
        <f t="shared" ref="G15:G17" si="8">0.4867 + (0.2133/F15)</f>
        <v>0.52224999999999999</v>
      </c>
    </row>
    <row r="16" spans="1:17" x14ac:dyDescent="0.25">
      <c r="A16" s="3">
        <v>6</v>
      </c>
      <c r="B16" s="3">
        <v>18</v>
      </c>
      <c r="C16" s="3">
        <v>16</v>
      </c>
      <c r="D16" s="3">
        <v>1350</v>
      </c>
      <c r="E16" s="3">
        <f t="shared" si="7"/>
        <v>746.66666666666663</v>
      </c>
      <c r="F16" s="3">
        <v>6</v>
      </c>
      <c r="G16" s="3">
        <f t="shared" si="8"/>
        <v>0.52224999999999999</v>
      </c>
    </row>
    <row r="17" spans="1:17" x14ac:dyDescent="0.25">
      <c r="A17" s="3">
        <v>7</v>
      </c>
      <c r="B17" s="3">
        <v>36</v>
      </c>
      <c r="C17" s="3">
        <v>16</v>
      </c>
      <c r="D17" s="3">
        <v>675</v>
      </c>
      <c r="E17" s="3">
        <f t="shared" si="7"/>
        <v>1493.3333333333333</v>
      </c>
      <c r="F17" s="3">
        <v>6</v>
      </c>
      <c r="G17" s="3">
        <f t="shared" si="8"/>
        <v>0.52224999999999999</v>
      </c>
    </row>
    <row r="19" spans="1:17" ht="60" x14ac:dyDescent="0.25">
      <c r="A19" s="2" t="s">
        <v>14</v>
      </c>
      <c r="B19" s="2" t="s">
        <v>15</v>
      </c>
      <c r="C19" s="2" t="s">
        <v>22</v>
      </c>
      <c r="D19" s="2" t="s">
        <v>23</v>
      </c>
      <c r="E19" s="2" t="s">
        <v>24</v>
      </c>
      <c r="F19" s="2" t="s">
        <v>25</v>
      </c>
      <c r="G19" s="2" t="s">
        <v>26</v>
      </c>
      <c r="H19" s="2" t="s">
        <v>27</v>
      </c>
      <c r="I19" s="2" t="s">
        <v>28</v>
      </c>
    </row>
    <row r="20" spans="1:17" x14ac:dyDescent="0.25">
      <c r="A20" s="3">
        <v>214.24251859182763</v>
      </c>
      <c r="B20" s="3">
        <v>706.85834705770355</v>
      </c>
      <c r="C20" s="3">
        <v>1.2848725106706074</v>
      </c>
      <c r="D20" s="3">
        <v>0.52224999999999999</v>
      </c>
      <c r="E20" s="3">
        <v>1.5</v>
      </c>
      <c r="F20" s="3">
        <v>1.1035999999999999</v>
      </c>
      <c r="G20" s="3">
        <v>1</v>
      </c>
      <c r="H20" s="3">
        <v>0.23</v>
      </c>
      <c r="I20" s="3">
        <f>(2*E2*F2*E20*C20*D20*F20)/(K2*G2*G20*H20)</f>
        <v>32455.094216078582</v>
      </c>
    </row>
    <row r="21" spans="1:17" x14ac:dyDescent="0.25">
      <c r="A21" s="3">
        <v>475.00314198337986</v>
      </c>
      <c r="B21" s="3">
        <v>706.85834705770355</v>
      </c>
      <c r="C21" s="3">
        <v>1.2848725106706074</v>
      </c>
      <c r="D21" s="3">
        <v>0.52224999999999999</v>
      </c>
      <c r="E21" s="3">
        <v>1.5</v>
      </c>
      <c r="F21" s="3">
        <v>1.1035999999999999</v>
      </c>
      <c r="G21" s="3">
        <v>1</v>
      </c>
      <c r="H21" s="3">
        <v>0.21</v>
      </c>
      <c r="I21" s="3">
        <f t="shared" ref="I21:I23" si="9">(2*E3*F3*E21*C21*D21*F21)/(K3*G3*G21*H21)</f>
        <v>35546.055569990829</v>
      </c>
    </row>
    <row r="22" spans="1:17" x14ac:dyDescent="0.25">
      <c r="A22" s="3">
        <v>95.2188971519234</v>
      </c>
      <c r="B22" s="3">
        <v>1060.287520586555</v>
      </c>
      <c r="C22" s="3">
        <v>1.2016988130859645</v>
      </c>
      <c r="D22" s="3">
        <v>0.52224999999999999</v>
      </c>
      <c r="E22" s="3">
        <v>1.5</v>
      </c>
      <c r="F22" s="3">
        <v>1.1035999999999999</v>
      </c>
      <c r="G22" s="3">
        <v>1</v>
      </c>
      <c r="H22" s="3">
        <v>0.23</v>
      </c>
      <c r="I22" s="3">
        <f t="shared" si="9"/>
        <v>13490.745536284647</v>
      </c>
    </row>
    <row r="23" spans="1:17" x14ac:dyDescent="0.25">
      <c r="A23" s="3">
        <v>211.11250754816879</v>
      </c>
      <c r="B23" s="3">
        <v>1060.287520586555</v>
      </c>
      <c r="C23" s="3">
        <v>1.2016988130859645</v>
      </c>
      <c r="D23" s="3">
        <v>0.52224999999999999</v>
      </c>
      <c r="E23" s="3">
        <v>1.5</v>
      </c>
      <c r="F23" s="3">
        <v>1.1035999999999999</v>
      </c>
      <c r="G23" s="3">
        <v>1</v>
      </c>
      <c r="H23" s="3">
        <v>0.21</v>
      </c>
      <c r="I23" s="3">
        <f t="shared" si="9"/>
        <v>14775.578444502233</v>
      </c>
    </row>
    <row r="25" spans="1:17" ht="45" x14ac:dyDescent="0.25">
      <c r="A25" s="1" t="s">
        <v>0</v>
      </c>
      <c r="B25" s="2" t="s">
        <v>10</v>
      </c>
      <c r="C25" s="1" t="s">
        <v>29</v>
      </c>
    </row>
    <row r="26" spans="1:17" x14ac:dyDescent="0.25">
      <c r="A26" s="3">
        <v>3</v>
      </c>
      <c r="B26" s="3">
        <v>1</v>
      </c>
      <c r="C26" s="3">
        <f>0.125*B26+0.4375</f>
        <v>0.5625</v>
      </c>
    </row>
    <row r="27" spans="1:17" x14ac:dyDescent="0.25">
      <c r="A27" s="3">
        <v>4</v>
      </c>
      <c r="B27" s="3">
        <v>1</v>
      </c>
      <c r="C27" s="3">
        <f t="shared" ref="C27:C29" si="10">0.125*B27+0.4375</f>
        <v>0.5625</v>
      </c>
    </row>
    <row r="28" spans="1:17" x14ac:dyDescent="0.25">
      <c r="A28" s="3">
        <v>6</v>
      </c>
      <c r="B28" s="3">
        <v>1</v>
      </c>
      <c r="C28" s="3">
        <f t="shared" si="10"/>
        <v>0.5625</v>
      </c>
    </row>
    <row r="29" spans="1:17" x14ac:dyDescent="0.25">
      <c r="A29" s="3">
        <v>7</v>
      </c>
      <c r="B29" s="3">
        <v>1</v>
      </c>
      <c r="C29" s="3">
        <f t="shared" si="10"/>
        <v>0.5625</v>
      </c>
    </row>
    <row r="31" spans="1:17" ht="60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30</v>
      </c>
      <c r="K31" s="2" t="s">
        <v>22</v>
      </c>
      <c r="L31" s="2" t="s">
        <v>24</v>
      </c>
      <c r="M31" s="2" t="s">
        <v>25</v>
      </c>
      <c r="N31" s="1" t="s">
        <v>29</v>
      </c>
      <c r="O31" s="2" t="s">
        <v>31</v>
      </c>
      <c r="P31" s="2" t="s">
        <v>32</v>
      </c>
      <c r="Q31" s="2" t="s">
        <v>33</v>
      </c>
    </row>
    <row r="32" spans="1:17" x14ac:dyDescent="0.25">
      <c r="A32" s="3">
        <v>3</v>
      </c>
      <c r="B32" s="3">
        <v>18</v>
      </c>
      <c r="C32" s="3">
        <v>24</v>
      </c>
      <c r="D32" s="3">
        <v>900</v>
      </c>
      <c r="E32" s="3">
        <f>63000*C32/D32</f>
        <v>1680</v>
      </c>
      <c r="F32" s="3">
        <v>6</v>
      </c>
      <c r="G32" s="3">
        <v>3</v>
      </c>
      <c r="H32" s="3">
        <v>35</v>
      </c>
      <c r="I32" s="3">
        <v>20</v>
      </c>
      <c r="J32" s="3">
        <v>2300</v>
      </c>
      <c r="K32" s="3">
        <v>1.2848725106706074</v>
      </c>
      <c r="L32" s="3">
        <v>1.5</v>
      </c>
      <c r="M32" s="3">
        <v>1.1035999999999999</v>
      </c>
      <c r="N32" s="3">
        <f>0.125*1+0.4375</f>
        <v>0.5625</v>
      </c>
      <c r="O32" s="3">
        <v>1.5</v>
      </c>
      <c r="P32" s="3">
        <v>9.6000000000000002E-2</v>
      </c>
      <c r="Q32" s="3">
        <f>J32*SQRT((2*E32*L32*K32*M32*N32*O32)/(POWER(G32,2)*P32))</f>
        <v>192144.95705069765</v>
      </c>
    </row>
    <row r="33" spans="1:17" x14ac:dyDescent="0.25">
      <c r="A33" s="3">
        <v>4</v>
      </c>
      <c r="B33" s="3">
        <v>36</v>
      </c>
      <c r="C33" s="3">
        <v>24</v>
      </c>
      <c r="D33" s="3">
        <v>450</v>
      </c>
      <c r="E33" s="3">
        <f t="shared" ref="E33:E35" si="11">63000*C33/D33</f>
        <v>3360</v>
      </c>
      <c r="F33" s="3">
        <v>6</v>
      </c>
      <c r="G33" s="3">
        <f>G32*2</f>
        <v>6</v>
      </c>
      <c r="H33" s="3">
        <v>35</v>
      </c>
      <c r="I33" s="3">
        <v>20</v>
      </c>
      <c r="J33" s="3">
        <v>2300</v>
      </c>
      <c r="K33" s="3">
        <v>1.2848725106706074</v>
      </c>
      <c r="L33" s="3">
        <v>1.5</v>
      </c>
      <c r="M33" s="3">
        <v>1.1035999999999999</v>
      </c>
      <c r="N33" s="3">
        <f t="shared" ref="N33:N35" si="12">0.125*1+0.4375</f>
        <v>0.5625</v>
      </c>
      <c r="O33" s="3">
        <v>1.5</v>
      </c>
      <c r="P33" s="3">
        <v>9.6000000000000002E-2</v>
      </c>
      <c r="Q33" s="3">
        <f t="shared" ref="Q33:Q35" si="13">J33*SQRT((2*E33*L33*K33*M33*N33*O33)/(POWER(G33,2)*P33))</f>
        <v>135867.00210134624</v>
      </c>
    </row>
    <row r="34" spans="1:17" x14ac:dyDescent="0.25">
      <c r="A34" s="3">
        <v>6</v>
      </c>
      <c r="B34" s="3">
        <v>18</v>
      </c>
      <c r="C34" s="3">
        <v>16</v>
      </c>
      <c r="D34" s="3">
        <v>1350</v>
      </c>
      <c r="E34" s="3">
        <f t="shared" si="11"/>
        <v>746.66666666666663</v>
      </c>
      <c r="F34" s="3">
        <v>6</v>
      </c>
      <c r="G34" s="3">
        <v>3</v>
      </c>
      <c r="H34" s="3">
        <v>35</v>
      </c>
      <c r="I34" s="3">
        <v>20</v>
      </c>
      <c r="J34" s="3">
        <v>2300</v>
      </c>
      <c r="K34" s="3">
        <v>1.2016988130859645</v>
      </c>
      <c r="L34" s="3">
        <v>1.5</v>
      </c>
      <c r="M34" s="3">
        <v>1.1035999999999999</v>
      </c>
      <c r="N34" s="3">
        <f t="shared" si="12"/>
        <v>0.5625</v>
      </c>
      <c r="O34" s="3">
        <v>1.5</v>
      </c>
      <c r="P34" s="3">
        <v>9.6000000000000002E-2</v>
      </c>
      <c r="Q34" s="3">
        <f t="shared" si="13"/>
        <v>123881.23573962566</v>
      </c>
    </row>
    <row r="35" spans="1:17" x14ac:dyDescent="0.25">
      <c r="A35" s="3">
        <v>7</v>
      </c>
      <c r="B35" s="3">
        <v>36</v>
      </c>
      <c r="C35" s="3">
        <v>16</v>
      </c>
      <c r="D35" s="3">
        <v>675</v>
      </c>
      <c r="E35" s="3">
        <f t="shared" si="11"/>
        <v>1493.3333333333333</v>
      </c>
      <c r="F35" s="3">
        <v>6</v>
      </c>
      <c r="G35" s="3">
        <f>G34*2</f>
        <v>6</v>
      </c>
      <c r="H35" s="3">
        <v>35</v>
      </c>
      <c r="I35" s="3">
        <v>20</v>
      </c>
      <c r="J35" s="3">
        <v>2300</v>
      </c>
      <c r="K35" s="3">
        <v>1.2016988130859645</v>
      </c>
      <c r="L35" s="3">
        <v>1.5</v>
      </c>
      <c r="M35" s="3">
        <v>1.1035999999999999</v>
      </c>
      <c r="N35" s="3">
        <f t="shared" si="12"/>
        <v>0.5625</v>
      </c>
      <c r="O35" s="3">
        <v>1.5</v>
      </c>
      <c r="P35" s="3">
        <v>9.6000000000000002E-2</v>
      </c>
      <c r="Q35" s="3">
        <f t="shared" si="13"/>
        <v>87597.261853258577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53F2-0B75-4C1A-9161-9538A1EA6753}">
  <dimension ref="A1:Q35"/>
  <sheetViews>
    <sheetView zoomScale="70" zoomScaleNormal="70" workbookViewId="0">
      <selection activeCell="B14" sqref="B14:B17"/>
    </sheetView>
  </sheetViews>
  <sheetFormatPr defaultRowHeight="15" x14ac:dyDescent="0.25"/>
  <sheetData>
    <row r="1" spans="1:17" ht="9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3</v>
      </c>
      <c r="B2" s="3">
        <v>13</v>
      </c>
      <c r="C2" s="3">
        <v>24</v>
      </c>
      <c r="D2" s="3">
        <v>900</v>
      </c>
      <c r="E2" s="3">
        <f>63000*C2/D2</f>
        <v>1680</v>
      </c>
      <c r="F2" s="3">
        <f>B2/G2</f>
        <v>4.333333333333333</v>
      </c>
      <c r="G2" s="3">
        <v>3</v>
      </c>
      <c r="H2" s="3">
        <v>35</v>
      </c>
      <c r="I2" s="3">
        <v>20</v>
      </c>
      <c r="J2" s="3">
        <f>DEGREES(ATAN(B2/B3))</f>
        <v>26.56505117707799</v>
      </c>
      <c r="K2" s="3">
        <v>1</v>
      </c>
      <c r="L2" s="3">
        <f>(G2/2)-(K2/2)*SIN(RADIANS(J2))</f>
        <v>1.2763932022500211</v>
      </c>
      <c r="M2" s="3">
        <f>E2/L2</f>
        <v>1316.2088273727111</v>
      </c>
      <c r="N2" s="3">
        <f>M2*TAN(RADIANS(I2))*COS(RADIANS(J2))</f>
        <v>428.48503718365527</v>
      </c>
      <c r="O2" s="3">
        <f>M2*TAN(RADIANS(I2))*SIN(RADIANS(J2))</f>
        <v>214.24251859182763</v>
      </c>
      <c r="P2" s="3">
        <f>PI()*G2*D2/12</f>
        <v>706.85834705770355</v>
      </c>
      <c r="Q2" s="3" t="s">
        <v>17</v>
      </c>
    </row>
    <row r="3" spans="1:17" x14ac:dyDescent="0.25">
      <c r="A3" s="3">
        <v>4</v>
      </c>
      <c r="B3" s="3">
        <v>26</v>
      </c>
      <c r="C3" s="3">
        <v>24</v>
      </c>
      <c r="D3" s="3">
        <v>450</v>
      </c>
      <c r="E3" s="3">
        <f t="shared" ref="E3:E5" si="0">63000*C3/D3</f>
        <v>3360</v>
      </c>
      <c r="F3" s="3">
        <f t="shared" ref="F3:F5" si="1">B3/G3</f>
        <v>4.333333333333333</v>
      </c>
      <c r="G3" s="3">
        <f>G2*2</f>
        <v>6</v>
      </c>
      <c r="H3" s="3">
        <v>35</v>
      </c>
      <c r="I3" s="3">
        <v>20</v>
      </c>
      <c r="J3" s="3" t="s">
        <v>18</v>
      </c>
      <c r="K3" s="3">
        <v>1</v>
      </c>
      <c r="L3" s="3" t="s">
        <v>18</v>
      </c>
      <c r="M3" s="3">
        <v>1459.1018921398788</v>
      </c>
      <c r="N3" s="3">
        <v>237.50157099168993</v>
      </c>
      <c r="O3" s="3">
        <v>475.00314198337986</v>
      </c>
      <c r="P3" s="3">
        <f t="shared" ref="P3:P5" si="2">PI()*G3*D3/12</f>
        <v>706.85834705770355</v>
      </c>
      <c r="Q3" s="3" t="s">
        <v>17</v>
      </c>
    </row>
    <row r="4" spans="1:17" x14ac:dyDescent="0.25">
      <c r="A4" s="3">
        <v>6</v>
      </c>
      <c r="B4" s="3">
        <v>13</v>
      </c>
      <c r="C4" s="3">
        <v>16</v>
      </c>
      <c r="D4" s="3">
        <v>1350</v>
      </c>
      <c r="E4" s="3">
        <f t="shared" si="0"/>
        <v>746.66666666666663</v>
      </c>
      <c r="F4" s="3">
        <f t="shared" si="1"/>
        <v>4.333333333333333</v>
      </c>
      <c r="G4" s="3">
        <v>3</v>
      </c>
      <c r="H4" s="3">
        <v>35</v>
      </c>
      <c r="I4" s="3">
        <v>20</v>
      </c>
      <c r="J4" s="3">
        <f>DEGREES(ATAN(B4/B5))</f>
        <v>26.56505117707799</v>
      </c>
      <c r="K4" s="3">
        <v>1</v>
      </c>
      <c r="L4" s="3">
        <f t="shared" ref="L4" si="3">(G4/2)-(K4/2)*SIN(RADIANS(J4))</f>
        <v>1.2763932022500211</v>
      </c>
      <c r="M4" s="3">
        <f t="shared" ref="M4" si="4">E4/L4</f>
        <v>584.98170105453823</v>
      </c>
      <c r="N4" s="3">
        <f>M4*TAN(RADIANS(I4))*COS(RADIANS(J4))</f>
        <v>190.4377943038468</v>
      </c>
      <c r="O4" s="3">
        <f>M4*TAN(RADIANS(I4))*SIN(RADIANS(J4))</f>
        <v>95.2188971519234</v>
      </c>
      <c r="P4" s="3">
        <f t="shared" si="2"/>
        <v>1060.287520586555</v>
      </c>
      <c r="Q4" s="3" t="s">
        <v>19</v>
      </c>
    </row>
    <row r="5" spans="1:17" x14ac:dyDescent="0.25">
      <c r="A5" s="3">
        <v>7</v>
      </c>
      <c r="B5" s="3">
        <v>26</v>
      </c>
      <c r="C5" s="3">
        <v>16</v>
      </c>
      <c r="D5" s="3">
        <v>675</v>
      </c>
      <c r="E5" s="3">
        <f t="shared" si="0"/>
        <v>1493.3333333333333</v>
      </c>
      <c r="F5" s="3">
        <f t="shared" si="1"/>
        <v>4.333333333333333</v>
      </c>
      <c r="G5" s="3">
        <f>G4*2</f>
        <v>6</v>
      </c>
      <c r="H5" s="3">
        <v>35</v>
      </c>
      <c r="I5" s="3">
        <v>20</v>
      </c>
      <c r="J5" s="3" t="s">
        <v>18</v>
      </c>
      <c r="K5" s="3">
        <v>1</v>
      </c>
      <c r="L5" s="3" t="s">
        <v>18</v>
      </c>
      <c r="M5" s="3">
        <v>648.48972983994611</v>
      </c>
      <c r="N5" s="3">
        <v>105.5562537740844</v>
      </c>
      <c r="O5" s="3">
        <v>211.11250754816879</v>
      </c>
      <c r="P5" s="3">
        <f t="shared" si="2"/>
        <v>1060.287520586555</v>
      </c>
      <c r="Q5" s="3" t="s">
        <v>19</v>
      </c>
    </row>
    <row r="7" spans="1:17" ht="60" x14ac:dyDescent="0.25">
      <c r="A7" s="1" t="s">
        <v>0</v>
      </c>
      <c r="B7" s="2" t="s">
        <v>16</v>
      </c>
      <c r="C7" s="2" t="s">
        <v>15</v>
      </c>
      <c r="D7" s="1" t="s">
        <v>20</v>
      </c>
      <c r="E7" s="1" t="s">
        <v>21</v>
      </c>
      <c r="F7" s="1" t="s">
        <v>22</v>
      </c>
    </row>
    <row r="8" spans="1:17" x14ac:dyDescent="0.25">
      <c r="A8" s="3">
        <v>3</v>
      </c>
      <c r="B8" s="3">
        <v>10</v>
      </c>
      <c r="C8" s="3">
        <v>706.85834705770355</v>
      </c>
      <c r="D8" s="3">
        <f>0.25*(B8-5)^0.667</f>
        <v>0.73139670851761562</v>
      </c>
      <c r="E8" s="3">
        <f>50+56*(1-D8)</f>
        <v>65.04178432301353</v>
      </c>
      <c r="F8" s="3">
        <f>POWER((E8/(E8+SQRT(C8))),(-D8))</f>
        <v>1.2848725106706074</v>
      </c>
    </row>
    <row r="9" spans="1:17" x14ac:dyDescent="0.25">
      <c r="A9" s="3">
        <v>4</v>
      </c>
      <c r="B9" s="3">
        <v>10</v>
      </c>
      <c r="C9" s="3">
        <v>706.85834705770355</v>
      </c>
      <c r="D9" s="3">
        <f t="shared" ref="D9:D11" si="5">0.25*(B9-5)^0.667</f>
        <v>0.73139670851761562</v>
      </c>
      <c r="E9" s="3">
        <f t="shared" ref="E9:E11" si="6">50+56*(1-D9)</f>
        <v>65.04178432301353</v>
      </c>
      <c r="F9" s="3">
        <f t="shared" ref="F9:F11" si="7">POWER((E9/(E9+SQRT(C9))),(-D9))</f>
        <v>1.2848725106706074</v>
      </c>
    </row>
    <row r="10" spans="1:17" x14ac:dyDescent="0.25">
      <c r="A10" s="3">
        <v>6</v>
      </c>
      <c r="B10" s="3">
        <v>8</v>
      </c>
      <c r="C10" s="3">
        <v>1060.287520586555</v>
      </c>
      <c r="D10" s="3">
        <f t="shared" si="5"/>
        <v>0.52021142444017443</v>
      </c>
      <c r="E10" s="3">
        <f t="shared" si="6"/>
        <v>76.868160231350231</v>
      </c>
      <c r="F10" s="3">
        <f t="shared" si="7"/>
        <v>1.2016988130859645</v>
      </c>
    </row>
    <row r="11" spans="1:17" x14ac:dyDescent="0.25">
      <c r="A11" s="3">
        <v>7</v>
      </c>
      <c r="B11" s="3">
        <v>8</v>
      </c>
      <c r="C11" s="3">
        <v>1060.287520586555</v>
      </c>
      <c r="D11" s="3">
        <f t="shared" si="5"/>
        <v>0.52021142444017443</v>
      </c>
      <c r="E11" s="3">
        <f t="shared" si="6"/>
        <v>76.868160231350231</v>
      </c>
      <c r="F11" s="3">
        <f t="shared" si="7"/>
        <v>1.2016988130859645</v>
      </c>
    </row>
    <row r="13" spans="1:17" ht="4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23</v>
      </c>
    </row>
    <row r="14" spans="1:17" x14ac:dyDescent="0.25">
      <c r="A14" s="3">
        <v>3</v>
      </c>
      <c r="B14" s="3">
        <v>18</v>
      </c>
      <c r="C14" s="3">
        <v>24</v>
      </c>
      <c r="D14" s="3">
        <v>900</v>
      </c>
      <c r="E14" s="3">
        <f>63000*C14/D14</f>
        <v>1680</v>
      </c>
      <c r="F14" s="3">
        <v>4.333333333333333</v>
      </c>
      <c r="G14" s="3">
        <f>0.4867 + (0.2133/F14)</f>
        <v>0.53592307692307695</v>
      </c>
    </row>
    <row r="15" spans="1:17" x14ac:dyDescent="0.25">
      <c r="A15" s="3">
        <v>4</v>
      </c>
      <c r="B15" s="3">
        <v>36</v>
      </c>
      <c r="C15" s="3">
        <v>24</v>
      </c>
      <c r="D15" s="3">
        <v>450</v>
      </c>
      <c r="E15" s="3">
        <f t="shared" ref="E15:E17" si="8">63000*C15/D15</f>
        <v>3360</v>
      </c>
      <c r="F15" s="3">
        <v>4.333333333333333</v>
      </c>
      <c r="G15" s="3">
        <f t="shared" ref="G15:G17" si="9">0.4867 + (0.2133/F15)</f>
        <v>0.53592307692307695</v>
      </c>
    </row>
    <row r="16" spans="1:17" x14ac:dyDescent="0.25">
      <c r="A16" s="3">
        <v>6</v>
      </c>
      <c r="B16" s="3">
        <v>18</v>
      </c>
      <c r="C16" s="3">
        <v>16</v>
      </c>
      <c r="D16" s="3">
        <v>1350</v>
      </c>
      <c r="E16" s="3">
        <f t="shared" si="8"/>
        <v>746.66666666666663</v>
      </c>
      <c r="F16" s="3">
        <v>4.333333333333333</v>
      </c>
      <c r="G16" s="3">
        <f t="shared" si="9"/>
        <v>0.53592307692307695</v>
      </c>
    </row>
    <row r="17" spans="1:17" x14ac:dyDescent="0.25">
      <c r="A17" s="3">
        <v>7</v>
      </c>
      <c r="B17" s="3">
        <v>36</v>
      </c>
      <c r="C17" s="3">
        <v>16</v>
      </c>
      <c r="D17" s="3">
        <v>675</v>
      </c>
      <c r="E17" s="3">
        <f t="shared" si="8"/>
        <v>1493.3333333333333</v>
      </c>
      <c r="F17" s="3">
        <v>4.333333333333333</v>
      </c>
      <c r="G17" s="3">
        <f t="shared" si="9"/>
        <v>0.53592307692307695</v>
      </c>
    </row>
    <row r="19" spans="1:17" ht="60" x14ac:dyDescent="0.25">
      <c r="A19" s="2" t="s">
        <v>14</v>
      </c>
      <c r="B19" s="2" t="s">
        <v>15</v>
      </c>
      <c r="C19" s="2" t="s">
        <v>22</v>
      </c>
      <c r="D19" s="2" t="s">
        <v>23</v>
      </c>
      <c r="E19" s="2" t="s">
        <v>24</v>
      </c>
      <c r="F19" s="2" t="s">
        <v>25</v>
      </c>
      <c r="G19" s="2" t="s">
        <v>26</v>
      </c>
      <c r="H19" s="2" t="s">
        <v>27</v>
      </c>
      <c r="I19" s="2" t="s">
        <v>28</v>
      </c>
    </row>
    <row r="20" spans="1:17" x14ac:dyDescent="0.25">
      <c r="A20" s="3">
        <v>214.24251859182763</v>
      </c>
      <c r="B20" s="3">
        <v>706.85834705770355</v>
      </c>
      <c r="C20" s="3">
        <v>1.2848725106706074</v>
      </c>
      <c r="D20" s="3">
        <v>0.53592307692307695</v>
      </c>
      <c r="E20" s="3">
        <v>1.5</v>
      </c>
      <c r="F20" s="3">
        <v>1.0036</v>
      </c>
      <c r="G20" s="3">
        <v>1</v>
      </c>
      <c r="H20" s="3">
        <v>0.183</v>
      </c>
      <c r="I20" s="3">
        <f>(2*E2*F2*E20*C20*D20*F20)/(K2*G2*G20*H20)</f>
        <v>27491.8166049387</v>
      </c>
    </row>
    <row r="21" spans="1:17" x14ac:dyDescent="0.25">
      <c r="A21" s="3">
        <v>475.00314198337986</v>
      </c>
      <c r="B21" s="3">
        <v>706.85834705770355</v>
      </c>
      <c r="C21" s="3">
        <v>1.2848725106706074</v>
      </c>
      <c r="D21" s="3">
        <v>0.53592307692307695</v>
      </c>
      <c r="E21" s="3">
        <v>1.5</v>
      </c>
      <c r="F21" s="3">
        <v>1.0036</v>
      </c>
      <c r="G21" s="3">
        <v>1</v>
      </c>
      <c r="H21" s="3">
        <v>0.17899999999999999</v>
      </c>
      <c r="I21" s="3">
        <f t="shared" ref="I21:I23" si="10">(2*E3*F3*E21*C21*D21*F21)/(K3*G3*G21*H21)</f>
        <v>28106.158875440124</v>
      </c>
    </row>
    <row r="22" spans="1:17" x14ac:dyDescent="0.25">
      <c r="A22" s="3">
        <v>95.2188971519234</v>
      </c>
      <c r="B22" s="3">
        <v>1060.287520586555</v>
      </c>
      <c r="C22" s="3">
        <v>1.2016988130859645</v>
      </c>
      <c r="D22" s="3">
        <v>0.53592307692307695</v>
      </c>
      <c r="E22" s="3">
        <v>1.5</v>
      </c>
      <c r="F22" s="3">
        <v>1.0036</v>
      </c>
      <c r="G22" s="3">
        <v>1</v>
      </c>
      <c r="H22" s="3">
        <v>0.183</v>
      </c>
      <c r="I22" s="3">
        <f t="shared" si="10"/>
        <v>11427.639053461531</v>
      </c>
    </row>
    <row r="23" spans="1:17" x14ac:dyDescent="0.25">
      <c r="A23" s="3">
        <v>211.11250754816879</v>
      </c>
      <c r="B23" s="3">
        <v>1060.287520586555</v>
      </c>
      <c r="C23" s="3">
        <v>1.2016988130859645</v>
      </c>
      <c r="D23" s="3">
        <v>0.53592307692307695</v>
      </c>
      <c r="E23" s="3">
        <v>1.5</v>
      </c>
      <c r="F23" s="3">
        <v>1.0036</v>
      </c>
      <c r="G23" s="3">
        <v>1</v>
      </c>
      <c r="H23" s="3">
        <v>0.17899999999999999</v>
      </c>
      <c r="I23" s="3">
        <f t="shared" si="10"/>
        <v>11683.005289293074</v>
      </c>
    </row>
    <row r="25" spans="1:17" ht="45" x14ac:dyDescent="0.25">
      <c r="A25" s="1" t="s">
        <v>0</v>
      </c>
      <c r="B25" s="2" t="s">
        <v>10</v>
      </c>
      <c r="C25" s="1" t="s">
        <v>29</v>
      </c>
    </row>
    <row r="26" spans="1:17" x14ac:dyDescent="0.25">
      <c r="A26" s="3">
        <v>3</v>
      </c>
      <c r="B26" s="3">
        <v>1</v>
      </c>
      <c r="C26" s="3">
        <f>0.125*B26+0.4375</f>
        <v>0.5625</v>
      </c>
    </row>
    <row r="27" spans="1:17" x14ac:dyDescent="0.25">
      <c r="A27" s="3">
        <v>4</v>
      </c>
      <c r="B27" s="3">
        <v>1</v>
      </c>
      <c r="C27" s="3">
        <f t="shared" ref="C27:C29" si="11">0.125*B27+0.4375</f>
        <v>0.5625</v>
      </c>
    </row>
    <row r="28" spans="1:17" x14ac:dyDescent="0.25">
      <c r="A28" s="3">
        <v>6</v>
      </c>
      <c r="B28" s="3">
        <v>1</v>
      </c>
      <c r="C28" s="3">
        <f t="shared" si="11"/>
        <v>0.5625</v>
      </c>
    </row>
    <row r="29" spans="1:17" x14ac:dyDescent="0.25">
      <c r="A29" s="3">
        <v>7</v>
      </c>
      <c r="B29" s="3">
        <v>1</v>
      </c>
      <c r="C29" s="3">
        <f t="shared" si="11"/>
        <v>0.5625</v>
      </c>
    </row>
    <row r="31" spans="1:17" ht="60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30</v>
      </c>
      <c r="K31" s="2" t="s">
        <v>22</v>
      </c>
      <c r="L31" s="2" t="s">
        <v>24</v>
      </c>
      <c r="M31" s="2" t="s">
        <v>25</v>
      </c>
      <c r="N31" s="1" t="s">
        <v>29</v>
      </c>
      <c r="O31" s="2" t="s">
        <v>31</v>
      </c>
      <c r="P31" s="2" t="s">
        <v>32</v>
      </c>
      <c r="Q31" s="2" t="s">
        <v>33</v>
      </c>
    </row>
    <row r="32" spans="1:17" x14ac:dyDescent="0.25">
      <c r="A32" s="3">
        <v>3</v>
      </c>
      <c r="B32" s="3">
        <v>13</v>
      </c>
      <c r="C32" s="3">
        <v>24</v>
      </c>
      <c r="D32" s="3">
        <v>900</v>
      </c>
      <c r="E32" s="3">
        <f>63000*C32/D32</f>
        <v>1680</v>
      </c>
      <c r="F32" s="3">
        <v>4.333333333333333</v>
      </c>
      <c r="G32" s="3">
        <v>3</v>
      </c>
      <c r="H32" s="3">
        <v>35</v>
      </c>
      <c r="I32" s="3">
        <v>20</v>
      </c>
      <c r="J32" s="3">
        <v>2300</v>
      </c>
      <c r="K32" s="3">
        <v>1.2848725106706074</v>
      </c>
      <c r="L32" s="3">
        <v>1.5</v>
      </c>
      <c r="M32" s="3">
        <v>1.0036</v>
      </c>
      <c r="N32" s="3">
        <f>0.125*1+0.4375</f>
        <v>0.5625</v>
      </c>
      <c r="O32" s="3">
        <v>1.5</v>
      </c>
      <c r="P32" s="3">
        <v>8.8999999999999996E-2</v>
      </c>
      <c r="Q32" s="3">
        <f>J32*SQRT((2*E32*L32*K32*M32*N32*O32)/(POWER(G32,2)*P32))</f>
        <v>190302.32061790972</v>
      </c>
    </row>
    <row r="33" spans="1:17" x14ac:dyDescent="0.25">
      <c r="A33" s="3">
        <v>4</v>
      </c>
      <c r="B33" s="3">
        <v>26</v>
      </c>
      <c r="C33" s="3">
        <v>24</v>
      </c>
      <c r="D33" s="3">
        <v>450</v>
      </c>
      <c r="E33" s="3">
        <f t="shared" ref="E33:E35" si="12">63000*C33/D33</f>
        <v>3360</v>
      </c>
      <c r="F33" s="3">
        <v>4.333333333333333</v>
      </c>
      <c r="G33" s="3">
        <f>G32*2</f>
        <v>6</v>
      </c>
      <c r="H33" s="3">
        <v>35</v>
      </c>
      <c r="I33" s="3">
        <v>20</v>
      </c>
      <c r="J33" s="3">
        <v>2300</v>
      </c>
      <c r="K33" s="3">
        <v>1.2848725106706074</v>
      </c>
      <c r="L33" s="3">
        <v>1.5</v>
      </c>
      <c r="M33" s="3">
        <v>1.0036</v>
      </c>
      <c r="N33" s="3">
        <f t="shared" ref="N33:N35" si="13">0.125*1+0.4375</f>
        <v>0.5625</v>
      </c>
      <c r="O33" s="3">
        <v>1.5</v>
      </c>
      <c r="P33" s="3">
        <v>8.8999999999999996E-2</v>
      </c>
      <c r="Q33" s="3">
        <f t="shared" ref="Q33:Q35" si="14">J33*SQRT((2*E33*L33*K33*M33*N33*O33)/(POWER(G33,2)*P33))</f>
        <v>134564.06138446048</v>
      </c>
    </row>
    <row r="34" spans="1:17" x14ac:dyDescent="0.25">
      <c r="A34" s="3">
        <v>6</v>
      </c>
      <c r="B34" s="3">
        <v>13</v>
      </c>
      <c r="C34" s="3">
        <v>16</v>
      </c>
      <c r="D34" s="3">
        <v>1350</v>
      </c>
      <c r="E34" s="3">
        <f t="shared" si="12"/>
        <v>746.66666666666663</v>
      </c>
      <c r="F34" s="3">
        <v>4.333333333333333</v>
      </c>
      <c r="G34" s="3">
        <v>3</v>
      </c>
      <c r="H34" s="3">
        <v>35</v>
      </c>
      <c r="I34" s="3">
        <v>20</v>
      </c>
      <c r="J34" s="3">
        <v>2300</v>
      </c>
      <c r="K34" s="3">
        <v>1.2016988130859645</v>
      </c>
      <c r="L34" s="3">
        <v>1.5</v>
      </c>
      <c r="M34" s="3">
        <v>1.0036</v>
      </c>
      <c r="N34" s="3">
        <f t="shared" si="13"/>
        <v>0.5625</v>
      </c>
      <c r="O34" s="3">
        <v>1.5</v>
      </c>
      <c r="P34" s="3">
        <v>8.8999999999999996E-2</v>
      </c>
      <c r="Q34" s="3">
        <f t="shared" si="14"/>
        <v>122693.23641965186</v>
      </c>
    </row>
    <row r="35" spans="1:17" x14ac:dyDescent="0.25">
      <c r="A35" s="3">
        <v>7</v>
      </c>
      <c r="B35" s="3">
        <v>26</v>
      </c>
      <c r="C35" s="3">
        <v>16</v>
      </c>
      <c r="D35" s="3">
        <v>675</v>
      </c>
      <c r="E35" s="3">
        <f t="shared" si="12"/>
        <v>1493.3333333333333</v>
      </c>
      <c r="F35" s="3">
        <v>4.333333333333333</v>
      </c>
      <c r="G35" s="3">
        <f>G34*2</f>
        <v>6</v>
      </c>
      <c r="H35" s="3">
        <v>35</v>
      </c>
      <c r="I35" s="3">
        <v>20</v>
      </c>
      <c r="J35" s="3">
        <v>2300</v>
      </c>
      <c r="K35" s="3">
        <v>1.2016988130859645</v>
      </c>
      <c r="L35" s="3">
        <v>1.5</v>
      </c>
      <c r="M35" s="3">
        <v>1.0036</v>
      </c>
      <c r="N35" s="3">
        <f t="shared" si="13"/>
        <v>0.5625</v>
      </c>
      <c r="O35" s="3">
        <v>1.5</v>
      </c>
      <c r="P35" s="3">
        <v>8.8999999999999996E-2</v>
      </c>
      <c r="Q35" s="3">
        <f t="shared" si="14"/>
        <v>86757.219478060113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B53A-7D5A-46AA-A812-D98494F3B75B}">
  <dimension ref="A1:P38"/>
  <sheetViews>
    <sheetView tabSelected="1" topLeftCell="A30" zoomScale="70" zoomScaleNormal="70" workbookViewId="0">
      <selection activeCell="A40" sqref="A40"/>
    </sheetView>
  </sheetViews>
  <sheetFormatPr defaultRowHeight="15" x14ac:dyDescent="0.25"/>
  <sheetData>
    <row r="1" spans="1:16" ht="9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3">
        <v>13</v>
      </c>
      <c r="B2" s="3">
        <v>24</v>
      </c>
      <c r="C2" s="3">
        <v>900</v>
      </c>
      <c r="D2" s="3">
        <f>63000*B2/C2</f>
        <v>1680</v>
      </c>
      <c r="E2" s="3">
        <f>A2/F2</f>
        <v>3.7142857142857144</v>
      </c>
      <c r="F2" s="3">
        <v>3.5</v>
      </c>
      <c r="G2" s="3">
        <v>35</v>
      </c>
      <c r="H2" s="3">
        <v>20</v>
      </c>
      <c r="I2" s="3">
        <f>DEGREES(ATAN(A2/A3))</f>
        <v>26.56505117707799</v>
      </c>
      <c r="J2" s="3">
        <v>1</v>
      </c>
      <c r="K2" s="3">
        <f>(F2/2)-(J2/2)*SIN(RADIANS(I2))</f>
        <v>1.5263932022500211</v>
      </c>
      <c r="L2" s="3">
        <f>D2/K2</f>
        <v>1100.6338324381625</v>
      </c>
      <c r="M2" s="3">
        <f>L2*TAN(RADIANS(H2))*COS(RADIANS(I2))</f>
        <v>358.30570256790304</v>
      </c>
      <c r="N2" s="3">
        <f>L2*TAN(RADIANS(H2))*SIN(RADIANS(I2))</f>
        <v>179.15285128395152</v>
      </c>
      <c r="O2" s="3">
        <f>PI()*F2*C2/12</f>
        <v>824.66807156732068</v>
      </c>
      <c r="P2" s="3" t="s">
        <v>19</v>
      </c>
    </row>
    <row r="3" spans="1:16" x14ac:dyDescent="0.25">
      <c r="A3" s="3">
        <v>26</v>
      </c>
      <c r="B3" s="3">
        <v>24</v>
      </c>
      <c r="C3" s="3">
        <v>450</v>
      </c>
      <c r="D3" s="3">
        <f t="shared" ref="D3:D5" si="0">63000*B3/C3</f>
        <v>3360</v>
      </c>
      <c r="E3" s="3">
        <f t="shared" ref="E3:E5" si="1">A3/F3</f>
        <v>3.7142857142857144</v>
      </c>
      <c r="F3" s="3">
        <f>F2*2</f>
        <v>7</v>
      </c>
      <c r="G3" s="3">
        <v>35</v>
      </c>
      <c r="H3" s="3">
        <v>20</v>
      </c>
      <c r="I3" s="3" t="s">
        <v>18</v>
      </c>
      <c r="J3" s="3">
        <v>1</v>
      </c>
      <c r="K3" s="3" t="s">
        <v>18</v>
      </c>
      <c r="L3" s="3">
        <v>1459.1018921398788</v>
      </c>
      <c r="M3" s="3">
        <v>237.50157099168993</v>
      </c>
      <c r="N3" s="3">
        <v>475.00314198337986</v>
      </c>
      <c r="O3" s="3">
        <f t="shared" ref="O3:O5" si="2">PI()*F3*C3/12</f>
        <v>824.66807156732068</v>
      </c>
      <c r="P3" s="3" t="s">
        <v>19</v>
      </c>
    </row>
    <row r="4" spans="1:16" x14ac:dyDescent="0.25">
      <c r="A4" s="3">
        <v>13</v>
      </c>
      <c r="B4" s="3">
        <v>16</v>
      </c>
      <c r="C4" s="3">
        <v>1350</v>
      </c>
      <c r="D4" s="3">
        <f t="shared" si="0"/>
        <v>746.66666666666663</v>
      </c>
      <c r="E4" s="3">
        <f t="shared" si="1"/>
        <v>3.7142857142857144</v>
      </c>
      <c r="F4" s="3">
        <v>3.5</v>
      </c>
      <c r="G4" s="3">
        <v>35</v>
      </c>
      <c r="H4" s="3">
        <v>20</v>
      </c>
      <c r="I4" s="3">
        <f>DEGREES(ATAN(A4/A5))</f>
        <v>26.56505117707799</v>
      </c>
      <c r="J4" s="3">
        <v>1</v>
      </c>
      <c r="K4" s="3">
        <f t="shared" ref="K4" si="3">(F4/2)-(J4/2)*SIN(RADIANS(I4))</f>
        <v>1.5263932022500211</v>
      </c>
      <c r="L4" s="3">
        <f t="shared" ref="L4" si="4">D4/K4</f>
        <v>489.1705921947389</v>
      </c>
      <c r="M4" s="3">
        <f>L4*TAN(RADIANS(H4))*COS(RADIANS(I4))</f>
        <v>159.24697891906803</v>
      </c>
      <c r="N4" s="3">
        <f>L4*TAN(RADIANS(H4))*SIN(RADIANS(I4))</f>
        <v>79.623489459534014</v>
      </c>
      <c r="O4" s="3">
        <f t="shared" si="2"/>
        <v>1237.0021073509811</v>
      </c>
      <c r="P4" s="3" t="s">
        <v>19</v>
      </c>
    </row>
    <row r="5" spans="1:16" x14ac:dyDescent="0.25">
      <c r="A5" s="3">
        <v>26</v>
      </c>
      <c r="B5" s="3">
        <v>16</v>
      </c>
      <c r="C5" s="3">
        <v>675</v>
      </c>
      <c r="D5" s="3">
        <f t="shared" si="0"/>
        <v>1493.3333333333333</v>
      </c>
      <c r="E5" s="3">
        <f t="shared" si="1"/>
        <v>3.7142857142857144</v>
      </c>
      <c r="F5" s="3">
        <f>F4*2</f>
        <v>7</v>
      </c>
      <c r="G5" s="3">
        <v>35</v>
      </c>
      <c r="H5" s="3">
        <v>20</v>
      </c>
      <c r="I5" s="3" t="s">
        <v>18</v>
      </c>
      <c r="J5" s="3">
        <v>1</v>
      </c>
      <c r="K5" s="3" t="s">
        <v>18</v>
      </c>
      <c r="L5" s="3">
        <v>648.48972983994611</v>
      </c>
      <c r="M5" s="3">
        <v>105.5562537740844</v>
      </c>
      <c r="N5" s="3">
        <v>211.11250754816879</v>
      </c>
      <c r="O5" s="3">
        <f t="shared" si="2"/>
        <v>1237.0021073509811</v>
      </c>
      <c r="P5" s="3" t="s">
        <v>19</v>
      </c>
    </row>
    <row r="7" spans="1:16" ht="60" x14ac:dyDescent="0.25">
      <c r="A7" s="2" t="s">
        <v>16</v>
      </c>
      <c r="B7" s="2" t="s">
        <v>15</v>
      </c>
      <c r="C7" s="1" t="s">
        <v>20</v>
      </c>
      <c r="D7" s="1" t="s">
        <v>21</v>
      </c>
      <c r="E7" s="1" t="s">
        <v>22</v>
      </c>
    </row>
    <row r="8" spans="1:16" x14ac:dyDescent="0.25">
      <c r="A8" s="3">
        <v>8</v>
      </c>
      <c r="B8" s="3">
        <v>706.85834705770355</v>
      </c>
      <c r="C8" s="3">
        <f>0.25*(A8-5)^0.667</f>
        <v>0.52021142444017443</v>
      </c>
      <c r="D8" s="3">
        <f>50+56*(1-C8)</f>
        <v>76.868160231350231</v>
      </c>
      <c r="E8" s="3">
        <f>POWER((D8/(D8+SQRT(B8))),(-C8))</f>
        <v>1.1671046624702155</v>
      </c>
    </row>
    <row r="9" spans="1:16" x14ac:dyDescent="0.25">
      <c r="A9" s="3">
        <v>8</v>
      </c>
      <c r="B9" s="3">
        <v>706.85834705770355</v>
      </c>
      <c r="C9" s="3">
        <f t="shared" ref="C9:C11" si="5">0.25*(A9-5)^0.667</f>
        <v>0.52021142444017443</v>
      </c>
      <c r="D9" s="3">
        <f t="shared" ref="D9:D11" si="6">50+56*(1-C9)</f>
        <v>76.868160231350231</v>
      </c>
      <c r="E9" s="3">
        <f t="shared" ref="E9:E11" si="7">POWER((D9/(D9+SQRT(B9))),(-C9))</f>
        <v>1.1671046624702155</v>
      </c>
    </row>
    <row r="10" spans="1:16" x14ac:dyDescent="0.25">
      <c r="A10" s="3">
        <v>8</v>
      </c>
      <c r="B10" s="3">
        <v>1060.287520586555</v>
      </c>
      <c r="C10" s="3">
        <f t="shared" si="5"/>
        <v>0.52021142444017443</v>
      </c>
      <c r="D10" s="3">
        <f t="shared" si="6"/>
        <v>76.868160231350231</v>
      </c>
      <c r="E10" s="3">
        <f t="shared" si="7"/>
        <v>1.2016988130859645</v>
      </c>
    </row>
    <row r="11" spans="1:16" x14ac:dyDescent="0.25">
      <c r="A11" s="3">
        <v>8</v>
      </c>
      <c r="B11" s="3">
        <v>1060.287520586555</v>
      </c>
      <c r="C11" s="3">
        <f t="shared" si="5"/>
        <v>0.52021142444017443</v>
      </c>
      <c r="D11" s="3">
        <f t="shared" si="6"/>
        <v>76.868160231350231</v>
      </c>
      <c r="E11" s="3">
        <f t="shared" si="7"/>
        <v>1.2016988130859645</v>
      </c>
    </row>
    <row r="13" spans="1:16" ht="45" x14ac:dyDescent="0.25">
      <c r="A13" s="2" t="str">
        <f t="shared" ref="A13:A17" si="8">A1</f>
        <v>No.
Teeth</v>
      </c>
      <c r="B13" s="2" t="s">
        <v>2</v>
      </c>
      <c r="C13" s="2" t="s">
        <v>3</v>
      </c>
      <c r="D13" s="2" t="s">
        <v>4</v>
      </c>
      <c r="E13" s="2" t="str">
        <f t="shared" ref="E13:E17" si="9">E1</f>
        <v>Diametral 
Pitch</v>
      </c>
      <c r="F13" s="2" t="s">
        <v>23</v>
      </c>
    </row>
    <row r="14" spans="1:16" x14ac:dyDescent="0.25">
      <c r="A14" s="3">
        <f t="shared" si="8"/>
        <v>13</v>
      </c>
      <c r="B14" s="3">
        <v>24</v>
      </c>
      <c r="C14" s="3">
        <v>900</v>
      </c>
      <c r="D14" s="3">
        <f>63000*B14/C14</f>
        <v>1680</v>
      </c>
      <c r="E14" s="3">
        <f t="shared" si="9"/>
        <v>3.7142857142857144</v>
      </c>
      <c r="F14" s="3">
        <f>0.4867 + (0.2133/E14)</f>
        <v>0.54412692307692312</v>
      </c>
    </row>
    <row r="15" spans="1:16" x14ac:dyDescent="0.25">
      <c r="A15" s="3">
        <f t="shared" si="8"/>
        <v>26</v>
      </c>
      <c r="B15" s="3">
        <v>24</v>
      </c>
      <c r="C15" s="3">
        <v>450</v>
      </c>
      <c r="D15" s="3">
        <f t="shared" ref="D15:D17" si="10">63000*B15/C15</f>
        <v>3360</v>
      </c>
      <c r="E15" s="3">
        <f t="shared" si="9"/>
        <v>3.7142857142857144</v>
      </c>
      <c r="F15" s="3">
        <f t="shared" ref="F15:F17" si="11">0.4867 + (0.2133/E15)</f>
        <v>0.54412692307692312</v>
      </c>
    </row>
    <row r="16" spans="1:16" x14ac:dyDescent="0.25">
      <c r="A16" s="3">
        <f t="shared" si="8"/>
        <v>13</v>
      </c>
      <c r="B16" s="3">
        <v>16</v>
      </c>
      <c r="C16" s="3">
        <v>1350</v>
      </c>
      <c r="D16" s="3">
        <f t="shared" si="10"/>
        <v>746.66666666666663</v>
      </c>
      <c r="E16" s="3">
        <f t="shared" si="9"/>
        <v>3.7142857142857144</v>
      </c>
      <c r="F16" s="3">
        <f t="shared" si="11"/>
        <v>0.54412692307692312</v>
      </c>
    </row>
    <row r="17" spans="1:16" x14ac:dyDescent="0.25">
      <c r="A17" s="3">
        <f t="shared" si="8"/>
        <v>26</v>
      </c>
      <c r="B17" s="3">
        <v>16</v>
      </c>
      <c r="C17" s="3">
        <v>675</v>
      </c>
      <c r="D17" s="3">
        <f t="shared" si="10"/>
        <v>1493.3333333333333</v>
      </c>
      <c r="E17" s="3">
        <f t="shared" si="9"/>
        <v>3.7142857142857144</v>
      </c>
      <c r="F17" s="3">
        <f t="shared" si="11"/>
        <v>0.54412692307692312</v>
      </c>
    </row>
    <row r="19" spans="1:16" ht="60" x14ac:dyDescent="0.25">
      <c r="A19" s="2" t="s">
        <v>15</v>
      </c>
      <c r="B19" s="2" t="str">
        <f t="shared" ref="B19:B23" si="12">E7</f>
        <v>Kv</v>
      </c>
      <c r="C19" s="2" t="str">
        <f t="shared" ref="C19:C23" si="13">F13</f>
        <v>Ks</v>
      </c>
      <c r="D19" s="2" t="s">
        <v>24</v>
      </c>
      <c r="E19" s="2" t="s">
        <v>25</v>
      </c>
      <c r="F19" s="2" t="s">
        <v>26</v>
      </c>
      <c r="G19" s="2" t="s">
        <v>27</v>
      </c>
      <c r="H19" s="2" t="s">
        <v>28</v>
      </c>
    </row>
    <row r="20" spans="1:16" x14ac:dyDescent="0.25">
      <c r="A20" s="3">
        <v>706.85834705770355</v>
      </c>
      <c r="B20" s="3">
        <f t="shared" si="12"/>
        <v>1.1671046624702155</v>
      </c>
      <c r="C20" s="3">
        <f t="shared" si="13"/>
        <v>0.54412692307692312</v>
      </c>
      <c r="D20" s="3">
        <v>1.5</v>
      </c>
      <c r="E20" s="3">
        <v>1.0036</v>
      </c>
      <c r="F20" s="3">
        <v>1</v>
      </c>
      <c r="G20" s="3">
        <v>0.183</v>
      </c>
      <c r="H20" s="3">
        <f>(2*D2*E2*D20*B20*C20*E20)/(J2*F2*F20*G20)</f>
        <v>18627.620524905436</v>
      </c>
    </row>
    <row r="21" spans="1:16" x14ac:dyDescent="0.25">
      <c r="A21" s="3">
        <v>706.85834705770355</v>
      </c>
      <c r="B21" s="3">
        <f t="shared" si="12"/>
        <v>1.1671046624702155</v>
      </c>
      <c r="C21" s="3">
        <f t="shared" si="13"/>
        <v>0.54412692307692312</v>
      </c>
      <c r="D21" s="3">
        <v>1.5</v>
      </c>
      <c r="E21" s="3">
        <v>1.0036</v>
      </c>
      <c r="F21" s="3">
        <v>1</v>
      </c>
      <c r="G21" s="3">
        <v>0.17899999999999999</v>
      </c>
      <c r="H21" s="3">
        <f t="shared" ref="H21:H23" si="14">(2*D3*E3*D21*B21*C21*E21)/(J3*F3*F21*G21)</f>
        <v>19043.880201439635</v>
      </c>
    </row>
    <row r="22" spans="1:16" x14ac:dyDescent="0.25">
      <c r="A22" s="3">
        <v>1060.287520586555</v>
      </c>
      <c r="B22" s="3">
        <f t="shared" si="12"/>
        <v>1.2016988130859645</v>
      </c>
      <c r="C22" s="3">
        <f t="shared" si="13"/>
        <v>0.54412692307692312</v>
      </c>
      <c r="D22" s="3">
        <v>1.5</v>
      </c>
      <c r="E22" s="3">
        <v>1.0036</v>
      </c>
      <c r="F22" s="3">
        <v>1</v>
      </c>
      <c r="G22" s="3">
        <v>0.183</v>
      </c>
      <c r="H22" s="3">
        <f t="shared" si="14"/>
        <v>8524.3385981687843</v>
      </c>
    </row>
    <row r="23" spans="1:16" x14ac:dyDescent="0.25">
      <c r="A23" s="3">
        <v>1060.287520586555</v>
      </c>
      <c r="B23" s="3">
        <f t="shared" si="12"/>
        <v>1.2016988130859645</v>
      </c>
      <c r="C23" s="3">
        <f t="shared" si="13"/>
        <v>0.54412692307692312</v>
      </c>
      <c r="D23" s="3">
        <v>1.5</v>
      </c>
      <c r="E23" s="3">
        <v>1.0036</v>
      </c>
      <c r="F23" s="3">
        <v>1</v>
      </c>
      <c r="G23" s="3">
        <v>0.17899999999999999</v>
      </c>
      <c r="H23" s="3">
        <f t="shared" si="14"/>
        <v>8714.8266115356837</v>
      </c>
    </row>
    <row r="25" spans="1:16" ht="45" x14ac:dyDescent="0.25">
      <c r="A25" s="2" t="s">
        <v>10</v>
      </c>
      <c r="B25" s="1" t="s">
        <v>29</v>
      </c>
    </row>
    <row r="26" spans="1:16" x14ac:dyDescent="0.25">
      <c r="A26" s="3">
        <v>1</v>
      </c>
      <c r="B26" s="3">
        <f>0.125*A26+0.4375</f>
        <v>0.5625</v>
      </c>
    </row>
    <row r="27" spans="1:16" x14ac:dyDescent="0.25">
      <c r="A27" s="3">
        <v>1</v>
      </c>
      <c r="B27" s="3">
        <f t="shared" ref="B27:B29" si="15">0.125*A27+0.4375</f>
        <v>0.5625</v>
      </c>
    </row>
    <row r="28" spans="1:16" x14ac:dyDescent="0.25">
      <c r="A28" s="3">
        <v>1</v>
      </c>
      <c r="B28" s="3">
        <f t="shared" si="15"/>
        <v>0.5625</v>
      </c>
    </row>
    <row r="29" spans="1:16" x14ac:dyDescent="0.25">
      <c r="A29" s="3">
        <v>1</v>
      </c>
      <c r="B29" s="3">
        <f t="shared" si="15"/>
        <v>0.5625</v>
      </c>
    </row>
    <row r="31" spans="1:16" ht="60" x14ac:dyDescent="0.25">
      <c r="A31" s="2" t="s">
        <v>1</v>
      </c>
      <c r="B31" s="2" t="s">
        <v>2</v>
      </c>
      <c r="C31" s="2" t="s">
        <v>3</v>
      </c>
      <c r="D31" s="2" t="s">
        <v>4</v>
      </c>
      <c r="E31" s="2" t="str">
        <f t="shared" ref="E31:E35" si="16">E1</f>
        <v>Diametral 
Pitch</v>
      </c>
      <c r="F31" s="2" t="str">
        <f t="shared" ref="F31:F35" si="17">F1</f>
        <v>Pitch Diameter</v>
      </c>
      <c r="G31" s="2" t="s">
        <v>7</v>
      </c>
      <c r="H31" s="2" t="s">
        <v>8</v>
      </c>
      <c r="I31" s="2" t="s">
        <v>30</v>
      </c>
      <c r="J31" s="2" t="s">
        <v>22</v>
      </c>
      <c r="K31" s="2" t="s">
        <v>24</v>
      </c>
      <c r="L31" s="2" t="s">
        <v>25</v>
      </c>
      <c r="M31" s="1" t="s">
        <v>29</v>
      </c>
      <c r="N31" s="2" t="s">
        <v>31</v>
      </c>
      <c r="O31" s="2" t="s">
        <v>32</v>
      </c>
      <c r="P31" s="2" t="s">
        <v>33</v>
      </c>
    </row>
    <row r="32" spans="1:16" x14ac:dyDescent="0.25">
      <c r="A32" s="3">
        <v>13</v>
      </c>
      <c r="B32" s="3">
        <v>24</v>
      </c>
      <c r="C32" s="3">
        <v>900</v>
      </c>
      <c r="D32" s="3">
        <f>63000*B32/C32</f>
        <v>1680</v>
      </c>
      <c r="E32" s="3">
        <f t="shared" si="16"/>
        <v>3.7142857142857144</v>
      </c>
      <c r="F32" s="3">
        <f t="shared" si="17"/>
        <v>3.5</v>
      </c>
      <c r="G32" s="3">
        <v>35</v>
      </c>
      <c r="H32" s="3">
        <v>20</v>
      </c>
      <c r="I32" s="3">
        <v>2300</v>
      </c>
      <c r="J32" s="3">
        <v>1.2848725106706074</v>
      </c>
      <c r="K32" s="3">
        <v>1.5</v>
      </c>
      <c r="L32" s="3">
        <v>1.0036</v>
      </c>
      <c r="M32" s="3">
        <f>0.125*1+0.4375</f>
        <v>0.5625</v>
      </c>
      <c r="N32" s="3">
        <v>1.5</v>
      </c>
      <c r="O32" s="3">
        <v>8.8999999999999996E-2</v>
      </c>
      <c r="P32" s="3">
        <f>I32*SQRT((2*D32*K32*J32*L32*M32*N32)/(POWER(F32,2)*O32))</f>
        <v>163116.27481535118</v>
      </c>
    </row>
    <row r="33" spans="1:16" x14ac:dyDescent="0.25">
      <c r="A33" s="3">
        <v>26</v>
      </c>
      <c r="B33" s="3">
        <v>24</v>
      </c>
      <c r="C33" s="3">
        <v>450</v>
      </c>
      <c r="D33" s="3">
        <f t="shared" ref="D33:D35" si="18">63000*B33/C33</f>
        <v>3360</v>
      </c>
      <c r="E33" s="3">
        <f t="shared" si="16"/>
        <v>3.7142857142857144</v>
      </c>
      <c r="F33" s="3">
        <f t="shared" si="17"/>
        <v>7</v>
      </c>
      <c r="G33" s="3">
        <v>35</v>
      </c>
      <c r="H33" s="3">
        <v>20</v>
      </c>
      <c r="I33" s="3">
        <v>2300</v>
      </c>
      <c r="J33" s="3">
        <v>1.2848725106706074</v>
      </c>
      <c r="K33" s="3">
        <v>1.5</v>
      </c>
      <c r="L33" s="3">
        <v>1.0036</v>
      </c>
      <c r="M33" s="3">
        <f t="shared" ref="M33:M35" si="19">0.125*1+0.4375</f>
        <v>0.5625</v>
      </c>
      <c r="N33" s="3">
        <v>1.5</v>
      </c>
      <c r="O33" s="3">
        <v>8.8999999999999996E-2</v>
      </c>
      <c r="P33" s="3">
        <f t="shared" ref="P33:P35" si="20">I33*SQRT((2*D33*K33*J33*L33*M33*N33)/(POWER(F33,2)*O33))</f>
        <v>115340.62404382328</v>
      </c>
    </row>
    <row r="34" spans="1:16" x14ac:dyDescent="0.25">
      <c r="A34" s="3">
        <v>13</v>
      </c>
      <c r="B34" s="3">
        <v>16</v>
      </c>
      <c r="C34" s="3">
        <v>1350</v>
      </c>
      <c r="D34" s="3">
        <f t="shared" si="18"/>
        <v>746.66666666666663</v>
      </c>
      <c r="E34" s="3">
        <f t="shared" si="16"/>
        <v>3.7142857142857144</v>
      </c>
      <c r="F34" s="3">
        <f t="shared" si="17"/>
        <v>3.5</v>
      </c>
      <c r="G34" s="3">
        <v>35</v>
      </c>
      <c r="H34" s="3">
        <v>20</v>
      </c>
      <c r="I34" s="3">
        <v>2300</v>
      </c>
      <c r="J34" s="3">
        <v>1.2016988130859645</v>
      </c>
      <c r="K34" s="3">
        <v>1.5</v>
      </c>
      <c r="L34" s="3">
        <v>1.0036</v>
      </c>
      <c r="M34" s="3">
        <f t="shared" si="19"/>
        <v>0.5625</v>
      </c>
      <c r="N34" s="3">
        <v>1.5</v>
      </c>
      <c r="O34" s="3">
        <v>8.8999999999999996E-2</v>
      </c>
      <c r="P34" s="3">
        <f t="shared" si="20"/>
        <v>105165.63121684446</v>
      </c>
    </row>
    <row r="35" spans="1:16" x14ac:dyDescent="0.25">
      <c r="A35" s="3">
        <v>26</v>
      </c>
      <c r="B35" s="3">
        <v>16</v>
      </c>
      <c r="C35" s="3">
        <v>675</v>
      </c>
      <c r="D35" s="3">
        <f t="shared" si="18"/>
        <v>1493.3333333333333</v>
      </c>
      <c r="E35" s="3">
        <f t="shared" si="16"/>
        <v>3.7142857142857144</v>
      </c>
      <c r="F35" s="3">
        <f t="shared" si="17"/>
        <v>7</v>
      </c>
      <c r="G35" s="3">
        <v>35</v>
      </c>
      <c r="H35" s="3">
        <v>20</v>
      </c>
      <c r="I35" s="3">
        <v>2300</v>
      </c>
      <c r="J35" s="3">
        <v>1.2016988130859645</v>
      </c>
      <c r="K35" s="3">
        <v>1.5</v>
      </c>
      <c r="L35" s="3">
        <v>1.0036</v>
      </c>
      <c r="M35" s="3">
        <f t="shared" si="19"/>
        <v>0.5625</v>
      </c>
      <c r="N35" s="3">
        <v>1.5</v>
      </c>
      <c r="O35" s="3">
        <v>8.8999999999999996E-2</v>
      </c>
      <c r="P35" s="3">
        <f t="shared" si="20"/>
        <v>74363.330981194391</v>
      </c>
    </row>
    <row r="38" spans="1:16" x14ac:dyDescent="0.25">
      <c r="E38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8AC9-EF60-4D8E-BC70-BCF880699155}">
  <dimension ref="A1:F5"/>
  <sheetViews>
    <sheetView workbookViewId="0">
      <selection activeCell="E4" sqref="E4"/>
    </sheetView>
  </sheetViews>
  <sheetFormatPr defaultRowHeight="15" x14ac:dyDescent="0.25"/>
  <sheetData>
    <row r="1" spans="1:6" s="4" customFormat="1" ht="60" x14ac:dyDescent="0.25">
      <c r="A1" s="1" t="s">
        <v>0</v>
      </c>
      <c r="B1" s="2" t="s">
        <v>16</v>
      </c>
      <c r="C1" s="2" t="s">
        <v>15</v>
      </c>
      <c r="D1" s="1" t="s">
        <v>20</v>
      </c>
      <c r="E1" s="1" t="s">
        <v>21</v>
      </c>
      <c r="F1" s="1" t="s">
        <v>22</v>
      </c>
    </row>
    <row r="2" spans="1:6" x14ac:dyDescent="0.25">
      <c r="A2" s="3">
        <v>3</v>
      </c>
      <c r="B2" s="3">
        <v>10</v>
      </c>
      <c r="C2" s="3">
        <v>647.95348480289476</v>
      </c>
      <c r="D2" s="3">
        <f>0.25*(B2-5)^0.667</f>
        <v>0.73139670851761562</v>
      </c>
      <c r="E2" s="3">
        <f>50+56*(1-D2)</f>
        <v>65.04178432301353</v>
      </c>
      <c r="F2" s="3">
        <f>POWER((E2/(E2+SQRT(C2))),(-D2))</f>
        <v>1.2732445095867333</v>
      </c>
    </row>
    <row r="3" spans="1:6" x14ac:dyDescent="0.25">
      <c r="A3" s="3">
        <v>4</v>
      </c>
      <c r="B3" s="3">
        <v>10</v>
      </c>
      <c r="C3" s="3">
        <v>647.95348480289476</v>
      </c>
      <c r="D3" s="3">
        <f t="shared" ref="D3:D5" si="0">0.25*(B3-5)^0.667</f>
        <v>0.73139670851761562</v>
      </c>
      <c r="E3" s="3">
        <f t="shared" ref="E3:E5" si="1">50+56*(1-D3)</f>
        <v>65.04178432301353</v>
      </c>
      <c r="F3" s="3">
        <f t="shared" ref="F3:F5" si="2">POWER((E3/(E3+SQRT(C3))),(-D3))</f>
        <v>1.2732445095867333</v>
      </c>
    </row>
    <row r="4" spans="1:6" x14ac:dyDescent="0.25">
      <c r="A4" s="3">
        <v>6</v>
      </c>
      <c r="B4" s="3">
        <v>8</v>
      </c>
      <c r="C4" s="3">
        <v>971.93022720434203</v>
      </c>
      <c r="D4" s="3">
        <f t="shared" si="0"/>
        <v>0.52021142444017443</v>
      </c>
      <c r="E4" s="3">
        <f t="shared" si="1"/>
        <v>76.868160231350231</v>
      </c>
      <c r="F4" s="3">
        <f t="shared" si="2"/>
        <v>1.1937553599734296</v>
      </c>
    </row>
    <row r="5" spans="1:6" x14ac:dyDescent="0.25">
      <c r="A5" s="3">
        <v>7</v>
      </c>
      <c r="B5" s="3">
        <v>8</v>
      </c>
      <c r="C5" s="3">
        <v>971.93022720434203</v>
      </c>
      <c r="D5" s="3">
        <f t="shared" si="0"/>
        <v>0.52021142444017443</v>
      </c>
      <c r="E5" s="3">
        <f t="shared" si="1"/>
        <v>76.868160231350231</v>
      </c>
      <c r="F5" s="3">
        <f t="shared" si="2"/>
        <v>1.1937553599734296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49BA-E383-4F7C-BA2A-327E2BB25555}">
  <dimension ref="A1:G5"/>
  <sheetViews>
    <sheetView workbookViewId="0">
      <selection activeCell="G10" sqref="G10"/>
    </sheetView>
  </sheetViews>
  <sheetFormatPr defaultRowHeight="15" x14ac:dyDescent="0.25"/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</row>
    <row r="2" spans="1:7" x14ac:dyDescent="0.25">
      <c r="A2" s="3">
        <v>3</v>
      </c>
      <c r="B2" s="3">
        <v>18</v>
      </c>
      <c r="C2" s="3">
        <v>24</v>
      </c>
      <c r="D2" s="3">
        <v>900</v>
      </c>
      <c r="E2" s="3">
        <f>63000*C2/D2</f>
        <v>1680</v>
      </c>
      <c r="F2" s="3">
        <v>6.5449999999999999</v>
      </c>
      <c r="G2" s="3">
        <f>0.4867 + (0.2133/F2)</f>
        <v>0.51928976317799846</v>
      </c>
    </row>
    <row r="3" spans="1:7" x14ac:dyDescent="0.25">
      <c r="A3" s="3">
        <v>4</v>
      </c>
      <c r="B3" s="3">
        <v>36</v>
      </c>
      <c r="C3" s="3">
        <v>24</v>
      </c>
      <c r="D3" s="3">
        <v>450</v>
      </c>
      <c r="E3" s="3">
        <f t="shared" ref="E3:E5" si="0">63000*C3/D3</f>
        <v>3360</v>
      </c>
      <c r="F3" s="3">
        <v>6.5449999999999999</v>
      </c>
      <c r="G3" s="3">
        <f t="shared" ref="G3:G5" si="1">0.4867 + (0.2133/F3)</f>
        <v>0.51928976317799846</v>
      </c>
    </row>
    <row r="4" spans="1:7" x14ac:dyDescent="0.25">
      <c r="A4" s="3">
        <v>6</v>
      </c>
      <c r="B4" s="3">
        <v>18</v>
      </c>
      <c r="C4" s="3">
        <v>16</v>
      </c>
      <c r="D4" s="3">
        <v>1350</v>
      </c>
      <c r="E4" s="3">
        <f t="shared" si="0"/>
        <v>746.66666666666663</v>
      </c>
      <c r="F4" s="3">
        <v>6.5449999999999999</v>
      </c>
      <c r="G4" s="3">
        <f t="shared" si="1"/>
        <v>0.51928976317799846</v>
      </c>
    </row>
    <row r="5" spans="1:7" x14ac:dyDescent="0.25">
      <c r="A5" s="3">
        <v>7</v>
      </c>
      <c r="B5" s="3">
        <v>36</v>
      </c>
      <c r="C5" s="3">
        <v>16</v>
      </c>
      <c r="D5" s="3">
        <v>675</v>
      </c>
      <c r="E5" s="3">
        <f t="shared" si="0"/>
        <v>1493.3333333333333</v>
      </c>
      <c r="F5" s="3">
        <v>6.5449999999999999</v>
      </c>
      <c r="G5" s="3">
        <f t="shared" si="1"/>
        <v>0.51928976317799846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C6E7-4EE3-4F2A-ADFC-9CF202751DB4}">
  <dimension ref="A1:W5"/>
  <sheetViews>
    <sheetView topLeftCell="O1" zoomScaleNormal="100" workbookViewId="0">
      <selection activeCell="R2" sqref="R2"/>
    </sheetView>
  </sheetViews>
  <sheetFormatPr defaultRowHeight="15" x14ac:dyDescent="0.25"/>
  <sheetData>
    <row r="1" spans="1:23" ht="9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</row>
    <row r="2" spans="1:23" x14ac:dyDescent="0.25">
      <c r="A2" s="3">
        <v>3</v>
      </c>
      <c r="B2" s="3">
        <v>18</v>
      </c>
      <c r="C2" s="3">
        <v>24</v>
      </c>
      <c r="D2" s="3">
        <v>900</v>
      </c>
      <c r="E2" s="3">
        <f>63000*C2/D2</f>
        <v>1680</v>
      </c>
      <c r="F2" s="3">
        <v>6.5449999999999999</v>
      </c>
      <c r="G2" s="3">
        <v>2.75</v>
      </c>
      <c r="H2" s="3">
        <v>35</v>
      </c>
      <c r="I2" s="3">
        <v>20</v>
      </c>
      <c r="J2" s="3">
        <f>DEGREES(ATAN(B2/B3))</f>
        <v>26.56505117707799</v>
      </c>
      <c r="K2" s="3">
        <v>1</v>
      </c>
      <c r="L2" s="3">
        <f>(G2/2)-(K2/2)*SIN(RADIANS(J2))</f>
        <v>1.1513932022500211</v>
      </c>
      <c r="M2" s="3">
        <f>E2/L2</f>
        <v>1459.1018921398788</v>
      </c>
      <c r="N2" s="3">
        <f>M2*TAN(RADIANS(I2))*COS(RADIANS(J2))</f>
        <v>475.00314198337986</v>
      </c>
      <c r="O2" s="3">
        <f>M2*TAN(RADIANS(I2))*SIN(RADIANS(J2))</f>
        <v>237.50157099168993</v>
      </c>
      <c r="P2" s="3">
        <f>PI()*G2*D2/12</f>
        <v>647.95348480289476</v>
      </c>
      <c r="Q2" s="3">
        <v>1.2732445095867333</v>
      </c>
      <c r="R2" s="3">
        <v>0.51928976317799846</v>
      </c>
      <c r="S2" s="3">
        <v>1.5</v>
      </c>
      <c r="T2" s="3">
        <v>1.1035999999999999</v>
      </c>
      <c r="U2" s="3">
        <v>1</v>
      </c>
      <c r="V2" s="3">
        <v>0.23</v>
      </c>
      <c r="W2" s="3">
        <f>(2*E2*F2*S2*Q2*R2*T2)/(K2*G2*U2*V2)</f>
        <v>38055.104843828834</v>
      </c>
    </row>
    <row r="3" spans="1:23" x14ac:dyDescent="0.25">
      <c r="A3" s="3">
        <v>4</v>
      </c>
      <c r="B3" s="3">
        <v>36</v>
      </c>
      <c r="C3" s="3">
        <v>24</v>
      </c>
      <c r="D3" s="3">
        <v>450</v>
      </c>
      <c r="E3" s="3">
        <f t="shared" ref="E3:E5" si="0">63000*C3/D3</f>
        <v>3360</v>
      </c>
      <c r="F3" s="3">
        <v>6.5449999999999999</v>
      </c>
      <c r="G3" s="3">
        <v>5.5</v>
      </c>
      <c r="H3" s="3">
        <v>35</v>
      </c>
      <c r="I3" s="3">
        <v>20</v>
      </c>
      <c r="J3" s="3" t="s">
        <v>18</v>
      </c>
      <c r="K3" s="3">
        <v>1</v>
      </c>
      <c r="L3" s="3" t="s">
        <v>18</v>
      </c>
      <c r="M3" s="3">
        <v>1459.1018921398788</v>
      </c>
      <c r="N3" s="3">
        <v>237.50157099168993</v>
      </c>
      <c r="O3" s="3">
        <v>475.00314198337986</v>
      </c>
      <c r="P3" s="3">
        <f t="shared" ref="P3:P5" si="1">PI()*G3*D3/12</f>
        <v>647.95348480289476</v>
      </c>
      <c r="Q3" s="3">
        <v>1.2732445095867333</v>
      </c>
      <c r="R3" s="3">
        <v>0.51928976317799846</v>
      </c>
      <c r="S3" s="3">
        <v>1.5</v>
      </c>
      <c r="T3" s="3">
        <v>1.1035999999999999</v>
      </c>
      <c r="U3" s="3">
        <v>1</v>
      </c>
      <c r="V3" s="3">
        <v>0.21</v>
      </c>
      <c r="W3" s="3">
        <f>(2*E3*F3*S3*Q3*R3*T3)/(K3*G3*U3*V3)</f>
        <v>41679.400543241107</v>
      </c>
    </row>
    <row r="4" spans="1:23" x14ac:dyDescent="0.25">
      <c r="A4" s="3">
        <v>6</v>
      </c>
      <c r="B4" s="3">
        <v>18</v>
      </c>
      <c r="C4" s="3">
        <v>16</v>
      </c>
      <c r="D4" s="3">
        <v>1350</v>
      </c>
      <c r="E4" s="3">
        <f t="shared" si="0"/>
        <v>746.66666666666663</v>
      </c>
      <c r="F4" s="3">
        <v>6.5449999999999999</v>
      </c>
      <c r="G4" s="3">
        <v>2.75</v>
      </c>
      <c r="H4" s="3">
        <v>35</v>
      </c>
      <c r="I4" s="3">
        <v>20</v>
      </c>
      <c r="J4" s="3">
        <f>DEGREES(ATAN(B4/B5))</f>
        <v>26.56505117707799</v>
      </c>
      <c r="K4" s="3">
        <v>1</v>
      </c>
      <c r="L4" s="3">
        <f t="shared" ref="L4" si="2">(G4/2)-(K4/2)*SIN(RADIANS(J4))</f>
        <v>1.1513932022500211</v>
      </c>
      <c r="M4" s="3">
        <f t="shared" ref="M4" si="3">E4/L4</f>
        <v>648.48972983994611</v>
      </c>
      <c r="N4" s="3">
        <f>M4*TAN(RADIANS(I4))*COS(RADIANS(J4))</f>
        <v>211.11250754816879</v>
      </c>
      <c r="O4" s="3">
        <f>M4*TAN(RADIANS(I4))*SIN(RADIANS(J4))</f>
        <v>105.5562537740844</v>
      </c>
      <c r="P4" s="3">
        <f t="shared" si="1"/>
        <v>971.93022720434203</v>
      </c>
      <c r="Q4" s="3">
        <v>1.1937553599734296</v>
      </c>
      <c r="R4" s="3">
        <v>0.51928976317799846</v>
      </c>
      <c r="S4" s="3">
        <v>1.5</v>
      </c>
      <c r="T4" s="3">
        <v>1.1035999999999999</v>
      </c>
      <c r="U4" s="3">
        <v>1</v>
      </c>
      <c r="V4" s="3">
        <v>0.23</v>
      </c>
      <c r="W4" s="3">
        <f t="shared" ref="W4:W5" si="4">(2*E4*F4*S4*Q4*R4*T4)/(K4*G4*U4*V4)</f>
        <v>15857.471047696028</v>
      </c>
    </row>
    <row r="5" spans="1:23" x14ac:dyDescent="0.25">
      <c r="A5" s="3">
        <v>7</v>
      </c>
      <c r="B5" s="3">
        <v>36</v>
      </c>
      <c r="C5" s="3">
        <v>16</v>
      </c>
      <c r="D5" s="3">
        <v>675</v>
      </c>
      <c r="E5" s="3">
        <f t="shared" si="0"/>
        <v>1493.3333333333333</v>
      </c>
      <c r="F5" s="3">
        <v>6.5449999999999999</v>
      </c>
      <c r="G5" s="3">
        <v>5.5</v>
      </c>
      <c r="H5" s="3">
        <v>35</v>
      </c>
      <c r="I5" s="3">
        <v>20</v>
      </c>
      <c r="J5" s="3" t="s">
        <v>18</v>
      </c>
      <c r="K5" s="3">
        <v>1</v>
      </c>
      <c r="L5" s="3" t="s">
        <v>18</v>
      </c>
      <c r="M5" s="3">
        <v>648.48972983994611</v>
      </c>
      <c r="N5" s="3">
        <v>105.5562537740844</v>
      </c>
      <c r="O5" s="3">
        <v>211.11250754816879</v>
      </c>
      <c r="P5" s="3">
        <f t="shared" si="1"/>
        <v>971.93022720434203</v>
      </c>
      <c r="Q5" s="3">
        <v>1.1937553599734296</v>
      </c>
      <c r="R5" s="3">
        <v>0.51928976317799846</v>
      </c>
      <c r="S5" s="3">
        <v>1.5</v>
      </c>
      <c r="T5" s="3">
        <v>1.1035999999999999</v>
      </c>
      <c r="U5" s="3">
        <v>1</v>
      </c>
      <c r="V5" s="3">
        <v>0.21</v>
      </c>
      <c r="W5" s="3">
        <f t="shared" si="4"/>
        <v>17367.706385571841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F951-D2E3-4F0B-B3CE-407ACF4CAB63}">
  <dimension ref="A1:C5"/>
  <sheetViews>
    <sheetView workbookViewId="0">
      <selection sqref="A1:C5"/>
    </sheetView>
  </sheetViews>
  <sheetFormatPr defaultRowHeight="15" x14ac:dyDescent="0.25"/>
  <sheetData>
    <row r="1" spans="1:3" s="4" customFormat="1" ht="45" x14ac:dyDescent="0.25">
      <c r="A1" s="1" t="s">
        <v>0</v>
      </c>
      <c r="B1" s="2" t="s">
        <v>10</v>
      </c>
      <c r="C1" s="1" t="s">
        <v>29</v>
      </c>
    </row>
    <row r="2" spans="1:3" x14ac:dyDescent="0.25">
      <c r="A2" s="3">
        <v>3</v>
      </c>
      <c r="B2" s="3">
        <v>1</v>
      </c>
      <c r="C2" s="3">
        <f>0.125*B2+0.4375</f>
        <v>0.5625</v>
      </c>
    </row>
    <row r="3" spans="1:3" x14ac:dyDescent="0.25">
      <c r="A3" s="3">
        <v>4</v>
      </c>
      <c r="B3" s="3">
        <v>1</v>
      </c>
      <c r="C3" s="3">
        <f t="shared" ref="C3:C5" si="0">0.125*B3+0.4375</f>
        <v>0.5625</v>
      </c>
    </row>
    <row r="4" spans="1:3" x14ac:dyDescent="0.25">
      <c r="A4" s="3">
        <v>6</v>
      </c>
      <c r="B4" s="3">
        <v>1</v>
      </c>
      <c r="C4" s="3">
        <f t="shared" si="0"/>
        <v>0.5625</v>
      </c>
    </row>
    <row r="5" spans="1:3" x14ac:dyDescent="0.25">
      <c r="A5" s="3">
        <v>7</v>
      </c>
      <c r="B5" s="3">
        <v>1</v>
      </c>
      <c r="C5" s="3">
        <f t="shared" si="0"/>
        <v>0.5625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F607-02B9-4588-86A4-A1BCB5F8F0F8}">
  <dimension ref="A1:Q5"/>
  <sheetViews>
    <sheetView topLeftCell="E1" workbookViewId="0">
      <selection activeCell="N19" sqref="N19"/>
    </sheetView>
  </sheetViews>
  <sheetFormatPr defaultRowHeight="15" x14ac:dyDescent="0.25"/>
  <cols>
    <col min="17" max="17" width="17.5703125" customWidth="1"/>
  </cols>
  <sheetData>
    <row r="1" spans="1:17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30</v>
      </c>
      <c r="K1" s="2" t="s">
        <v>22</v>
      </c>
      <c r="L1" s="2" t="s">
        <v>24</v>
      </c>
      <c r="M1" s="2" t="s">
        <v>25</v>
      </c>
      <c r="N1" s="1" t="s">
        <v>29</v>
      </c>
      <c r="O1" s="2" t="s">
        <v>31</v>
      </c>
      <c r="P1" s="2" t="s">
        <v>32</v>
      </c>
      <c r="Q1" s="2" t="s">
        <v>33</v>
      </c>
    </row>
    <row r="2" spans="1:17" x14ac:dyDescent="0.25">
      <c r="A2" s="3">
        <v>3</v>
      </c>
      <c r="B2" s="3">
        <v>18</v>
      </c>
      <c r="C2" s="3">
        <v>24</v>
      </c>
      <c r="D2" s="3">
        <v>900</v>
      </c>
      <c r="E2" s="3">
        <f>63000*C2/D2</f>
        <v>1680</v>
      </c>
      <c r="F2" s="3">
        <v>6.5449999999999999</v>
      </c>
      <c r="G2" s="3">
        <v>2.75</v>
      </c>
      <c r="H2" s="3">
        <v>35</v>
      </c>
      <c r="I2" s="3">
        <v>20</v>
      </c>
      <c r="J2" s="3">
        <v>2300</v>
      </c>
      <c r="K2" s="3">
        <v>1.2732445095867333</v>
      </c>
      <c r="L2" s="3">
        <v>1.5</v>
      </c>
      <c r="M2" s="3">
        <v>1.1035999999999999</v>
      </c>
      <c r="N2" s="3">
        <f>0.125*1+0.4375</f>
        <v>0.5625</v>
      </c>
      <c r="O2" s="3">
        <v>1.5</v>
      </c>
      <c r="P2" s="3">
        <v>9.6000000000000002E-2</v>
      </c>
      <c r="Q2" s="3">
        <f>J2*SQRT((2*E2*L2*K2*M2*N2*O2)/(POWER(G2,2)*P2))</f>
        <v>208662.03509459819</v>
      </c>
    </row>
    <row r="3" spans="1:17" x14ac:dyDescent="0.25">
      <c r="A3" s="3">
        <v>4</v>
      </c>
      <c r="B3" s="3">
        <v>36</v>
      </c>
      <c r="C3" s="3">
        <v>24</v>
      </c>
      <c r="D3" s="3">
        <v>450</v>
      </c>
      <c r="E3" s="3">
        <f t="shared" ref="E3:E5" si="0">63000*C3/D3</f>
        <v>3360</v>
      </c>
      <c r="F3" s="3">
        <v>6.5449999999999999</v>
      </c>
      <c r="G3" s="3">
        <v>5.5</v>
      </c>
      <c r="H3" s="3">
        <v>35</v>
      </c>
      <c r="I3" s="3">
        <v>20</v>
      </c>
      <c r="J3" s="3">
        <v>2300</v>
      </c>
      <c r="K3" s="3">
        <v>1.2732445095867333</v>
      </c>
      <c r="L3" s="3">
        <v>1.5</v>
      </c>
      <c r="M3" s="3">
        <v>1.1035999999999999</v>
      </c>
      <c r="N3" s="3">
        <f t="shared" ref="N3:N5" si="1">0.125*1+0.4375</f>
        <v>0.5625</v>
      </c>
      <c r="O3" s="3">
        <v>1.5</v>
      </c>
      <c r="P3" s="3">
        <v>9.6000000000000002E-2</v>
      </c>
      <c r="Q3" s="3">
        <f t="shared" ref="Q3:Q5" si="2">J3*SQRT((2*E3*L3*K3*M3*N3*O3)/(POWER(G3,2)*P3))</f>
        <v>147546.33999157575</v>
      </c>
    </row>
    <row r="4" spans="1:17" x14ac:dyDescent="0.25">
      <c r="A4" s="3">
        <v>6</v>
      </c>
      <c r="B4" s="3">
        <v>18</v>
      </c>
      <c r="C4" s="3">
        <v>16</v>
      </c>
      <c r="D4" s="3">
        <v>1350</v>
      </c>
      <c r="E4" s="3">
        <f t="shared" si="0"/>
        <v>746.66666666666663</v>
      </c>
      <c r="F4" s="3">
        <v>6.5449999999999999</v>
      </c>
      <c r="G4" s="3">
        <v>2.75</v>
      </c>
      <c r="H4" s="3">
        <v>35</v>
      </c>
      <c r="I4" s="3">
        <v>20</v>
      </c>
      <c r="J4" s="3">
        <v>2300</v>
      </c>
      <c r="K4" s="3">
        <v>1.1937553599734296</v>
      </c>
      <c r="L4" s="3">
        <v>1.5</v>
      </c>
      <c r="M4" s="3">
        <v>1.1035999999999999</v>
      </c>
      <c r="N4" s="3">
        <f t="shared" si="1"/>
        <v>0.5625</v>
      </c>
      <c r="O4" s="3">
        <v>1.5</v>
      </c>
      <c r="P4" s="3">
        <v>9.6000000000000002E-2</v>
      </c>
      <c r="Q4" s="3">
        <f t="shared" si="2"/>
        <v>134695.76492632509</v>
      </c>
    </row>
    <row r="5" spans="1:17" x14ac:dyDescent="0.25">
      <c r="A5" s="3">
        <v>7</v>
      </c>
      <c r="B5" s="3">
        <v>36</v>
      </c>
      <c r="C5" s="3">
        <v>16</v>
      </c>
      <c r="D5" s="3">
        <v>675</v>
      </c>
      <c r="E5" s="3">
        <f t="shared" si="0"/>
        <v>1493.3333333333333</v>
      </c>
      <c r="F5" s="3">
        <v>6.5449999999999999</v>
      </c>
      <c r="G5" s="3">
        <v>5.5</v>
      </c>
      <c r="H5" s="3">
        <v>35</v>
      </c>
      <c r="I5" s="3">
        <v>20</v>
      </c>
      <c r="J5" s="3">
        <v>2300</v>
      </c>
      <c r="K5" s="3">
        <v>1.1937553599734296</v>
      </c>
      <c r="L5" s="3">
        <v>1.5</v>
      </c>
      <c r="M5" s="3">
        <v>1.1035999999999999</v>
      </c>
      <c r="N5" s="3">
        <f t="shared" si="1"/>
        <v>0.5625</v>
      </c>
      <c r="O5" s="3">
        <v>1.5</v>
      </c>
      <c r="P5" s="3">
        <v>9.6000000000000002E-2</v>
      </c>
      <c r="Q5" s="3">
        <f t="shared" si="2"/>
        <v>95244.288776513597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A2DB41D08734A9FD373FD8CF083E0" ma:contentTypeVersion="9" ma:contentTypeDescription="Create a new document." ma:contentTypeScope="" ma:versionID="1681d0473a7bcb7110b152e04601379b">
  <xsd:schema xmlns:xsd="http://www.w3.org/2001/XMLSchema" xmlns:xs="http://www.w3.org/2001/XMLSchema" xmlns:p="http://schemas.microsoft.com/office/2006/metadata/properties" xmlns:ns2="26e44680-a18d-4bd5-b27f-4f889f5c35c9" xmlns:ns3="00c6eed5-55d1-4f7d-8820-a1f0b06d1240" targetNamespace="http://schemas.microsoft.com/office/2006/metadata/properties" ma:root="true" ma:fieldsID="6ab61d30aeee52c54f851c0a2e28d01e" ns2:_="" ns3:_="">
    <xsd:import namespace="26e44680-a18d-4bd5-b27f-4f889f5c35c9"/>
    <xsd:import namespace="00c6eed5-55d1-4f7d-8820-a1f0b06d1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44680-a18d-4bd5-b27f-4f889f5c3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111843b-6948-4e45-a4d0-217e70d3d4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6eed5-55d1-4f7d-8820-a1f0b06d124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6c8e234-cf1a-4616-bd9b-9bfae1923567}" ma:internalName="TaxCatchAll" ma:showField="CatchAllData" ma:web="00c6eed5-55d1-4f7d-8820-a1f0b06d12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CC9D9A-F034-44CE-8815-4D643C82EB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2DF28-1328-49BD-BCF3-858C0A13C1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44680-a18d-4bd5-b27f-4f889f5c35c9"/>
    <ds:schemaRef ds:uri="00c6eed5-55d1-4f7d-8820-a1f0b06d1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Iteration 2 (decrease Pd)</vt:lpstr>
      <vt:lpstr>Iteration 3 (decrease Teeth)</vt:lpstr>
      <vt:lpstr>Iteration 4 (decrease Pd)</vt:lpstr>
      <vt:lpstr>Kv</vt:lpstr>
      <vt:lpstr>Ks</vt:lpstr>
      <vt:lpstr>St</vt:lpstr>
      <vt:lpstr>Cs</vt:lpstr>
      <vt:lpstr>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Naseer</dc:creator>
  <cp:keywords/>
  <dc:description/>
  <cp:lastModifiedBy>Mohammad Umer</cp:lastModifiedBy>
  <cp:revision/>
  <dcterms:created xsi:type="dcterms:W3CDTF">2023-10-12T04:36:18Z</dcterms:created>
  <dcterms:modified xsi:type="dcterms:W3CDTF">2023-11-30T19:46:26Z</dcterms:modified>
  <cp:category/>
  <cp:contentStatus/>
</cp:coreProperties>
</file>