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iveconcordia.sharepoint.com/teams/Mech390Project203/Shared Documents/Design/"/>
    </mc:Choice>
  </mc:AlternateContent>
  <xr:revisionPtr revIDLastSave="206" documentId="13_ncr:1_{72852C38-62FF-4981-B279-E84D2BE3BDA5}" xr6:coauthVersionLast="47" xr6:coauthVersionMax="47" xr10:uidLastSave="{09BE5A44-592B-4AC6-9C8A-F6618145F950}"/>
  <bookViews>
    <workbookView minimized="1" xWindow="1710" yWindow="825" windowWidth="15300" windowHeight="11160" activeTab="2" xr2:uid="{2D697E6B-788F-40DB-A085-A235A66833D3}"/>
  </bookViews>
  <sheets>
    <sheet name="Basic" sheetId="1" r:id="rId1"/>
    <sheet name="Pitch Line" sheetId="6" r:id="rId2"/>
    <sheet name="Km" sheetId="2" r:id="rId3"/>
    <sheet name="St" sheetId="3" r:id="rId4"/>
    <sheet name="I factor" sheetId="4" r:id="rId5"/>
    <sheet name="Sc" sheetId="5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" i="5" l="1"/>
  <c r="M5" i="5" s="1"/>
  <c r="J5" i="5"/>
  <c r="K5" i="3"/>
  <c r="L5" i="3" s="1"/>
  <c r="H4" i="5"/>
  <c r="L4" i="5" s="1"/>
  <c r="M4" i="5" s="1"/>
  <c r="K4" i="3"/>
  <c r="M3" i="5"/>
  <c r="M2" i="5"/>
  <c r="L3" i="3"/>
  <c r="L4" i="3"/>
  <c r="L2" i="3"/>
  <c r="J4" i="5"/>
  <c r="H4" i="3"/>
  <c r="D3" i="4"/>
  <c r="L3" i="4" s="1"/>
  <c r="F3" i="4"/>
  <c r="G3" i="4"/>
  <c r="H3" i="4" s="1"/>
  <c r="K3" i="4"/>
  <c r="N3" i="4"/>
  <c r="W3" i="4"/>
  <c r="Z3" i="4" s="1"/>
  <c r="AB3" i="4"/>
  <c r="AC3" i="4"/>
  <c r="D4" i="4"/>
  <c r="F4" i="4"/>
  <c r="G4" i="4"/>
  <c r="I4" i="4" s="1"/>
  <c r="AD4" i="4" s="1"/>
  <c r="H4" i="4"/>
  <c r="R4" i="4" s="1"/>
  <c r="K4" i="4"/>
  <c r="L4" i="4"/>
  <c r="AG4" i="4" s="1"/>
  <c r="AH4" i="4" s="1"/>
  <c r="N4" i="4"/>
  <c r="O4" i="4"/>
  <c r="Q4" i="4"/>
  <c r="W4" i="4"/>
  <c r="Z4" i="4" s="1"/>
  <c r="AB4" i="4"/>
  <c r="AC4" i="4"/>
  <c r="D6" i="4"/>
  <c r="F6" i="4"/>
  <c r="G6" i="4" s="1"/>
  <c r="K6" i="4"/>
  <c r="L6" i="4"/>
  <c r="AG6" i="4" s="1"/>
  <c r="AH6" i="4" s="1"/>
  <c r="N6" i="4"/>
  <c r="Q6" i="4"/>
  <c r="AJ6" i="4" s="1"/>
  <c r="W6" i="4"/>
  <c r="Z6" i="4" s="1"/>
  <c r="AB6" i="4"/>
  <c r="AC6" i="4"/>
  <c r="D8" i="4"/>
  <c r="F8" i="4"/>
  <c r="G8" i="4" s="1"/>
  <c r="K8" i="4"/>
  <c r="L8" i="4"/>
  <c r="AG8" i="4" s="1"/>
  <c r="AH8" i="4" s="1"/>
  <c r="N8" i="4"/>
  <c r="Q8" i="4"/>
  <c r="W8" i="4"/>
  <c r="Z8" i="4" s="1"/>
  <c r="AB8" i="4"/>
  <c r="AC8" i="4"/>
  <c r="AJ8" i="4"/>
  <c r="S4" i="4" l="1"/>
  <c r="O3" i="4"/>
  <c r="Q3" i="4"/>
  <c r="AJ4" i="4"/>
  <c r="I3" i="4"/>
  <c r="AD3" i="4" s="1"/>
  <c r="H6" i="4"/>
  <c r="R6" i="4" s="1"/>
  <c r="I6" i="4"/>
  <c r="AD6" i="4" s="1"/>
  <c r="S6" i="4"/>
  <c r="O6" i="4"/>
  <c r="H8" i="4"/>
  <c r="R8" i="4" s="1"/>
  <c r="I8" i="4"/>
  <c r="AD8" i="4" s="1"/>
  <c r="O8" i="4"/>
  <c r="AJ3" i="4" l="1"/>
  <c r="R3" i="4"/>
  <c r="AG3" i="4"/>
  <c r="AH3" i="4" s="1"/>
  <c r="AI4" i="4"/>
  <c r="T4" i="4"/>
  <c r="U4" i="4" s="1"/>
  <c r="V4" i="4" s="1"/>
  <c r="T6" i="4"/>
  <c r="AI6" i="4"/>
  <c r="U6" i="4"/>
  <c r="V6" i="4" s="1"/>
  <c r="S8" i="4"/>
  <c r="N2" i="1"/>
  <c r="N3" i="1"/>
  <c r="N4" i="1"/>
  <c r="N5" i="1"/>
  <c r="N6" i="1"/>
  <c r="N7" i="1"/>
  <c r="N8" i="1"/>
  <c r="N9" i="1"/>
  <c r="L34" i="1"/>
  <c r="J34" i="1"/>
  <c r="M34" i="1" s="1"/>
  <c r="H34" i="1"/>
  <c r="L33" i="1"/>
  <c r="J33" i="1"/>
  <c r="M33" i="1" s="1"/>
  <c r="H33" i="1"/>
  <c r="L32" i="1"/>
  <c r="J32" i="1"/>
  <c r="M32" i="1" s="1"/>
  <c r="H32" i="1"/>
  <c r="L31" i="1"/>
  <c r="J31" i="1"/>
  <c r="M31" i="1" s="1"/>
  <c r="H31" i="1"/>
  <c r="L30" i="1"/>
  <c r="J30" i="1"/>
  <c r="M30" i="1" s="1"/>
  <c r="H30" i="1"/>
  <c r="L29" i="1"/>
  <c r="J29" i="1"/>
  <c r="M29" i="1" s="1"/>
  <c r="H29" i="1"/>
  <c r="L28" i="1"/>
  <c r="J28" i="1"/>
  <c r="M28" i="1" s="1"/>
  <c r="H28" i="1"/>
  <c r="L27" i="1"/>
  <c r="J27" i="1"/>
  <c r="M27" i="1" s="1"/>
  <c r="H27" i="1"/>
  <c r="L22" i="1"/>
  <c r="J22" i="1"/>
  <c r="M22" i="1" s="1"/>
  <c r="H22" i="1"/>
  <c r="L21" i="1"/>
  <c r="J21" i="1"/>
  <c r="M21" i="1" s="1"/>
  <c r="H21" i="1"/>
  <c r="L20" i="1"/>
  <c r="J20" i="1"/>
  <c r="M20" i="1" s="1"/>
  <c r="H20" i="1"/>
  <c r="L19" i="1"/>
  <c r="J19" i="1"/>
  <c r="M19" i="1" s="1"/>
  <c r="H19" i="1"/>
  <c r="L18" i="1"/>
  <c r="J18" i="1"/>
  <c r="M18" i="1" s="1"/>
  <c r="H18" i="1"/>
  <c r="L17" i="1"/>
  <c r="J17" i="1"/>
  <c r="M17" i="1" s="1"/>
  <c r="H17" i="1"/>
  <c r="L16" i="1"/>
  <c r="J16" i="1"/>
  <c r="M16" i="1" s="1"/>
  <c r="H16" i="1"/>
  <c r="L15" i="1"/>
  <c r="J15" i="1"/>
  <c r="M15" i="1" s="1"/>
  <c r="H15" i="1"/>
  <c r="M3" i="1"/>
  <c r="J9" i="1"/>
  <c r="M9" i="1"/>
  <c r="H9" i="1"/>
  <c r="L9" i="1"/>
  <c r="M4" i="1"/>
  <c r="J2" i="1"/>
  <c r="P3" i="1"/>
  <c r="P5" i="1"/>
  <c r="P6" i="1"/>
  <c r="P7" i="1"/>
  <c r="P8" i="1"/>
  <c r="J3" i="1"/>
  <c r="P4" i="1"/>
  <c r="M2" i="1"/>
  <c r="O2" i="1"/>
  <c r="P2" i="1" s="1"/>
  <c r="B3" i="2"/>
  <c r="B2" i="2"/>
  <c r="L3" i="5"/>
  <c r="L2" i="5"/>
  <c r="AC5" i="4"/>
  <c r="AD5" i="4" s="1"/>
  <c r="AC7" i="4"/>
  <c r="AD7" i="4" s="1"/>
  <c r="AC2" i="4"/>
  <c r="AD2" i="4" s="1"/>
  <c r="W5" i="4"/>
  <c r="Z5" i="4" s="1"/>
  <c r="W7" i="4"/>
  <c r="Z7" i="4" s="1"/>
  <c r="W2" i="4"/>
  <c r="Z2" i="4" s="1"/>
  <c r="P7" i="4"/>
  <c r="P5" i="4"/>
  <c r="P2" i="4"/>
  <c r="M7" i="4"/>
  <c r="M5" i="4"/>
  <c r="M2" i="4"/>
  <c r="K5" i="4"/>
  <c r="K7" i="4"/>
  <c r="K2" i="4"/>
  <c r="D5" i="4"/>
  <c r="AB5" i="4" s="1"/>
  <c r="D7" i="4"/>
  <c r="AB7" i="4" s="1"/>
  <c r="D2" i="4"/>
  <c r="AB2" i="4" s="1"/>
  <c r="F5" i="4"/>
  <c r="G5" i="4" s="1"/>
  <c r="I5" i="4" s="1"/>
  <c r="F7" i="4"/>
  <c r="G7" i="4" s="1"/>
  <c r="I7" i="4" s="1"/>
  <c r="F2" i="4"/>
  <c r="G2" i="4" s="1"/>
  <c r="I2" i="4" s="1"/>
  <c r="K3" i="3"/>
  <c r="K2" i="3"/>
  <c r="D3" i="2"/>
  <c r="D2" i="2"/>
  <c r="C3" i="2"/>
  <c r="E3" i="2" s="1"/>
  <c r="C2" i="2"/>
  <c r="E2" i="2" s="1"/>
  <c r="H3" i="1"/>
  <c r="H4" i="1"/>
  <c r="H5" i="1"/>
  <c r="H6" i="1"/>
  <c r="H7" i="1"/>
  <c r="H8" i="1"/>
  <c r="H2" i="1"/>
  <c r="L3" i="1"/>
  <c r="L4" i="1"/>
  <c r="L5" i="1"/>
  <c r="L6" i="1"/>
  <c r="L7" i="1"/>
  <c r="L8" i="1"/>
  <c r="L2" i="1"/>
  <c r="O3" i="1"/>
  <c r="J4" i="1"/>
  <c r="O4" i="1" s="1"/>
  <c r="J5" i="1"/>
  <c r="M5" i="1" s="1"/>
  <c r="O5" i="1" s="1"/>
  <c r="J6" i="1"/>
  <c r="M6" i="1" s="1"/>
  <c r="O6" i="1" s="1"/>
  <c r="J7" i="1"/>
  <c r="M7" i="1" s="1"/>
  <c r="O7" i="1" s="1"/>
  <c r="J8" i="1"/>
  <c r="M8" i="1" s="1"/>
  <c r="Y4" i="4" l="1"/>
  <c r="AA4" i="4" s="1"/>
  <c r="S3" i="4"/>
  <c r="Y6" i="4"/>
  <c r="AA6" i="4" s="1"/>
  <c r="T8" i="4"/>
  <c r="U8" i="4" s="1"/>
  <c r="V8" i="4" s="1"/>
  <c r="AI8" i="4"/>
  <c r="O27" i="1"/>
  <c r="N27" i="1"/>
  <c r="P27" i="1" s="1"/>
  <c r="O28" i="1"/>
  <c r="N28" i="1"/>
  <c r="P28" i="1" s="1"/>
  <c r="O29" i="1"/>
  <c r="N29" i="1"/>
  <c r="P29" i="1" s="1"/>
  <c r="O30" i="1"/>
  <c r="N30" i="1"/>
  <c r="P30" i="1" s="1"/>
  <c r="O31" i="1"/>
  <c r="N31" i="1"/>
  <c r="P31" i="1" s="1"/>
  <c r="O32" i="1"/>
  <c r="N32" i="1"/>
  <c r="P32" i="1" s="1"/>
  <c r="O33" i="1"/>
  <c r="N33" i="1"/>
  <c r="P33" i="1" s="1"/>
  <c r="O34" i="1"/>
  <c r="N34" i="1"/>
  <c r="P34" i="1" s="1"/>
  <c r="O15" i="1"/>
  <c r="N15" i="1"/>
  <c r="P15" i="1" s="1"/>
  <c r="O16" i="1"/>
  <c r="N16" i="1"/>
  <c r="P16" i="1" s="1"/>
  <c r="O17" i="1"/>
  <c r="N17" i="1"/>
  <c r="P17" i="1" s="1"/>
  <c r="O18" i="1"/>
  <c r="N18" i="1"/>
  <c r="P18" i="1" s="1"/>
  <c r="O19" i="1"/>
  <c r="N19" i="1"/>
  <c r="P19" i="1" s="1"/>
  <c r="O20" i="1"/>
  <c r="N20" i="1"/>
  <c r="P20" i="1" s="1"/>
  <c r="O21" i="1"/>
  <c r="N21" i="1"/>
  <c r="P21" i="1" s="1"/>
  <c r="O22" i="1"/>
  <c r="N22" i="1"/>
  <c r="P22" i="1" s="1"/>
  <c r="P9" i="1"/>
  <c r="O9" i="1"/>
  <c r="H2" i="4"/>
  <c r="H7" i="4"/>
  <c r="L2" i="4"/>
  <c r="N5" i="4"/>
  <c r="H5" i="4"/>
  <c r="L7" i="4"/>
  <c r="Q2" i="4"/>
  <c r="AJ2" i="4" s="1"/>
  <c r="N7" i="4"/>
  <c r="Q7" i="4"/>
  <c r="AJ7" i="4" s="1"/>
  <c r="L5" i="4"/>
  <c r="N2" i="4"/>
  <c r="Q5" i="4"/>
  <c r="AJ5" i="4" s="1"/>
  <c r="O8" i="1"/>
  <c r="T3" i="4" l="1"/>
  <c r="U3" i="4" s="1"/>
  <c r="V3" i="4" s="1"/>
  <c r="AI3" i="4"/>
  <c r="AE4" i="4"/>
  <c r="AF4" i="4" s="1"/>
  <c r="AK4" i="4" s="1"/>
  <c r="AE6" i="4"/>
  <c r="AF6" i="4" s="1"/>
  <c r="AK6" i="4" s="1"/>
  <c r="Y8" i="4"/>
  <c r="AA8" i="4" s="1"/>
  <c r="O2" i="4"/>
  <c r="AG2" i="4"/>
  <c r="AH2" i="4" s="1"/>
  <c r="O7" i="4"/>
  <c r="AG7" i="4"/>
  <c r="AH7" i="4" s="1"/>
  <c r="O5" i="4"/>
  <c r="AG5" i="4"/>
  <c r="AH5" i="4" s="1"/>
  <c r="R7" i="4"/>
  <c r="R2" i="4"/>
  <c r="R5" i="4"/>
  <c r="Y3" i="4" l="1"/>
  <c r="AA3" i="4" s="1"/>
  <c r="AE3" i="4"/>
  <c r="AF3" i="4" s="1"/>
  <c r="AK3" i="4" s="1"/>
  <c r="AE8" i="4"/>
  <c r="AF8" i="4" s="1"/>
  <c r="AK8" i="4" s="1"/>
  <c r="S7" i="4"/>
  <c r="S2" i="4"/>
  <c r="S5" i="4"/>
  <c r="T5" i="4" l="1"/>
  <c r="U5" i="4" s="1"/>
  <c r="V5" i="4" s="1"/>
  <c r="AI5" i="4"/>
  <c r="T2" i="4"/>
  <c r="U2" i="4" s="1"/>
  <c r="V2" i="4" s="1"/>
  <c r="AI2" i="4"/>
  <c r="T7" i="4"/>
  <c r="U7" i="4" s="1"/>
  <c r="V7" i="4" s="1"/>
  <c r="AI7" i="4"/>
  <c r="Y7" i="4" l="1"/>
  <c r="AA7" i="4" s="1"/>
  <c r="AE7" i="4"/>
  <c r="AF7" i="4" s="1"/>
  <c r="AK7" i="4" s="1"/>
  <c r="Y2" i="4"/>
  <c r="AA2" i="4" s="1"/>
  <c r="Y5" i="4"/>
  <c r="AA5" i="4" s="1"/>
  <c r="AE5" i="4" l="1"/>
  <c r="AF5" i="4" s="1"/>
  <c r="AK5" i="4" s="1"/>
  <c r="AE2" i="4"/>
  <c r="AF2" i="4" s="1"/>
  <c r="AK2" i="4" s="1"/>
</calcChain>
</file>

<file path=xl/sharedStrings.xml><?xml version="1.0" encoding="utf-8"?>
<sst xmlns="http://schemas.openxmlformats.org/spreadsheetml/2006/main" count="180" uniqueCount="74">
  <si>
    <t>Gear #</t>
  </si>
  <si>
    <t>No.
Teeth</t>
  </si>
  <si>
    <t>Gear
Diameter (in)</t>
  </si>
  <si>
    <t>Max Power 
Transmitted (hp)</t>
  </si>
  <si>
    <t>Face Width
(in)</t>
  </si>
  <si>
    <t>Helix Angle 
(Degrees)</t>
  </si>
  <si>
    <t>Normal
Pressure Angle
(Degrees)</t>
  </si>
  <si>
    <t>Transverse
Pressure Angle
(Degrees)</t>
  </si>
  <si>
    <t>Rotational 
Speed (rpm)</t>
  </si>
  <si>
    <t>Torque
(lb-in)</t>
  </si>
  <si>
    <t>Number of
Load Cycles / 
Revolution</t>
  </si>
  <si>
    <t>Pitch Line 
Velocity (fpm)</t>
  </si>
  <si>
    <t>Tangential
 Force (lb)</t>
  </si>
  <si>
    <t>Radial
Force (lb)</t>
  </si>
  <si>
    <t>Axial 
Force (lb)</t>
  </si>
  <si>
    <t>Normal Force (lb)</t>
  </si>
  <si>
    <t>Hand of Helical Gears</t>
  </si>
  <si>
    <t>Hand direction arbitrary, along parallel shafts
hand direction between meshing egars must be
opposite.</t>
  </si>
  <si>
    <t>Right</t>
  </si>
  <si>
    <t>No Power Flow</t>
  </si>
  <si>
    <t>Left</t>
  </si>
  <si>
    <t>Mode 3</t>
  </si>
  <si>
    <t>Mode 1</t>
  </si>
  <si>
    <t>Mode 2</t>
  </si>
  <si>
    <t>F/DP</t>
  </si>
  <si>
    <t>Cpf</t>
  </si>
  <si>
    <t>Cma</t>
  </si>
  <si>
    <t>Km</t>
  </si>
  <si>
    <t>Ko</t>
  </si>
  <si>
    <t>Ks</t>
  </si>
  <si>
    <t>Kb</t>
  </si>
  <si>
    <t>Kv</t>
  </si>
  <si>
    <t>Pd</t>
  </si>
  <si>
    <t>Geometry
Factor, J</t>
  </si>
  <si>
    <t>St
(psi)</t>
  </si>
  <si>
    <t>Normal 
Diametral Pitch</t>
  </si>
  <si>
    <t>mG</t>
  </si>
  <si>
    <t>R1</t>
  </si>
  <si>
    <t>Rb1</t>
  </si>
  <si>
    <t>Rb2</t>
  </si>
  <si>
    <t>pb</t>
  </si>
  <si>
    <t>Addendum</t>
  </si>
  <si>
    <t>Ro1</t>
  </si>
  <si>
    <t>Adjusted
Ro1</t>
  </si>
  <si>
    <t>Ro2</t>
  </si>
  <si>
    <t>Adjusted
Ro2</t>
  </si>
  <si>
    <t>c5</t>
  </si>
  <si>
    <t>Cr</t>
  </si>
  <si>
    <t>Adjusted
 Cr</t>
  </si>
  <si>
    <t>Phi_r</t>
  </si>
  <si>
    <t>c6</t>
  </si>
  <si>
    <t xml:space="preserve">c1 </t>
  </si>
  <si>
    <t>z</t>
  </si>
  <si>
    <t>m_p</t>
  </si>
  <si>
    <t>m_f</t>
  </si>
  <si>
    <t>C_phi</t>
  </si>
  <si>
    <t>nr</t>
  </si>
  <si>
    <t>na</t>
  </si>
  <si>
    <t>1-nr</t>
  </si>
  <si>
    <t>Adjusted
F</t>
  </si>
  <si>
    <t>pN</t>
  </si>
  <si>
    <t>cos (phi_b)</t>
  </si>
  <si>
    <t>L_min</t>
  </si>
  <si>
    <t>mN</t>
  </si>
  <si>
    <t>Rm1</t>
  </si>
  <si>
    <t>Rho1</t>
  </si>
  <si>
    <t>Rho2</t>
  </si>
  <si>
    <t>d</t>
  </si>
  <si>
    <t>I</t>
  </si>
  <si>
    <t>Geometry
Factor, I</t>
  </si>
  <si>
    <t>Cp</t>
  </si>
  <si>
    <t>Sc
(psi)</t>
  </si>
  <si>
    <t>Sac
(psi)</t>
  </si>
  <si>
    <t>Sat
(psi)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</si>
</sst>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/>
    <xf numFmtId="0" fontId="1" fillId="0" borderId="1" xfId="0" applyFont="1" applyBorder="1"/>
    <xf numFmtId="0" fontId="0" fillId="0" borderId="2" xfId="0" applyBorder="1"/>
    <xf numFmtId="0" fontId="0" fillId="0" borderId="3" xfId="0" applyBorder="1"/>
    <xf numFmtId="0" fontId="0" fillId="2" borderId="1" xfId="0" applyFill="1" applyBorder="1"/>
    <xf numFmtId="0" fontId="0" fillId="2" borderId="2" xfId="0" applyFill="1" applyBorder="1"/>
    <xf numFmtId="0" fontId="0" fillId="2" borderId="0" xfId="0" applyFill="1"/>
    <xf numFmtId="0" fontId="0" fillId="2" borderId="3" xfId="0" applyFill="1" applyBorder="1"/>
    <xf numFmtId="0" fontId="1" fillId="0" borderId="4" xfId="0" applyFont="1" applyBorder="1" applyAlignment="1">
      <alignment horizontal="center" vertical="center" wrapText="1"/>
    </xf>
    <xf numFmtId="0" fontId="0" fillId="0" borderId="4" xfId="0" applyBorder="1"/>
    <xf numFmtId="0" fontId="0" fillId="0" borderId="5" xfId="0" applyBorder="1"/>
    <xf numFmtId="0" fontId="0" fillId="0" borderId="0" xfId="0" applyAlignment="1">
      <alignment horizontal="center" vertical="center" wrapText="1"/>
    </xf>
    <xf numFmtId="0" fontId="1" fillId="0" borderId="1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38B05-E83A-4A4E-9923-2EE2BC7568D7}">
  <dimension ref="A1:S36"/>
  <sheetViews>
    <sheetView zoomScale="55" zoomScaleNormal="55" workbookViewId="0">
      <selection activeCell="L1" sqref="L1:L9"/>
    </sheetView>
  </sheetViews>
  <sheetFormatPr defaultRowHeight="15" x14ac:dyDescent="0.25"/>
  <cols>
    <col min="3" max="3" width="18.28515625" customWidth="1"/>
    <col min="4" max="8" width="17.140625" customWidth="1"/>
    <col min="9" max="9" width="10" customWidth="1"/>
    <col min="11" max="11" width="13.42578125" customWidth="1"/>
    <col min="12" max="12" width="13.140625" customWidth="1"/>
    <col min="13" max="13" width="14" customWidth="1"/>
    <col min="14" max="14" width="10.5703125" customWidth="1"/>
    <col min="15" max="15" width="10.140625" customWidth="1"/>
  </cols>
  <sheetData>
    <row r="1" spans="1:19" ht="78" customHeight="1" x14ac:dyDescent="0.25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13" t="s">
        <v>15</v>
      </c>
      <c r="Q1" s="13" t="s">
        <v>16</v>
      </c>
      <c r="R1" s="16" t="s">
        <v>17</v>
      </c>
      <c r="S1" s="16"/>
    </row>
    <row r="2" spans="1:19" ht="40.5" customHeight="1" x14ac:dyDescent="0.25">
      <c r="A2" s="5">
        <v>1</v>
      </c>
      <c r="B2" s="5">
        <v>18</v>
      </c>
      <c r="C2" s="5">
        <v>2.25</v>
      </c>
      <c r="D2" s="5">
        <v>44</v>
      </c>
      <c r="E2" s="5">
        <v>3</v>
      </c>
      <c r="F2" s="5">
        <v>15</v>
      </c>
      <c r="G2" s="5">
        <v>20</v>
      </c>
      <c r="H2" s="5">
        <f>DEGREES(ATAN(TAN(RADIANS(G2))/COS(RADIANS(F2))))</f>
        <v>20.646896487046469</v>
      </c>
      <c r="I2" s="5">
        <v>2700</v>
      </c>
      <c r="J2" s="5">
        <f>63000*D2/I2</f>
        <v>1026.6666666666667</v>
      </c>
      <c r="K2" s="5">
        <v>2</v>
      </c>
      <c r="L2" s="5">
        <f>PI()*C2*I2/12</f>
        <v>1590.4312808798329</v>
      </c>
      <c r="M2" s="5">
        <f>J2/(C2/2)</f>
        <v>912.59259259259261</v>
      </c>
      <c r="N2" s="5">
        <f t="shared" ref="N2:N8" si="0">M2*TAN(RADIANS(G2))/COS(RADIANS(F2))</f>
        <v>343.87375373492074</v>
      </c>
      <c r="O2" s="5">
        <f>M2*TAN(RADIANS(F2))</f>
        <v>244.52844820380975</v>
      </c>
      <c r="P2" s="14">
        <f>SQRT(M2^2+N2^2+O2^2)</f>
        <v>1005.4195942707591</v>
      </c>
      <c r="Q2" s="14" t="s">
        <v>18</v>
      </c>
      <c r="R2" s="16"/>
      <c r="S2" s="16"/>
    </row>
    <row r="3" spans="1:19" ht="40.5" customHeight="1" x14ac:dyDescent="0.25">
      <c r="A3" s="5">
        <v>5</v>
      </c>
      <c r="B3" s="5">
        <v>36</v>
      </c>
      <c r="C3" s="5">
        <v>4.5</v>
      </c>
      <c r="D3" s="5">
        <v>16</v>
      </c>
      <c r="E3" s="5">
        <v>3</v>
      </c>
      <c r="F3" s="5">
        <v>15</v>
      </c>
      <c r="G3" s="5">
        <v>20</v>
      </c>
      <c r="H3" s="5">
        <f t="shared" ref="H3:H8" si="1">DEGREES(ATAN(TAN(RADIANS(G3))/COS(RADIANS(F3))))</f>
        <v>20.646896487046469</v>
      </c>
      <c r="I3" s="5">
        <v>1350</v>
      </c>
      <c r="J3" s="5">
        <f>63000*D3/I3</f>
        <v>746.66666666666663</v>
      </c>
      <c r="K3" s="5">
        <v>1</v>
      </c>
      <c r="L3" s="5">
        <f t="shared" ref="L3:L8" si="2">PI()*C3*I3/12</f>
        <v>1590.4312808798329</v>
      </c>
      <c r="M3" s="5">
        <f>J3/(C3/2)</f>
        <v>331.85185185185185</v>
      </c>
      <c r="N3" s="5">
        <f t="shared" si="0"/>
        <v>125.04500135815299</v>
      </c>
      <c r="O3" s="5">
        <f t="shared" ref="O3:O8" si="3">M3*TAN(RADIANS(F3))</f>
        <v>88.919435710476264</v>
      </c>
      <c r="P3" s="14">
        <f t="shared" ref="P3:P8" si="4">SQRT(M3^2+N3^2+O3^2)</f>
        <v>365.60712518936691</v>
      </c>
      <c r="Q3" s="14" t="s">
        <v>18</v>
      </c>
      <c r="R3" t="s">
        <v>19</v>
      </c>
    </row>
    <row r="4" spans="1:19" ht="40.5" customHeight="1" x14ac:dyDescent="0.25">
      <c r="A4" s="5">
        <v>2</v>
      </c>
      <c r="B4" s="5">
        <v>54</v>
      </c>
      <c r="C4" s="5">
        <v>6.75</v>
      </c>
      <c r="D4" s="5">
        <v>24</v>
      </c>
      <c r="E4" s="5">
        <v>3</v>
      </c>
      <c r="F4" s="5">
        <v>15</v>
      </c>
      <c r="G4" s="5">
        <v>20</v>
      </c>
      <c r="H4" s="5">
        <f t="shared" si="1"/>
        <v>20.646896487046469</v>
      </c>
      <c r="I4" s="5">
        <v>900</v>
      </c>
      <c r="J4" s="5">
        <f t="shared" ref="J4:J8" si="5">63000*D4/I4</f>
        <v>1680</v>
      </c>
      <c r="K4" s="5">
        <v>1</v>
      </c>
      <c r="L4" s="5">
        <f t="shared" si="2"/>
        <v>1590.4312808798329</v>
      </c>
      <c r="M4" s="5">
        <f>J4/(C4/2)</f>
        <v>497.77777777777777</v>
      </c>
      <c r="N4" s="5">
        <f t="shared" si="0"/>
        <v>187.56750203722947</v>
      </c>
      <c r="O4" s="5">
        <f t="shared" si="3"/>
        <v>133.3791535657144</v>
      </c>
      <c r="P4" s="14">
        <f t="shared" si="4"/>
        <v>548.41068778405042</v>
      </c>
      <c r="Q4" s="14" t="s">
        <v>20</v>
      </c>
    </row>
    <row r="5" spans="1:19" ht="40.5" customHeight="1" x14ac:dyDescent="0.25">
      <c r="A5" s="5">
        <v>8</v>
      </c>
      <c r="B5" s="5">
        <v>18</v>
      </c>
      <c r="C5" s="5">
        <v>2.25</v>
      </c>
      <c r="D5" s="5">
        <v>20</v>
      </c>
      <c r="E5" s="5">
        <v>3</v>
      </c>
      <c r="F5" s="5">
        <v>15</v>
      </c>
      <c r="G5" s="5">
        <v>20</v>
      </c>
      <c r="H5" s="5">
        <f t="shared" si="1"/>
        <v>20.646896487046469</v>
      </c>
      <c r="I5" s="5">
        <v>2700</v>
      </c>
      <c r="J5" s="5">
        <f t="shared" si="5"/>
        <v>466.66666666666669</v>
      </c>
      <c r="K5" s="5">
        <v>1</v>
      </c>
      <c r="L5" s="5">
        <f t="shared" si="2"/>
        <v>1590.4312808798329</v>
      </c>
      <c r="M5" s="5">
        <f t="shared" ref="M5:M8" si="6">J5/(C5/2)</f>
        <v>414.81481481481484</v>
      </c>
      <c r="N5" s="5">
        <f t="shared" si="0"/>
        <v>156.30625169769124</v>
      </c>
      <c r="O5" s="5">
        <f t="shared" si="3"/>
        <v>111.14929463809534</v>
      </c>
      <c r="P5" s="14">
        <f t="shared" si="4"/>
        <v>457.00890648670872</v>
      </c>
      <c r="Q5" s="14" t="s">
        <v>18</v>
      </c>
    </row>
    <row r="6" spans="1:19" ht="40.5" customHeight="1" x14ac:dyDescent="0.25">
      <c r="A6" s="5">
        <v>9</v>
      </c>
      <c r="B6" s="5">
        <v>36</v>
      </c>
      <c r="C6" s="5">
        <v>4.5</v>
      </c>
      <c r="D6" s="5">
        <v>20</v>
      </c>
      <c r="E6" s="5">
        <v>3</v>
      </c>
      <c r="F6" s="5">
        <v>15</v>
      </c>
      <c r="G6" s="5">
        <v>20</v>
      </c>
      <c r="H6" s="5">
        <f t="shared" si="1"/>
        <v>20.646896487046469</v>
      </c>
      <c r="I6" s="5">
        <v>1350</v>
      </c>
      <c r="J6" s="5">
        <f t="shared" si="5"/>
        <v>933.33333333333337</v>
      </c>
      <c r="K6" s="5">
        <v>1</v>
      </c>
      <c r="L6" s="5">
        <f t="shared" si="2"/>
        <v>1590.4312808798329</v>
      </c>
      <c r="M6" s="5">
        <f t="shared" si="6"/>
        <v>414.81481481481484</v>
      </c>
      <c r="N6" s="5">
        <f t="shared" si="0"/>
        <v>156.30625169769124</v>
      </c>
      <c r="O6" s="5">
        <f t="shared" si="3"/>
        <v>111.14929463809534</v>
      </c>
      <c r="P6" s="14">
        <f t="shared" si="4"/>
        <v>457.00890648670872</v>
      </c>
      <c r="Q6" s="14" t="s">
        <v>20</v>
      </c>
    </row>
    <row r="7" spans="1:19" ht="40.5" customHeight="1" x14ac:dyDescent="0.25">
      <c r="A7" s="5">
        <v>10</v>
      </c>
      <c r="B7" s="5">
        <v>18</v>
      </c>
      <c r="C7" s="5">
        <v>2.25</v>
      </c>
      <c r="D7" s="5">
        <v>20</v>
      </c>
      <c r="E7" s="5">
        <v>3</v>
      </c>
      <c r="F7" s="5">
        <v>15</v>
      </c>
      <c r="G7" s="5">
        <v>20</v>
      </c>
      <c r="H7" s="5">
        <f t="shared" si="1"/>
        <v>20.646896487046469</v>
      </c>
      <c r="I7" s="5">
        <v>1350</v>
      </c>
      <c r="J7" s="5">
        <f t="shared" si="5"/>
        <v>933.33333333333337</v>
      </c>
      <c r="K7" s="5">
        <v>1</v>
      </c>
      <c r="L7" s="5">
        <f t="shared" si="2"/>
        <v>795.21564043991646</v>
      </c>
      <c r="M7" s="5">
        <f t="shared" si="6"/>
        <v>829.62962962962968</v>
      </c>
      <c r="N7" s="5">
        <f t="shared" si="0"/>
        <v>312.61250339538248</v>
      </c>
      <c r="O7" s="5">
        <f t="shared" si="3"/>
        <v>222.29858927619068</v>
      </c>
      <c r="P7" s="14">
        <f t="shared" si="4"/>
        <v>914.01781297341745</v>
      </c>
      <c r="Q7" s="14" t="s">
        <v>18</v>
      </c>
    </row>
    <row r="8" spans="1:19" ht="40.5" customHeight="1" x14ac:dyDescent="0.25">
      <c r="A8" s="5">
        <v>11</v>
      </c>
      <c r="B8" s="5">
        <v>45</v>
      </c>
      <c r="C8" s="5">
        <v>5.625</v>
      </c>
      <c r="D8" s="5">
        <v>20</v>
      </c>
      <c r="E8" s="5">
        <v>3</v>
      </c>
      <c r="F8" s="5">
        <v>15</v>
      </c>
      <c r="G8" s="5">
        <v>20</v>
      </c>
      <c r="H8" s="5">
        <f t="shared" si="1"/>
        <v>20.646896487046469</v>
      </c>
      <c r="I8" s="5">
        <v>540</v>
      </c>
      <c r="J8" s="5">
        <f t="shared" si="5"/>
        <v>2333.3333333333335</v>
      </c>
      <c r="K8" s="5">
        <v>1</v>
      </c>
      <c r="L8" s="5">
        <f t="shared" si="2"/>
        <v>795.21564043991646</v>
      </c>
      <c r="M8" s="5">
        <f t="shared" si="6"/>
        <v>829.62962962962968</v>
      </c>
      <c r="N8" s="5">
        <f t="shared" si="0"/>
        <v>312.61250339538248</v>
      </c>
      <c r="O8" s="5">
        <f t="shared" si="3"/>
        <v>222.29858927619068</v>
      </c>
      <c r="P8" s="14">
        <f t="shared" si="4"/>
        <v>914.01781297341745</v>
      </c>
      <c r="Q8" s="14" t="s">
        <v>20</v>
      </c>
    </row>
    <row r="9" spans="1:19" x14ac:dyDescent="0.25">
      <c r="A9" s="5">
        <v>12</v>
      </c>
      <c r="B9" s="5">
        <v>18</v>
      </c>
      <c r="C9" s="5">
        <v>2.25</v>
      </c>
      <c r="D9" s="5">
        <v>16</v>
      </c>
      <c r="E9" s="5">
        <v>3</v>
      </c>
      <c r="F9" s="5">
        <v>15</v>
      </c>
      <c r="G9" s="5">
        <v>20</v>
      </c>
      <c r="H9" s="5">
        <f>DEGREES(ATAN(TAN(RADIANS(G9))/COS(RADIANS(F9))))</f>
        <v>20.646896487046469</v>
      </c>
      <c r="I9" s="5">
        <v>2700</v>
      </c>
      <c r="J9" s="5">
        <f>63000*D9/I9</f>
        <v>373.33333333333331</v>
      </c>
      <c r="K9" s="5">
        <v>2</v>
      </c>
      <c r="L9" s="5">
        <f>PI()*C9*I9/12</f>
        <v>1590.4312808798329</v>
      </c>
      <c r="M9" s="5">
        <f>J9/(C9/2)</f>
        <v>331.85185185185185</v>
      </c>
      <c r="N9" s="5">
        <f>M9*TAN(RADIANS(G9))/COS(RADIANS(F9))</f>
        <v>125.04500135815299</v>
      </c>
      <c r="O9" s="15">
        <f>M9*TAN(RADIANS(F9))</f>
        <v>88.919435710476264</v>
      </c>
      <c r="P9" s="14">
        <f>SQRT(M9^2+N9^2+O9^2)</f>
        <v>365.60712518936691</v>
      </c>
      <c r="Q9" s="14" t="s">
        <v>20</v>
      </c>
      <c r="R9" t="s">
        <v>19</v>
      </c>
    </row>
    <row r="11" spans="1:19" x14ac:dyDescent="0.25">
      <c r="A11" t="s">
        <v>21</v>
      </c>
    </row>
    <row r="14" spans="1:19" ht="60" x14ac:dyDescent="0.25">
      <c r="A14" s="3" t="s">
        <v>0</v>
      </c>
      <c r="B14" s="4" t="s">
        <v>1</v>
      </c>
      <c r="C14" s="4" t="s">
        <v>2</v>
      </c>
      <c r="D14" s="4" t="s">
        <v>3</v>
      </c>
      <c r="E14" s="4" t="s">
        <v>4</v>
      </c>
      <c r="F14" s="4" t="s">
        <v>5</v>
      </c>
      <c r="G14" s="4" t="s">
        <v>6</v>
      </c>
      <c r="H14" s="4" t="s">
        <v>7</v>
      </c>
      <c r="I14" s="4" t="s">
        <v>8</v>
      </c>
      <c r="J14" s="4" t="s">
        <v>9</v>
      </c>
      <c r="K14" s="4" t="s">
        <v>10</v>
      </c>
      <c r="L14" s="4" t="s">
        <v>11</v>
      </c>
      <c r="M14" s="4" t="s">
        <v>12</v>
      </c>
      <c r="N14" s="4" t="s">
        <v>13</v>
      </c>
      <c r="O14" s="4" t="s">
        <v>14</v>
      </c>
      <c r="P14" s="13" t="s">
        <v>15</v>
      </c>
      <c r="Q14" s="13" t="s">
        <v>16</v>
      </c>
    </row>
    <row r="15" spans="1:19" x14ac:dyDescent="0.25">
      <c r="A15" s="5">
        <v>1</v>
      </c>
      <c r="B15" s="5">
        <v>18</v>
      </c>
      <c r="C15" s="5">
        <v>2.25</v>
      </c>
      <c r="D15" s="5">
        <v>40</v>
      </c>
      <c r="E15" s="5">
        <v>3</v>
      </c>
      <c r="F15" s="5">
        <v>15</v>
      </c>
      <c r="G15" s="5">
        <v>20</v>
      </c>
      <c r="H15" s="5">
        <f>DEGREES(ATAN(TAN(RADIANS(G15))/COS(RADIANS(F15))))</f>
        <v>20.646896487046469</v>
      </c>
      <c r="I15" s="5">
        <v>2700</v>
      </c>
      <c r="J15" s="5">
        <f>63000*D15/I15</f>
        <v>933.33333333333337</v>
      </c>
      <c r="K15" s="5">
        <v>2</v>
      </c>
      <c r="L15" s="5">
        <f>PI()*C15*I15/12</f>
        <v>1590.4312808798329</v>
      </c>
      <c r="M15" s="5">
        <f>J15/(C15/2)</f>
        <v>829.62962962962968</v>
      </c>
      <c r="N15" s="5">
        <f t="shared" ref="N15:N21" si="7">M15*TAN(RADIANS(G15))/COS(RADIANS(F15))</f>
        <v>312.61250339538248</v>
      </c>
      <c r="O15" s="5">
        <f>M15*TAN(RADIANS(F15))</f>
        <v>222.29858927619068</v>
      </c>
      <c r="P15" s="14">
        <f>SQRT(M15^2+N15^2+O15^2)</f>
        <v>914.01781297341745</v>
      </c>
      <c r="Q15" s="14" t="s">
        <v>18</v>
      </c>
    </row>
    <row r="16" spans="1:19" x14ac:dyDescent="0.25">
      <c r="A16" s="5">
        <v>5</v>
      </c>
      <c r="B16" s="5">
        <v>36</v>
      </c>
      <c r="C16" s="5">
        <v>4.5</v>
      </c>
      <c r="D16" s="5">
        <v>16</v>
      </c>
      <c r="E16" s="5">
        <v>3</v>
      </c>
      <c r="F16" s="5">
        <v>15</v>
      </c>
      <c r="G16" s="5">
        <v>20</v>
      </c>
      <c r="H16" s="5">
        <f t="shared" ref="H16:H21" si="8">DEGREES(ATAN(TAN(RADIANS(G16))/COS(RADIANS(F16))))</f>
        <v>20.646896487046469</v>
      </c>
      <c r="I16" s="5">
        <v>1350</v>
      </c>
      <c r="J16" s="5">
        <f>63000*D16/I16</f>
        <v>746.66666666666663</v>
      </c>
      <c r="K16" s="5">
        <v>1</v>
      </c>
      <c r="L16" s="5">
        <f t="shared" ref="L16:L21" si="9">PI()*C16*I16/12</f>
        <v>1590.4312808798329</v>
      </c>
      <c r="M16" s="5">
        <f>J16/(C16/2)</f>
        <v>331.85185185185185</v>
      </c>
      <c r="N16" s="5">
        <f t="shared" si="7"/>
        <v>125.04500135815299</v>
      </c>
      <c r="O16" s="5">
        <f t="shared" ref="O16:O21" si="10">M16*TAN(RADIANS(F16))</f>
        <v>88.919435710476264</v>
      </c>
      <c r="P16" s="14">
        <f t="shared" ref="P16:P21" si="11">SQRT(M16^2+N16^2+O16^2)</f>
        <v>365.60712518936691</v>
      </c>
      <c r="Q16" s="14" t="s">
        <v>18</v>
      </c>
    </row>
    <row r="17" spans="1:18" x14ac:dyDescent="0.25">
      <c r="A17" s="5">
        <v>2</v>
      </c>
      <c r="B17" s="5">
        <v>54</v>
      </c>
      <c r="C17" s="5">
        <v>6.75</v>
      </c>
      <c r="D17" s="5">
        <v>24</v>
      </c>
      <c r="E17" s="5">
        <v>3</v>
      </c>
      <c r="F17" s="5">
        <v>15</v>
      </c>
      <c r="G17" s="5">
        <v>20</v>
      </c>
      <c r="H17" s="5">
        <f t="shared" si="8"/>
        <v>20.646896487046469</v>
      </c>
      <c r="I17" s="5">
        <v>900</v>
      </c>
      <c r="J17" s="5">
        <f t="shared" ref="J17:J21" si="12">63000*D17/I17</f>
        <v>1680</v>
      </c>
      <c r="K17" s="5">
        <v>1</v>
      </c>
      <c r="L17" s="5">
        <f t="shared" si="9"/>
        <v>1590.4312808798329</v>
      </c>
      <c r="M17" s="5">
        <f>J17/(C17/2)</f>
        <v>497.77777777777777</v>
      </c>
      <c r="N17" s="5">
        <f t="shared" si="7"/>
        <v>187.56750203722947</v>
      </c>
      <c r="O17" s="5">
        <f t="shared" si="10"/>
        <v>133.3791535657144</v>
      </c>
      <c r="P17" s="14">
        <f t="shared" si="11"/>
        <v>548.41068778405042</v>
      </c>
      <c r="Q17" s="14" t="s">
        <v>20</v>
      </c>
    </row>
    <row r="18" spans="1:18" x14ac:dyDescent="0.25">
      <c r="A18" s="5">
        <v>8</v>
      </c>
      <c r="B18" s="5">
        <v>18</v>
      </c>
      <c r="C18" s="5">
        <v>2.25</v>
      </c>
      <c r="D18" s="5">
        <v>20</v>
      </c>
      <c r="E18" s="5">
        <v>3</v>
      </c>
      <c r="F18" s="5">
        <v>15</v>
      </c>
      <c r="G18" s="5">
        <v>20</v>
      </c>
      <c r="H18" s="5">
        <f t="shared" si="8"/>
        <v>20.646896487046469</v>
      </c>
      <c r="I18" s="5">
        <v>2700</v>
      </c>
      <c r="J18" s="5">
        <f t="shared" si="12"/>
        <v>466.66666666666669</v>
      </c>
      <c r="K18" s="5">
        <v>1</v>
      </c>
      <c r="L18" s="5">
        <f t="shared" si="9"/>
        <v>1590.4312808798329</v>
      </c>
      <c r="M18" s="5">
        <f t="shared" ref="M18:M21" si="13">J18/(C18/2)</f>
        <v>414.81481481481484</v>
      </c>
      <c r="N18" s="5">
        <f t="shared" si="7"/>
        <v>156.30625169769124</v>
      </c>
      <c r="O18" s="5">
        <f t="shared" si="10"/>
        <v>111.14929463809534</v>
      </c>
      <c r="P18" s="14">
        <f t="shared" si="11"/>
        <v>457.00890648670872</v>
      </c>
      <c r="Q18" s="14" t="s">
        <v>18</v>
      </c>
      <c r="R18" t="s">
        <v>19</v>
      </c>
    </row>
    <row r="19" spans="1:18" x14ac:dyDescent="0.25">
      <c r="A19" s="5">
        <v>9</v>
      </c>
      <c r="B19" s="5">
        <v>36</v>
      </c>
      <c r="C19" s="5">
        <v>4.5</v>
      </c>
      <c r="D19" s="5">
        <v>20</v>
      </c>
      <c r="E19" s="5">
        <v>3</v>
      </c>
      <c r="F19" s="5">
        <v>15</v>
      </c>
      <c r="G19" s="5">
        <v>20</v>
      </c>
      <c r="H19" s="5">
        <f t="shared" si="8"/>
        <v>20.646896487046469</v>
      </c>
      <c r="I19" s="5">
        <v>1350</v>
      </c>
      <c r="J19" s="5">
        <f t="shared" si="12"/>
        <v>933.33333333333337</v>
      </c>
      <c r="K19" s="5">
        <v>1</v>
      </c>
      <c r="L19" s="5">
        <f t="shared" si="9"/>
        <v>1590.4312808798329</v>
      </c>
      <c r="M19" s="5">
        <f t="shared" si="13"/>
        <v>414.81481481481484</v>
      </c>
      <c r="N19" s="5">
        <f t="shared" si="7"/>
        <v>156.30625169769124</v>
      </c>
      <c r="O19" s="5">
        <f t="shared" si="10"/>
        <v>111.14929463809534</v>
      </c>
      <c r="P19" s="14">
        <f t="shared" si="11"/>
        <v>457.00890648670872</v>
      </c>
      <c r="Q19" s="14" t="s">
        <v>20</v>
      </c>
      <c r="R19" t="s">
        <v>19</v>
      </c>
    </row>
    <row r="20" spans="1:18" x14ac:dyDescent="0.25">
      <c r="A20" s="5">
        <v>10</v>
      </c>
      <c r="B20" s="5">
        <v>18</v>
      </c>
      <c r="C20" s="5">
        <v>2.25</v>
      </c>
      <c r="D20" s="5">
        <v>20</v>
      </c>
      <c r="E20" s="5">
        <v>3</v>
      </c>
      <c r="F20" s="5">
        <v>15</v>
      </c>
      <c r="G20" s="5">
        <v>20</v>
      </c>
      <c r="H20" s="5">
        <f t="shared" si="8"/>
        <v>20.646896487046469</v>
      </c>
      <c r="I20" s="5">
        <v>1350</v>
      </c>
      <c r="J20" s="5">
        <f t="shared" si="12"/>
        <v>933.33333333333337</v>
      </c>
      <c r="K20" s="5">
        <v>1</v>
      </c>
      <c r="L20" s="5">
        <f t="shared" si="9"/>
        <v>795.21564043991646</v>
      </c>
      <c r="M20" s="5">
        <f t="shared" si="13"/>
        <v>829.62962962962968</v>
      </c>
      <c r="N20" s="5">
        <f t="shared" si="7"/>
        <v>312.61250339538248</v>
      </c>
      <c r="O20" s="5">
        <f t="shared" si="10"/>
        <v>222.29858927619068</v>
      </c>
      <c r="P20" s="14">
        <f t="shared" si="11"/>
        <v>914.01781297341745</v>
      </c>
      <c r="Q20" s="14" t="s">
        <v>18</v>
      </c>
      <c r="R20" t="s">
        <v>19</v>
      </c>
    </row>
    <row r="21" spans="1:18" x14ac:dyDescent="0.25">
      <c r="A21" s="5">
        <v>11</v>
      </c>
      <c r="B21" s="5">
        <v>45</v>
      </c>
      <c r="C21" s="5">
        <v>5.625</v>
      </c>
      <c r="D21" s="5">
        <v>20</v>
      </c>
      <c r="E21" s="5">
        <v>3</v>
      </c>
      <c r="F21" s="5">
        <v>15</v>
      </c>
      <c r="G21" s="5">
        <v>20</v>
      </c>
      <c r="H21" s="5">
        <f t="shared" si="8"/>
        <v>20.646896487046469</v>
      </c>
      <c r="I21" s="5">
        <v>540</v>
      </c>
      <c r="J21" s="5">
        <f t="shared" si="12"/>
        <v>2333.3333333333335</v>
      </c>
      <c r="K21" s="5">
        <v>1</v>
      </c>
      <c r="L21" s="5">
        <f t="shared" si="9"/>
        <v>795.21564043991646</v>
      </c>
      <c r="M21" s="5">
        <f t="shared" si="13"/>
        <v>829.62962962962968</v>
      </c>
      <c r="N21" s="5">
        <f t="shared" si="7"/>
        <v>312.61250339538248</v>
      </c>
      <c r="O21" s="5">
        <f t="shared" si="10"/>
        <v>222.29858927619068</v>
      </c>
      <c r="P21" s="14">
        <f t="shared" si="11"/>
        <v>914.01781297341745</v>
      </c>
      <c r="Q21" s="14" t="s">
        <v>20</v>
      </c>
      <c r="R21" t="s">
        <v>19</v>
      </c>
    </row>
    <row r="22" spans="1:18" x14ac:dyDescent="0.25">
      <c r="A22" s="5">
        <v>12</v>
      </c>
      <c r="B22" s="5">
        <v>18</v>
      </c>
      <c r="C22" s="5">
        <v>2.25</v>
      </c>
      <c r="D22" s="5">
        <v>16</v>
      </c>
      <c r="E22" s="5">
        <v>3</v>
      </c>
      <c r="F22" s="5">
        <v>15</v>
      </c>
      <c r="G22" s="5">
        <v>20</v>
      </c>
      <c r="H22" s="5">
        <f>DEGREES(ATAN(TAN(RADIANS(G22))/COS(RADIANS(F22))))</f>
        <v>20.646896487046469</v>
      </c>
      <c r="I22" s="5">
        <v>2700</v>
      </c>
      <c r="J22" s="5">
        <f>63000*D22/I22</f>
        <v>373.33333333333331</v>
      </c>
      <c r="K22" s="5">
        <v>2</v>
      </c>
      <c r="L22" s="5">
        <f>PI()*C22*I22/12</f>
        <v>1590.4312808798329</v>
      </c>
      <c r="M22" s="5">
        <f>J22/(C22/2)</f>
        <v>331.85185185185185</v>
      </c>
      <c r="N22" s="5">
        <f>M22*TAN(RADIANS(G22))/COS(RADIANS(F22))</f>
        <v>125.04500135815299</v>
      </c>
      <c r="O22" s="15">
        <f>M22*TAN(RADIANS(F22))</f>
        <v>88.919435710476264</v>
      </c>
      <c r="P22" s="14">
        <f>SQRT(M22^2+N22^2+O22^2)</f>
        <v>365.60712518936691</v>
      </c>
      <c r="Q22" s="14" t="s">
        <v>20</v>
      </c>
    </row>
    <row r="24" spans="1:18" x14ac:dyDescent="0.25">
      <c r="A24" t="s">
        <v>22</v>
      </c>
    </row>
    <row r="26" spans="1:18" ht="60" x14ac:dyDescent="0.25">
      <c r="A26" s="3" t="s">
        <v>0</v>
      </c>
      <c r="B26" s="4" t="s">
        <v>1</v>
      </c>
      <c r="C26" s="4" t="s">
        <v>2</v>
      </c>
      <c r="D26" s="4" t="s">
        <v>3</v>
      </c>
      <c r="E26" s="4" t="s">
        <v>4</v>
      </c>
      <c r="F26" s="4" t="s">
        <v>5</v>
      </c>
      <c r="G26" s="4" t="s">
        <v>6</v>
      </c>
      <c r="H26" s="4" t="s">
        <v>7</v>
      </c>
      <c r="I26" s="4" t="s">
        <v>8</v>
      </c>
      <c r="J26" s="4" t="s">
        <v>9</v>
      </c>
      <c r="K26" s="4" t="s">
        <v>10</v>
      </c>
      <c r="L26" s="4" t="s">
        <v>11</v>
      </c>
      <c r="M26" s="4" t="s">
        <v>12</v>
      </c>
      <c r="N26" s="4" t="s">
        <v>13</v>
      </c>
      <c r="O26" s="4" t="s">
        <v>14</v>
      </c>
      <c r="P26" s="13" t="s">
        <v>15</v>
      </c>
      <c r="Q26" s="13" t="s">
        <v>16</v>
      </c>
    </row>
    <row r="27" spans="1:18" x14ac:dyDescent="0.25">
      <c r="A27" s="5">
        <v>1</v>
      </c>
      <c r="B27" s="5">
        <v>18</v>
      </c>
      <c r="C27" s="5">
        <v>2.25</v>
      </c>
      <c r="D27" s="5">
        <v>36</v>
      </c>
      <c r="E27" s="5">
        <v>3</v>
      </c>
      <c r="F27" s="5">
        <v>15</v>
      </c>
      <c r="G27" s="5">
        <v>20</v>
      </c>
      <c r="H27" s="5">
        <f>DEGREES(ATAN(TAN(RADIANS(G27))/COS(RADIANS(F27))))</f>
        <v>20.646896487046469</v>
      </c>
      <c r="I27" s="5">
        <v>2700</v>
      </c>
      <c r="J27" s="5">
        <f>63000*D27/I27</f>
        <v>840</v>
      </c>
      <c r="K27" s="5">
        <v>2</v>
      </c>
      <c r="L27" s="5">
        <f>PI()*C27*I27/12</f>
        <v>1590.4312808798329</v>
      </c>
      <c r="M27" s="5">
        <f>J27/(C27/2)</f>
        <v>746.66666666666663</v>
      </c>
      <c r="N27" s="5">
        <f t="shared" ref="N27:N33" si="14">M27*TAN(RADIANS(G27))/COS(RADIANS(F27))</f>
        <v>281.35125305584421</v>
      </c>
      <c r="O27" s="5">
        <f>M27*TAN(RADIANS(F27))</f>
        <v>200.06873034857159</v>
      </c>
      <c r="P27" s="14">
        <f>SQRT(M27^2+N27^2+O27^2)</f>
        <v>822.61603167607564</v>
      </c>
      <c r="Q27" s="14" t="s">
        <v>18</v>
      </c>
    </row>
    <row r="28" spans="1:18" x14ac:dyDescent="0.25">
      <c r="A28" s="5">
        <v>5</v>
      </c>
      <c r="B28" s="5">
        <v>36</v>
      </c>
      <c r="C28" s="5">
        <v>4.5</v>
      </c>
      <c r="D28" s="5">
        <v>16</v>
      </c>
      <c r="E28" s="5">
        <v>3</v>
      </c>
      <c r="F28" s="5">
        <v>15</v>
      </c>
      <c r="G28" s="5">
        <v>20</v>
      </c>
      <c r="H28" s="5">
        <f t="shared" ref="H28:H33" si="15">DEGREES(ATAN(TAN(RADIANS(G28))/COS(RADIANS(F28))))</f>
        <v>20.646896487046469</v>
      </c>
      <c r="I28" s="5">
        <v>1350</v>
      </c>
      <c r="J28" s="5">
        <f>63000*D28/I28</f>
        <v>746.66666666666663</v>
      </c>
      <c r="K28" s="5">
        <v>1</v>
      </c>
      <c r="L28" s="5">
        <f t="shared" ref="L28:L33" si="16">PI()*C28*I28/12</f>
        <v>1590.4312808798329</v>
      </c>
      <c r="M28" s="5">
        <f>J28/(C28/2)</f>
        <v>331.85185185185185</v>
      </c>
      <c r="N28" s="5">
        <f t="shared" si="14"/>
        <v>125.04500135815299</v>
      </c>
      <c r="O28" s="5">
        <f t="shared" ref="O28:O33" si="17">M28*TAN(RADIANS(F28))</f>
        <v>88.919435710476264</v>
      </c>
      <c r="P28" s="14">
        <f t="shared" ref="P28:P33" si="18">SQRT(M28^2+N28^2+O28^2)</f>
        <v>365.60712518936691</v>
      </c>
      <c r="Q28" s="14" t="s">
        <v>18</v>
      </c>
    </row>
    <row r="29" spans="1:18" x14ac:dyDescent="0.25">
      <c r="A29" s="5">
        <v>2</v>
      </c>
      <c r="B29" s="5">
        <v>54</v>
      </c>
      <c r="C29" s="5">
        <v>6.75</v>
      </c>
      <c r="D29" s="5">
        <v>24</v>
      </c>
      <c r="E29" s="5">
        <v>3</v>
      </c>
      <c r="F29" s="5">
        <v>15</v>
      </c>
      <c r="G29" s="5">
        <v>20</v>
      </c>
      <c r="H29" s="5">
        <f t="shared" si="15"/>
        <v>20.646896487046469</v>
      </c>
      <c r="I29" s="5">
        <v>900</v>
      </c>
      <c r="J29" s="5">
        <f t="shared" ref="J29:J33" si="19">63000*D29/I29</f>
        <v>1680</v>
      </c>
      <c r="K29" s="5">
        <v>1</v>
      </c>
      <c r="L29" s="5">
        <f t="shared" si="16"/>
        <v>1590.4312808798329</v>
      </c>
      <c r="M29" s="5">
        <f>J29/(C29/2)</f>
        <v>497.77777777777777</v>
      </c>
      <c r="N29" s="5">
        <f t="shared" si="14"/>
        <v>187.56750203722947</v>
      </c>
      <c r="O29" s="5">
        <f t="shared" si="17"/>
        <v>133.3791535657144</v>
      </c>
      <c r="P29" s="14">
        <f t="shared" si="18"/>
        <v>548.41068778405042</v>
      </c>
      <c r="Q29" s="14" t="s">
        <v>20</v>
      </c>
      <c r="R29" t="s">
        <v>19</v>
      </c>
    </row>
    <row r="30" spans="1:18" x14ac:dyDescent="0.25">
      <c r="A30" s="5">
        <v>8</v>
      </c>
      <c r="B30" s="5">
        <v>18</v>
      </c>
      <c r="C30" s="5">
        <v>2.25</v>
      </c>
      <c r="D30" s="5">
        <v>20</v>
      </c>
      <c r="E30" s="5">
        <v>3</v>
      </c>
      <c r="F30" s="5">
        <v>15</v>
      </c>
      <c r="G30" s="5">
        <v>20</v>
      </c>
      <c r="H30" s="5">
        <f t="shared" si="15"/>
        <v>20.646896487046469</v>
      </c>
      <c r="I30" s="5">
        <v>2700</v>
      </c>
      <c r="J30" s="5">
        <f t="shared" si="19"/>
        <v>466.66666666666669</v>
      </c>
      <c r="K30" s="5">
        <v>1</v>
      </c>
      <c r="L30" s="5">
        <f t="shared" si="16"/>
        <v>1590.4312808798329</v>
      </c>
      <c r="M30" s="5">
        <f t="shared" ref="M30:M33" si="20">J30/(C30/2)</f>
        <v>414.81481481481484</v>
      </c>
      <c r="N30" s="5">
        <f t="shared" si="14"/>
        <v>156.30625169769124</v>
      </c>
      <c r="O30" s="5">
        <f t="shared" si="17"/>
        <v>111.14929463809534</v>
      </c>
      <c r="P30" s="14">
        <f t="shared" si="18"/>
        <v>457.00890648670872</v>
      </c>
      <c r="Q30" s="14" t="s">
        <v>18</v>
      </c>
    </row>
    <row r="31" spans="1:18" x14ac:dyDescent="0.25">
      <c r="A31" s="5">
        <v>9</v>
      </c>
      <c r="B31" s="5">
        <v>36</v>
      </c>
      <c r="C31" s="5">
        <v>4.5</v>
      </c>
      <c r="D31" s="5">
        <v>20</v>
      </c>
      <c r="E31" s="5">
        <v>3</v>
      </c>
      <c r="F31" s="5">
        <v>15</v>
      </c>
      <c r="G31" s="5">
        <v>20</v>
      </c>
      <c r="H31" s="5">
        <f t="shared" si="15"/>
        <v>20.646896487046469</v>
      </c>
      <c r="I31" s="5">
        <v>1350</v>
      </c>
      <c r="J31" s="5">
        <f t="shared" si="19"/>
        <v>933.33333333333337</v>
      </c>
      <c r="K31" s="5">
        <v>1</v>
      </c>
      <c r="L31" s="5">
        <f t="shared" si="16"/>
        <v>1590.4312808798329</v>
      </c>
      <c r="M31" s="5">
        <f t="shared" si="20"/>
        <v>414.81481481481484</v>
      </c>
      <c r="N31" s="5">
        <f t="shared" si="14"/>
        <v>156.30625169769124</v>
      </c>
      <c r="O31" s="5">
        <f t="shared" si="17"/>
        <v>111.14929463809534</v>
      </c>
      <c r="P31" s="14">
        <f t="shared" si="18"/>
        <v>457.00890648670872</v>
      </c>
      <c r="Q31" s="14" t="s">
        <v>20</v>
      </c>
    </row>
    <row r="32" spans="1:18" x14ac:dyDescent="0.25">
      <c r="A32" s="5">
        <v>10</v>
      </c>
      <c r="B32" s="5">
        <v>18</v>
      </c>
      <c r="C32" s="5">
        <v>2.25</v>
      </c>
      <c r="D32" s="5">
        <v>20</v>
      </c>
      <c r="E32" s="5">
        <v>3</v>
      </c>
      <c r="F32" s="5">
        <v>15</v>
      </c>
      <c r="G32" s="5">
        <v>20</v>
      </c>
      <c r="H32" s="5">
        <f t="shared" si="15"/>
        <v>20.646896487046469</v>
      </c>
      <c r="I32" s="5">
        <v>1350</v>
      </c>
      <c r="J32" s="5">
        <f t="shared" si="19"/>
        <v>933.33333333333337</v>
      </c>
      <c r="K32" s="5">
        <v>1</v>
      </c>
      <c r="L32" s="5">
        <f t="shared" si="16"/>
        <v>795.21564043991646</v>
      </c>
      <c r="M32" s="5">
        <f t="shared" si="20"/>
        <v>829.62962962962968</v>
      </c>
      <c r="N32" s="5">
        <f t="shared" si="14"/>
        <v>312.61250339538248</v>
      </c>
      <c r="O32" s="5">
        <f t="shared" si="17"/>
        <v>222.29858927619068</v>
      </c>
      <c r="P32" s="14">
        <f t="shared" si="18"/>
        <v>914.01781297341745</v>
      </c>
      <c r="Q32" s="14" t="s">
        <v>18</v>
      </c>
    </row>
    <row r="33" spans="1:17" x14ac:dyDescent="0.25">
      <c r="A33" s="5">
        <v>11</v>
      </c>
      <c r="B33" s="5">
        <v>45</v>
      </c>
      <c r="C33" s="5">
        <v>5.625</v>
      </c>
      <c r="D33" s="5">
        <v>20</v>
      </c>
      <c r="E33" s="5">
        <v>3</v>
      </c>
      <c r="F33" s="5">
        <v>15</v>
      </c>
      <c r="G33" s="5">
        <v>20</v>
      </c>
      <c r="H33" s="5">
        <f t="shared" si="15"/>
        <v>20.646896487046469</v>
      </c>
      <c r="I33" s="5">
        <v>540</v>
      </c>
      <c r="J33" s="5">
        <f t="shared" si="19"/>
        <v>2333.3333333333335</v>
      </c>
      <c r="K33" s="5">
        <v>1</v>
      </c>
      <c r="L33" s="5">
        <f t="shared" si="16"/>
        <v>795.21564043991646</v>
      </c>
      <c r="M33" s="5">
        <f t="shared" si="20"/>
        <v>829.62962962962968</v>
      </c>
      <c r="N33" s="5">
        <f t="shared" si="14"/>
        <v>312.61250339538248</v>
      </c>
      <c r="O33" s="5">
        <f t="shared" si="17"/>
        <v>222.29858927619068</v>
      </c>
      <c r="P33" s="14">
        <f t="shared" si="18"/>
        <v>914.01781297341745</v>
      </c>
      <c r="Q33" s="14" t="s">
        <v>20</v>
      </c>
    </row>
    <row r="34" spans="1:17" x14ac:dyDescent="0.25">
      <c r="A34" s="5">
        <v>12</v>
      </c>
      <c r="B34" s="5">
        <v>18</v>
      </c>
      <c r="C34" s="5">
        <v>2.25</v>
      </c>
      <c r="D34" s="5">
        <v>16</v>
      </c>
      <c r="E34" s="5">
        <v>3</v>
      </c>
      <c r="F34" s="5">
        <v>15</v>
      </c>
      <c r="G34" s="5">
        <v>20</v>
      </c>
      <c r="H34" s="5">
        <f>DEGREES(ATAN(TAN(RADIANS(G34))/COS(RADIANS(F34))))</f>
        <v>20.646896487046469</v>
      </c>
      <c r="I34" s="5">
        <v>2700</v>
      </c>
      <c r="J34" s="5">
        <f>63000*D34/I34</f>
        <v>373.33333333333331</v>
      </c>
      <c r="K34" s="5">
        <v>2</v>
      </c>
      <c r="L34" s="5">
        <f>PI()*C34*I34/12</f>
        <v>1590.4312808798329</v>
      </c>
      <c r="M34" s="5">
        <f>J34/(C34/2)</f>
        <v>331.85185185185185</v>
      </c>
      <c r="N34" s="5">
        <f>M34*TAN(RADIANS(G34))/COS(RADIANS(F34))</f>
        <v>125.04500135815299</v>
      </c>
      <c r="O34" s="15">
        <f>M34*TAN(RADIANS(F34))</f>
        <v>88.919435710476264</v>
      </c>
      <c r="P34" s="14">
        <f>SQRT(M34^2+N34^2+O34^2)</f>
        <v>365.60712518936691</v>
      </c>
      <c r="Q34" s="14" t="s">
        <v>20</v>
      </c>
    </row>
    <row r="36" spans="1:17" x14ac:dyDescent="0.25">
      <c r="A36" t="s">
        <v>23</v>
      </c>
    </row>
  </sheetData>
  <mergeCells count="1">
    <mergeCell ref="R1:S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55F72-BC3D-438B-A59E-CB1A9ADDDDCE}">
  <dimension ref="A1:B8"/>
  <sheetViews>
    <sheetView workbookViewId="0">
      <selection activeCell="E5" sqref="E5"/>
    </sheetView>
  </sheetViews>
  <sheetFormatPr defaultRowHeight="15" x14ac:dyDescent="0.25"/>
  <sheetData>
    <row r="1" spans="1:2" ht="60" x14ac:dyDescent="0.25">
      <c r="A1" s="3" t="s">
        <v>0</v>
      </c>
      <c r="B1" s="17" t="s">
        <v>11</v>
      </c>
    </row>
    <row r="2" spans="1:2" x14ac:dyDescent="0.25">
      <c r="A2" s="5">
        <v>1</v>
      </c>
      <c r="B2" s="5">
        <v>1590.4312808798329</v>
      </c>
    </row>
    <row r="3" spans="1:2" x14ac:dyDescent="0.25">
      <c r="A3" s="5">
        <v>5</v>
      </c>
      <c r="B3" s="5">
        <v>1590.4312808798329</v>
      </c>
    </row>
    <row r="4" spans="1:2" x14ac:dyDescent="0.25">
      <c r="A4" s="5">
        <v>2</v>
      </c>
      <c r="B4" s="5">
        <v>1590.4312808798329</v>
      </c>
    </row>
    <row r="5" spans="1:2" x14ac:dyDescent="0.25">
      <c r="A5" s="5">
        <v>8</v>
      </c>
      <c r="B5" s="5">
        <v>1590.4312808798329</v>
      </c>
    </row>
    <row r="6" spans="1:2" x14ac:dyDescent="0.25">
      <c r="A6" s="5">
        <v>9</v>
      </c>
      <c r="B6" s="5">
        <v>1590.4312808798329</v>
      </c>
    </row>
    <row r="7" spans="1:2" x14ac:dyDescent="0.25">
      <c r="A7" s="5">
        <v>10</v>
      </c>
      <c r="B7" s="5">
        <v>795.21564043991646</v>
      </c>
    </row>
    <row r="8" spans="1:2" x14ac:dyDescent="0.25">
      <c r="A8" s="5">
        <v>11</v>
      </c>
      <c r="B8" s="5">
        <v>795.21564043991646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E4C323-09F8-4473-9E62-C1FF149B158B}">
  <dimension ref="A1:E3"/>
  <sheetViews>
    <sheetView tabSelected="1" workbookViewId="0">
      <selection activeCell="C2" sqref="C2"/>
    </sheetView>
  </sheetViews>
  <sheetFormatPr defaultRowHeight="15" x14ac:dyDescent="0.25"/>
  <sheetData>
    <row r="1" spans="1:5" x14ac:dyDescent="0.25">
      <c r="A1" s="6" t="s">
        <v>0</v>
      </c>
      <c r="B1" s="6" t="s">
        <v>24</v>
      </c>
      <c r="C1" s="6" t="s">
        <v>25</v>
      </c>
      <c r="D1" s="6" t="s">
        <v>26</v>
      </c>
      <c r="E1" s="6" t="s">
        <v>27</v>
      </c>
    </row>
    <row r="2" spans="1:5" x14ac:dyDescent="0.25">
      <c r="A2" s="5">
        <v>8</v>
      </c>
      <c r="B2" s="5">
        <f>Basic!E5/Basic!C5</f>
        <v>1.3333333333333333</v>
      </c>
      <c r="C2" s="5">
        <f>(B2/10)-0.0375+(0.0125*Basic!$E$2)</f>
        <v>0.13333333333333333</v>
      </c>
      <c r="D2" s="5">
        <f>0.127+(0.0158*Basic!$E$2)-(0.0001093*(Basic!$E$2)^2)</f>
        <v>0.1734163</v>
      </c>
      <c r="E2" s="5">
        <f>1+C2+D2</f>
        <v>1.3067496333333333</v>
      </c>
    </row>
    <row r="3" spans="1:5" x14ac:dyDescent="0.25">
      <c r="A3" s="5">
        <v>10</v>
      </c>
      <c r="B3" s="5">
        <f>Basic!E7/Basic!C7</f>
        <v>1.3333333333333333</v>
      </c>
      <c r="C3" s="5">
        <f>(B3/10)-0.0375+(0.0125*Basic!$E$2)</f>
        <v>0.13333333333333333</v>
      </c>
      <c r="D3" s="5">
        <f>0.127+(0.0158*Basic!$E$2)-(0.0001093*(Basic!$E$2)^2)</f>
        <v>0.1734163</v>
      </c>
      <c r="E3" s="5">
        <f>1+C3+D3</f>
        <v>1.3067496333333333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6ECA9-3872-42CF-ACCD-BE0C4D0C9C7D}">
  <dimension ref="A1:L10"/>
  <sheetViews>
    <sheetView workbookViewId="0">
      <selection activeCell="A9" sqref="A9:L10"/>
    </sheetView>
  </sheetViews>
  <sheetFormatPr defaultRowHeight="15" x14ac:dyDescent="0.25"/>
  <cols>
    <col min="10" max="10" width="10.28515625" customWidth="1"/>
    <col min="11" max="11" width="22.5703125" customWidth="1"/>
  </cols>
  <sheetData>
    <row r="1" spans="1:12" ht="60" x14ac:dyDescent="0.25">
      <c r="A1" s="3" t="s">
        <v>0</v>
      </c>
      <c r="B1" s="3" t="s">
        <v>28</v>
      </c>
      <c r="C1" s="3" t="s">
        <v>29</v>
      </c>
      <c r="D1" s="3" t="s">
        <v>27</v>
      </c>
      <c r="E1" s="3" t="s">
        <v>30</v>
      </c>
      <c r="F1" s="3" t="s">
        <v>31</v>
      </c>
      <c r="G1" s="4" t="s">
        <v>4</v>
      </c>
      <c r="H1" s="4" t="s">
        <v>12</v>
      </c>
      <c r="I1" s="3" t="s">
        <v>32</v>
      </c>
      <c r="J1" s="4" t="s">
        <v>33</v>
      </c>
      <c r="K1" s="4" t="s">
        <v>34</v>
      </c>
      <c r="L1" s="4" t="s">
        <v>73</v>
      </c>
    </row>
    <row r="2" spans="1:12" x14ac:dyDescent="0.25">
      <c r="A2" s="5">
        <v>8</v>
      </c>
      <c r="B2" s="5">
        <v>1.5</v>
      </c>
      <c r="C2" s="5">
        <v>1</v>
      </c>
      <c r="D2" s="5">
        <v>1.3067500000000001</v>
      </c>
      <c r="E2" s="5">
        <v>1</v>
      </c>
      <c r="F2" s="5">
        <v>1.25</v>
      </c>
      <c r="G2" s="5">
        <v>3</v>
      </c>
      <c r="H2" s="5">
        <v>414.81481481481484</v>
      </c>
      <c r="I2" s="5">
        <v>8</v>
      </c>
      <c r="J2" s="5">
        <v>0.44159999999999999</v>
      </c>
      <c r="K2" s="6">
        <f>(H2*I2*B2*C2*D2*E2*F2)/(G2*J2)</f>
        <v>6137.4463231347299</v>
      </c>
      <c r="L2" s="6">
        <f>K2*1*1.25/0.903</f>
        <v>8495.9113000203906</v>
      </c>
    </row>
    <row r="3" spans="1:12" x14ac:dyDescent="0.25">
      <c r="A3" s="5">
        <v>10</v>
      </c>
      <c r="B3" s="5">
        <v>1.5</v>
      </c>
      <c r="C3" s="5">
        <v>1</v>
      </c>
      <c r="D3" s="5">
        <v>1.3067500000000001</v>
      </c>
      <c r="E3" s="5">
        <v>1</v>
      </c>
      <c r="F3" s="5">
        <v>1.3</v>
      </c>
      <c r="G3" s="5">
        <v>3</v>
      </c>
      <c r="H3" s="5">
        <v>829.62962962962968</v>
      </c>
      <c r="I3" s="5">
        <v>8</v>
      </c>
      <c r="J3" s="5">
        <v>0.44159999999999999</v>
      </c>
      <c r="K3" s="6">
        <f>(H3*I3*B3*C3*D3*E3*F3)/(G3*J3)</f>
        <v>12765.888352120241</v>
      </c>
      <c r="L3" s="6">
        <f t="shared" ref="L3:L4" si="0">K3*1*1.25/0.903</f>
        <v>17671.495504042414</v>
      </c>
    </row>
    <row r="4" spans="1:12" x14ac:dyDescent="0.25">
      <c r="A4" s="5">
        <v>1</v>
      </c>
      <c r="B4" s="5">
        <v>1.5</v>
      </c>
      <c r="C4" s="5">
        <v>1</v>
      </c>
      <c r="D4" s="5">
        <v>1.3067500000000001</v>
      </c>
      <c r="E4" s="5">
        <v>1</v>
      </c>
      <c r="F4" s="5">
        <v>1.25</v>
      </c>
      <c r="G4" s="5">
        <v>3</v>
      </c>
      <c r="H4" s="5">
        <f>Basic!$M$2</f>
        <v>912.59259259259261</v>
      </c>
      <c r="I4" s="5">
        <v>8</v>
      </c>
      <c r="J4" s="5">
        <v>0.44159999999999999</v>
      </c>
      <c r="K4" s="6">
        <f>(H4*I4*B4*C4*D4*E4*F4)/(G4*J4)</f>
        <v>13502.381910896403</v>
      </c>
      <c r="L4" s="6">
        <f t="shared" si="0"/>
        <v>18691.004860044854</v>
      </c>
    </row>
    <row r="5" spans="1:12" x14ac:dyDescent="0.25">
      <c r="A5" s="7">
        <v>12</v>
      </c>
      <c r="B5" s="5">
        <v>1.5</v>
      </c>
      <c r="C5" s="5">
        <v>1</v>
      </c>
      <c r="D5" s="5">
        <v>1.3067500000000001</v>
      </c>
      <c r="E5" s="5">
        <v>1</v>
      </c>
      <c r="F5" s="5">
        <v>1.25</v>
      </c>
      <c r="G5" s="5">
        <v>3</v>
      </c>
      <c r="H5">
        <v>331.85185185185185</v>
      </c>
      <c r="I5" s="5">
        <v>8</v>
      </c>
      <c r="J5" s="5">
        <v>0.44159999999999999</v>
      </c>
      <c r="K5" s="6">
        <f>(H5*I5*B5*C5*D5*E5*F5)/(G5*J5)</f>
        <v>4909.9570585077827</v>
      </c>
      <c r="L5" s="6">
        <f t="shared" ref="L5" si="1">K5*1*1.25/0.903</f>
        <v>6796.7290400163101</v>
      </c>
    </row>
    <row r="9" spans="1:12" ht="60" x14ac:dyDescent="0.25">
      <c r="A9" s="3" t="s">
        <v>0</v>
      </c>
      <c r="B9" s="3" t="s">
        <v>28</v>
      </c>
      <c r="C9" s="3" t="s">
        <v>29</v>
      </c>
      <c r="D9" s="3" t="s">
        <v>27</v>
      </c>
      <c r="E9" s="3" t="s">
        <v>30</v>
      </c>
      <c r="F9" s="3" t="s">
        <v>31</v>
      </c>
      <c r="G9" s="4" t="s">
        <v>4</v>
      </c>
      <c r="H9" s="4" t="s">
        <v>12</v>
      </c>
      <c r="I9" s="3" t="s">
        <v>32</v>
      </c>
      <c r="J9" s="4" t="s">
        <v>33</v>
      </c>
      <c r="K9" s="4" t="s">
        <v>34</v>
      </c>
      <c r="L9" s="4" t="s">
        <v>73</v>
      </c>
    </row>
    <row r="10" spans="1:12" x14ac:dyDescent="0.25">
      <c r="A10" s="5">
        <v>12</v>
      </c>
      <c r="B10" s="5">
        <v>1.5</v>
      </c>
      <c r="C10" s="5">
        <v>1</v>
      </c>
      <c r="D10" s="5">
        <v>1.3067500000000001</v>
      </c>
      <c r="E10" s="5">
        <v>1</v>
      </c>
      <c r="F10" s="5">
        <v>1.25</v>
      </c>
      <c r="G10" s="5">
        <v>3</v>
      </c>
      <c r="H10" s="5">
        <v>331.85185185185185</v>
      </c>
      <c r="I10" s="5">
        <v>8</v>
      </c>
      <c r="J10" s="5">
        <v>0.44159999999999999</v>
      </c>
      <c r="K10" s="6">
        <v>4909.9570585077827</v>
      </c>
      <c r="L10" s="6">
        <v>6796.7290400163101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C4FE6-9B5C-4DDE-9014-681265DF359A}">
  <dimension ref="A1:AK8"/>
  <sheetViews>
    <sheetView zoomScaleNormal="100" workbookViewId="0">
      <selection activeCell="AK2" sqref="AK2"/>
    </sheetView>
  </sheetViews>
  <sheetFormatPr defaultRowHeight="15" x14ac:dyDescent="0.25"/>
  <cols>
    <col min="4" max="4" width="10.28515625" customWidth="1"/>
    <col min="10" max="10" width="10.42578125" customWidth="1"/>
    <col min="34" max="34" width="13.140625" customWidth="1"/>
  </cols>
  <sheetData>
    <row r="1" spans="1:37" s="1" customFormat="1" ht="45" x14ac:dyDescent="0.25">
      <c r="A1" s="3" t="s">
        <v>0</v>
      </c>
      <c r="B1" s="4" t="s">
        <v>1</v>
      </c>
      <c r="C1" s="4" t="s">
        <v>2</v>
      </c>
      <c r="D1" s="2" t="s">
        <v>35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40</v>
      </c>
      <c r="J1" s="1" t="s">
        <v>41</v>
      </c>
      <c r="K1" s="1" t="s">
        <v>42</v>
      </c>
      <c r="L1" s="2" t="s">
        <v>43</v>
      </c>
      <c r="M1" s="1" t="s">
        <v>44</v>
      </c>
      <c r="N1" s="2" t="s">
        <v>45</v>
      </c>
      <c r="O1" s="1" t="s">
        <v>46</v>
      </c>
      <c r="P1" s="1" t="s">
        <v>47</v>
      </c>
      <c r="Q1" s="2" t="s">
        <v>48</v>
      </c>
      <c r="R1" s="1" t="s">
        <v>49</v>
      </c>
      <c r="S1" s="1" t="s">
        <v>50</v>
      </c>
      <c r="T1" s="1" t="s">
        <v>51</v>
      </c>
      <c r="U1" s="1" t="s">
        <v>52</v>
      </c>
      <c r="V1" s="1" t="s">
        <v>53</v>
      </c>
      <c r="W1" s="1" t="s">
        <v>54</v>
      </c>
      <c r="X1" s="1" t="s">
        <v>55</v>
      </c>
      <c r="Y1" s="1" t="s">
        <v>56</v>
      </c>
      <c r="Z1" s="1" t="s">
        <v>57</v>
      </c>
      <c r="AA1" s="1" t="s">
        <v>58</v>
      </c>
      <c r="AB1" s="2" t="s">
        <v>59</v>
      </c>
      <c r="AC1" s="2" t="s">
        <v>60</v>
      </c>
      <c r="AD1" s="2" t="s">
        <v>61</v>
      </c>
      <c r="AE1" s="1" t="s">
        <v>62</v>
      </c>
      <c r="AF1" s="1" t="s">
        <v>63</v>
      </c>
      <c r="AG1" s="1" t="s">
        <v>64</v>
      </c>
      <c r="AH1" s="1" t="s">
        <v>65</v>
      </c>
      <c r="AI1" s="1" t="s">
        <v>66</v>
      </c>
      <c r="AJ1" s="1" t="s">
        <v>67</v>
      </c>
      <c r="AK1" s="1" t="s">
        <v>68</v>
      </c>
    </row>
    <row r="2" spans="1:37" x14ac:dyDescent="0.25">
      <c r="A2" s="5">
        <v>1</v>
      </c>
      <c r="B2" s="5">
        <v>18</v>
      </c>
      <c r="C2" s="5">
        <v>2.25</v>
      </c>
      <c r="D2" s="7">
        <f>8/COS(RADIANS(15))</f>
        <v>8.2822094432806637</v>
      </c>
      <c r="E2" s="7">
        <v>2</v>
      </c>
      <c r="F2">
        <f>B2/(2*COS(RADIANS(Basic!F2)))</f>
        <v>9.3174856236907466</v>
      </c>
      <c r="G2">
        <f>F2*COS(RADIANS(Basic!H2))</f>
        <v>8.7190350803907517</v>
      </c>
      <c r="H2">
        <f>E2*G2</f>
        <v>17.438070160781503</v>
      </c>
      <c r="I2">
        <f>2*PI()*G2/B2</f>
        <v>3.0435173949941419</v>
      </c>
      <c r="J2">
        <v>0.125</v>
      </c>
      <c r="K2">
        <f>C2/2+J2</f>
        <v>1.25</v>
      </c>
      <c r="L2">
        <f>D2*K2</f>
        <v>10.35276180410083</v>
      </c>
      <c r="M2">
        <f>$C$3/2+J2</f>
        <v>2.375</v>
      </c>
      <c r="N2">
        <f>D2*M2</f>
        <v>19.670247427791576</v>
      </c>
      <c r="O2">
        <f>SQRT(POWER(L2,2)-POWER(G2,2))</f>
        <v>5.5819444855143887</v>
      </c>
      <c r="P2">
        <f>(C2+C3)/2</f>
        <v>3.375</v>
      </c>
      <c r="Q2">
        <f>D2*P2</f>
        <v>27.95245687107224</v>
      </c>
      <c r="R2">
        <f>ACOS((H2+G2)/Q2)</f>
        <v>0.36035632401741191</v>
      </c>
      <c r="S2">
        <f>Q2*SIN(R2)</f>
        <v>9.8562513427465301</v>
      </c>
      <c r="T2">
        <f>(S2-SQRT(POWER(N2,2)-POWER(H2,2)))</f>
        <v>0.75502379157504862</v>
      </c>
      <c r="U2">
        <f>O2-T2</f>
        <v>4.8269206939393401</v>
      </c>
      <c r="V2">
        <f>U2/I2</f>
        <v>1.5859678350708526</v>
      </c>
      <c r="W2">
        <f>3/1.466</f>
        <v>2.0463847203274215</v>
      </c>
      <c r="X2">
        <v>1</v>
      </c>
      <c r="Y2">
        <f>V2-1</f>
        <v>0.58596783507085259</v>
      </c>
      <c r="Z2">
        <f>W2-2</f>
        <v>4.6384720327421469E-2</v>
      </c>
      <c r="AA2">
        <f>1-Y2</f>
        <v>0.41403216492914741</v>
      </c>
      <c r="AB2">
        <f>3*D2</f>
        <v>24.846628329841991</v>
      </c>
      <c r="AC2">
        <f>PI()*COS(RADIANS(20))</f>
        <v>2.9521314340935492</v>
      </c>
      <c r="AD2">
        <f>(AC2/I2)</f>
        <v>0.96997357036601772</v>
      </c>
      <c r="AE2">
        <f>((V2*AB2)-(Y2*Z2*1.466))/AD2</f>
        <v>40.584721822317348</v>
      </c>
      <c r="AF2">
        <f>AB2/AE2</f>
        <v>0.61221630244559044</v>
      </c>
      <c r="AG2">
        <f>0.5*(L2+(Q2-N2))</f>
        <v>9.3174856236907466</v>
      </c>
      <c r="AH2">
        <f>SQRT(POWER(AG2,2)-POWER(G2,2))</f>
        <v>3.2854171142488395</v>
      </c>
      <c r="AI2">
        <f>S2-AH2</f>
        <v>6.5708342284976906</v>
      </c>
      <c r="AJ2">
        <f>2*Q2/(E2+1)</f>
        <v>18.634971247381493</v>
      </c>
      <c r="AK2">
        <f>(COS(R2)*POWER(X2,2))/(((1/AH2)+(1/AI2))*AJ2*AF2)</f>
        <v>0.17965335528349741</v>
      </c>
    </row>
    <row r="3" spans="1:37" s="11" customFormat="1" x14ac:dyDescent="0.25">
      <c r="A3" s="9">
        <v>5</v>
      </c>
      <c r="B3" s="9">
        <v>36</v>
      </c>
      <c r="C3" s="9">
        <v>4.5</v>
      </c>
      <c r="D3" s="10">
        <f t="shared" ref="D3:D8" si="0">8/COS(RADIANS(15))</f>
        <v>8.2822094432806637</v>
      </c>
      <c r="E3" s="10">
        <v>0.5</v>
      </c>
      <c r="F3" s="11">
        <f>B3/(2*COS(RADIANS(Basic!F3)))</f>
        <v>18.634971247381493</v>
      </c>
      <c r="G3" s="11">
        <f>F3*COS(RADIANS(Basic!H3))</f>
        <v>17.438070160781503</v>
      </c>
      <c r="H3" s="11">
        <f t="shared" ref="H3:H8" si="1">E3*G3</f>
        <v>8.7190350803907517</v>
      </c>
      <c r="I3" s="11">
        <f t="shared" ref="I3:I8" si="2">2*PI()*G3/B3</f>
        <v>3.0435173949941419</v>
      </c>
      <c r="J3" s="11">
        <v>0.125</v>
      </c>
      <c r="K3" s="11">
        <f t="shared" ref="K3:K8" si="3">C3/2+J3</f>
        <v>2.375</v>
      </c>
      <c r="L3" s="11">
        <f t="shared" ref="L3:L8" si="4">D3*K3</f>
        <v>19.670247427791576</v>
      </c>
      <c r="N3" s="11">
        <f t="shared" ref="N3:N8" si="5">D3*M3</f>
        <v>0</v>
      </c>
      <c r="O3" s="11">
        <f t="shared" ref="O3:O8" si="6">SQRT(POWER(L3,2)-POWER(G3,2))</f>
        <v>9.1012275511714815</v>
      </c>
      <c r="Q3" s="11">
        <f t="shared" ref="Q3:Q8" si="7">D3*P3</f>
        <v>0</v>
      </c>
      <c r="R3" s="11" t="e">
        <f t="shared" ref="R3:R8" si="8">ACOS((H3+G3)/Q3)</f>
        <v>#DIV/0!</v>
      </c>
      <c r="S3" s="11" t="e">
        <f t="shared" ref="S3:S8" si="9">Q3*SIN(R3)</f>
        <v>#DIV/0!</v>
      </c>
      <c r="T3" s="11" t="e">
        <f t="shared" ref="T3:T8" si="10">(S3-SQRT(POWER(N3,2)-POWER(H3,2)))</f>
        <v>#DIV/0!</v>
      </c>
      <c r="U3" s="11" t="e">
        <f t="shared" ref="U3:U8" si="11">O3-T3</f>
        <v>#DIV/0!</v>
      </c>
      <c r="V3" s="11" t="e">
        <f t="shared" ref="V3:V8" si="12">U3/I3</f>
        <v>#DIV/0!</v>
      </c>
      <c r="W3" s="11">
        <f t="shared" ref="W3:W8" si="13">3/1.466</f>
        <v>2.0463847203274215</v>
      </c>
      <c r="X3" s="11">
        <v>1</v>
      </c>
      <c r="Y3" s="11" t="e">
        <f t="shared" ref="Y3:Y8" si="14">V3-1</f>
        <v>#DIV/0!</v>
      </c>
      <c r="Z3" s="11">
        <f t="shared" ref="Z3:Z8" si="15">W3-2</f>
        <v>4.6384720327421469E-2</v>
      </c>
      <c r="AA3" s="11" t="e">
        <f t="shared" ref="AA3:AA8" si="16">1-Y3</f>
        <v>#DIV/0!</v>
      </c>
      <c r="AB3" s="11">
        <f t="shared" ref="AB3:AB8" si="17">3*D3</f>
        <v>24.846628329841991</v>
      </c>
      <c r="AC3" s="11">
        <f t="shared" ref="AC3:AC8" si="18">PI()*COS(RADIANS(20))</f>
        <v>2.9521314340935492</v>
      </c>
      <c r="AD3" s="11">
        <f t="shared" ref="AD3:AD8" si="19">(AC3/I3)</f>
        <v>0.96997357036601772</v>
      </c>
      <c r="AE3" s="11" t="e">
        <f t="shared" ref="AE3:AE8" si="20">((V3*AB3)-(Y3*Z3*1.466))/AD3</f>
        <v>#DIV/0!</v>
      </c>
      <c r="AF3" s="11" t="e">
        <f t="shared" ref="AF3:AF8" si="21">AB3/AE3</f>
        <v>#DIV/0!</v>
      </c>
      <c r="AG3" s="11">
        <f t="shared" ref="AG3:AG8" si="22">0.5*(L3+(Q3-N3))</f>
        <v>9.8351237138957881</v>
      </c>
      <c r="AH3" s="11" t="e">
        <f t="shared" ref="AH3:AH8" si="23">SQRT(POWER(AG3,2)-POWER(G3,2))</f>
        <v>#NUM!</v>
      </c>
      <c r="AI3" s="11" t="e">
        <f t="shared" ref="AI3:AI8" si="24">S3-AH3</f>
        <v>#DIV/0!</v>
      </c>
      <c r="AJ3" s="11">
        <f t="shared" ref="AJ3:AJ8" si="25">2*Q3/(E3+1)</f>
        <v>0</v>
      </c>
      <c r="AK3" s="11" t="e">
        <f t="shared" ref="AK3:AK8" si="26">(COS(R3)*POWER(X3,2))/(((1/AH3)+(1/AI3))*AJ3*AF3)</f>
        <v>#DIV/0!</v>
      </c>
    </row>
    <row r="4" spans="1:37" s="11" customFormat="1" x14ac:dyDescent="0.25">
      <c r="A4" s="9">
        <v>2</v>
      </c>
      <c r="B4" s="9">
        <v>54</v>
      </c>
      <c r="C4" s="9">
        <v>6.75</v>
      </c>
      <c r="D4" s="10">
        <f t="shared" si="0"/>
        <v>8.2822094432806637</v>
      </c>
      <c r="E4" s="10">
        <v>0.33300000000000002</v>
      </c>
      <c r="F4" s="11">
        <f>B4/(2*COS(RADIANS(Basic!F4)))</f>
        <v>27.95245687107224</v>
      </c>
      <c r="G4" s="11">
        <f>F4*COS(RADIANS(Basic!H4))</f>
        <v>26.157105241172257</v>
      </c>
      <c r="H4" s="11">
        <f t="shared" si="1"/>
        <v>8.7103160453103623</v>
      </c>
      <c r="I4" s="11">
        <f t="shared" si="2"/>
        <v>3.0435173949941423</v>
      </c>
      <c r="J4" s="11">
        <v>0.125</v>
      </c>
      <c r="K4" s="11">
        <f t="shared" si="3"/>
        <v>3.5</v>
      </c>
      <c r="L4" s="11">
        <f t="shared" si="4"/>
        <v>28.987733051482323</v>
      </c>
      <c r="N4" s="11">
        <f t="shared" si="5"/>
        <v>0</v>
      </c>
      <c r="O4" s="11">
        <f t="shared" si="6"/>
        <v>12.49377896659932</v>
      </c>
      <c r="Q4" s="11">
        <f t="shared" si="7"/>
        <v>0</v>
      </c>
      <c r="R4" s="11" t="e">
        <f t="shared" si="8"/>
        <v>#DIV/0!</v>
      </c>
      <c r="S4" s="11" t="e">
        <f t="shared" si="9"/>
        <v>#DIV/0!</v>
      </c>
      <c r="T4" s="11" t="e">
        <f t="shared" si="10"/>
        <v>#DIV/0!</v>
      </c>
      <c r="U4" s="11" t="e">
        <f t="shared" si="11"/>
        <v>#DIV/0!</v>
      </c>
      <c r="V4" s="11" t="e">
        <f t="shared" si="12"/>
        <v>#DIV/0!</v>
      </c>
      <c r="W4" s="11">
        <f t="shared" si="13"/>
        <v>2.0463847203274215</v>
      </c>
      <c r="X4" s="11">
        <v>1</v>
      </c>
      <c r="Y4" s="11" t="e">
        <f t="shared" si="14"/>
        <v>#DIV/0!</v>
      </c>
      <c r="Z4" s="11">
        <f t="shared" si="15"/>
        <v>4.6384720327421469E-2</v>
      </c>
      <c r="AA4" s="11" t="e">
        <f t="shared" si="16"/>
        <v>#DIV/0!</v>
      </c>
      <c r="AB4" s="11">
        <f t="shared" si="17"/>
        <v>24.846628329841991</v>
      </c>
      <c r="AC4" s="11">
        <f t="shared" si="18"/>
        <v>2.9521314340935492</v>
      </c>
      <c r="AD4" s="11">
        <f t="shared" si="19"/>
        <v>0.96997357036601761</v>
      </c>
      <c r="AE4" s="11" t="e">
        <f t="shared" si="20"/>
        <v>#DIV/0!</v>
      </c>
      <c r="AF4" s="11" t="e">
        <f t="shared" si="21"/>
        <v>#DIV/0!</v>
      </c>
      <c r="AG4" s="11">
        <f t="shared" si="22"/>
        <v>14.493866525741161</v>
      </c>
      <c r="AH4" s="11" t="e">
        <f t="shared" si="23"/>
        <v>#NUM!</v>
      </c>
      <c r="AI4" s="11" t="e">
        <f t="shared" si="24"/>
        <v>#DIV/0!</v>
      </c>
      <c r="AJ4" s="11">
        <f t="shared" si="25"/>
        <v>0</v>
      </c>
      <c r="AK4" s="11" t="e">
        <f t="shared" si="26"/>
        <v>#DIV/0!</v>
      </c>
    </row>
    <row r="5" spans="1:37" x14ac:dyDescent="0.25">
      <c r="A5" s="5">
        <v>8</v>
      </c>
      <c r="B5" s="5">
        <v>18</v>
      </c>
      <c r="C5" s="5">
        <v>2.25</v>
      </c>
      <c r="D5" s="7">
        <f t="shared" si="0"/>
        <v>8.2822094432806637</v>
      </c>
      <c r="E5" s="8">
        <v>2</v>
      </c>
      <c r="F5">
        <f>B5/(2*COS(RADIANS(Basic!F5)))</f>
        <v>9.3174856236907466</v>
      </c>
      <c r="G5">
        <f>F5*COS(RADIANS(Basic!H5))</f>
        <v>8.7190350803907517</v>
      </c>
      <c r="H5">
        <f t="shared" si="1"/>
        <v>17.438070160781503</v>
      </c>
      <c r="I5">
        <f t="shared" si="2"/>
        <v>3.0435173949941419</v>
      </c>
      <c r="J5">
        <v>0.125</v>
      </c>
      <c r="K5">
        <f t="shared" si="3"/>
        <v>1.25</v>
      </c>
      <c r="L5">
        <f t="shared" si="4"/>
        <v>10.35276180410083</v>
      </c>
      <c r="M5">
        <f>$C$6/2+J5</f>
        <v>2.375</v>
      </c>
      <c r="N5">
        <f t="shared" si="5"/>
        <v>19.670247427791576</v>
      </c>
      <c r="O5">
        <f t="shared" si="6"/>
        <v>5.5819444855143887</v>
      </c>
      <c r="P5">
        <f>(C5+C6)/2</f>
        <v>3.375</v>
      </c>
      <c r="Q5">
        <f t="shared" si="7"/>
        <v>27.95245687107224</v>
      </c>
      <c r="R5">
        <f t="shared" si="8"/>
        <v>0.36035632401741191</v>
      </c>
      <c r="S5">
        <f t="shared" si="9"/>
        <v>9.8562513427465301</v>
      </c>
      <c r="T5">
        <f t="shared" si="10"/>
        <v>0.75502379157504862</v>
      </c>
      <c r="U5">
        <f t="shared" si="11"/>
        <v>4.8269206939393401</v>
      </c>
      <c r="V5">
        <f t="shared" si="12"/>
        <v>1.5859678350708526</v>
      </c>
      <c r="W5">
        <f t="shared" si="13"/>
        <v>2.0463847203274215</v>
      </c>
      <c r="X5">
        <v>1</v>
      </c>
      <c r="Y5">
        <f t="shared" si="14"/>
        <v>0.58596783507085259</v>
      </c>
      <c r="Z5">
        <f t="shared" si="15"/>
        <v>4.6384720327421469E-2</v>
      </c>
      <c r="AA5">
        <f t="shared" si="16"/>
        <v>0.41403216492914741</v>
      </c>
      <c r="AB5">
        <f t="shared" si="17"/>
        <v>24.846628329841991</v>
      </c>
      <c r="AC5">
        <f t="shared" si="18"/>
        <v>2.9521314340935492</v>
      </c>
      <c r="AD5">
        <f t="shared" si="19"/>
        <v>0.96997357036601772</v>
      </c>
      <c r="AE5">
        <f t="shared" si="20"/>
        <v>40.584721822317348</v>
      </c>
      <c r="AF5">
        <f t="shared" si="21"/>
        <v>0.61221630244559044</v>
      </c>
      <c r="AG5">
        <f t="shared" si="22"/>
        <v>9.3174856236907466</v>
      </c>
      <c r="AH5">
        <f t="shared" si="23"/>
        <v>3.2854171142488395</v>
      </c>
      <c r="AI5">
        <f t="shared" si="24"/>
        <v>6.5708342284976906</v>
      </c>
      <c r="AJ5">
        <f t="shared" si="25"/>
        <v>18.634971247381493</v>
      </c>
      <c r="AK5">
        <f t="shared" si="26"/>
        <v>0.17965335528349741</v>
      </c>
    </row>
    <row r="6" spans="1:37" s="11" customFormat="1" x14ac:dyDescent="0.25">
      <c r="A6" s="9">
        <v>9</v>
      </c>
      <c r="B6" s="9">
        <v>36</v>
      </c>
      <c r="C6" s="9">
        <v>4.5</v>
      </c>
      <c r="D6" s="10">
        <f t="shared" si="0"/>
        <v>8.2822094432806637</v>
      </c>
      <c r="E6" s="12">
        <v>0.5</v>
      </c>
      <c r="F6" s="11">
        <f>B6/(2*COS(RADIANS(Basic!F6)))</f>
        <v>18.634971247381493</v>
      </c>
      <c r="G6" s="11">
        <f>F6*COS(RADIANS(Basic!H6))</f>
        <v>17.438070160781503</v>
      </c>
      <c r="H6" s="11">
        <f t="shared" si="1"/>
        <v>8.7190350803907517</v>
      </c>
      <c r="I6" s="11">
        <f t="shared" si="2"/>
        <v>3.0435173949941419</v>
      </c>
      <c r="J6" s="11">
        <v>0.125</v>
      </c>
      <c r="K6" s="11">
        <f t="shared" si="3"/>
        <v>2.375</v>
      </c>
      <c r="L6" s="11">
        <f t="shared" si="4"/>
        <v>19.670247427791576</v>
      </c>
      <c r="N6" s="11">
        <f t="shared" si="5"/>
        <v>0</v>
      </c>
      <c r="O6" s="11">
        <f t="shared" si="6"/>
        <v>9.1012275511714815</v>
      </c>
      <c r="Q6" s="11">
        <f t="shared" si="7"/>
        <v>0</v>
      </c>
      <c r="R6" s="11" t="e">
        <f t="shared" si="8"/>
        <v>#DIV/0!</v>
      </c>
      <c r="S6" s="11" t="e">
        <f t="shared" si="9"/>
        <v>#DIV/0!</v>
      </c>
      <c r="T6" s="11" t="e">
        <f t="shared" si="10"/>
        <v>#DIV/0!</v>
      </c>
      <c r="U6" s="11" t="e">
        <f t="shared" si="11"/>
        <v>#DIV/0!</v>
      </c>
      <c r="V6" s="11" t="e">
        <f t="shared" si="12"/>
        <v>#DIV/0!</v>
      </c>
      <c r="W6" s="11">
        <f t="shared" si="13"/>
        <v>2.0463847203274215</v>
      </c>
      <c r="X6" s="11">
        <v>1</v>
      </c>
      <c r="Y6" s="11" t="e">
        <f t="shared" si="14"/>
        <v>#DIV/0!</v>
      </c>
      <c r="Z6" s="11">
        <f t="shared" si="15"/>
        <v>4.6384720327421469E-2</v>
      </c>
      <c r="AA6" s="11" t="e">
        <f t="shared" si="16"/>
        <v>#DIV/0!</v>
      </c>
      <c r="AB6" s="11">
        <f t="shared" si="17"/>
        <v>24.846628329841991</v>
      </c>
      <c r="AC6" s="11">
        <f t="shared" si="18"/>
        <v>2.9521314340935492</v>
      </c>
      <c r="AD6" s="11">
        <f t="shared" si="19"/>
        <v>0.96997357036601772</v>
      </c>
      <c r="AE6" s="11" t="e">
        <f t="shared" si="20"/>
        <v>#DIV/0!</v>
      </c>
      <c r="AF6" s="11" t="e">
        <f t="shared" si="21"/>
        <v>#DIV/0!</v>
      </c>
      <c r="AG6" s="11">
        <f t="shared" si="22"/>
        <v>9.8351237138957881</v>
      </c>
      <c r="AH6" s="11" t="e">
        <f t="shared" si="23"/>
        <v>#NUM!</v>
      </c>
      <c r="AI6" s="11" t="e">
        <f t="shared" si="24"/>
        <v>#DIV/0!</v>
      </c>
      <c r="AJ6" s="11">
        <f t="shared" si="25"/>
        <v>0</v>
      </c>
      <c r="AK6" s="11" t="e">
        <f t="shared" si="26"/>
        <v>#DIV/0!</v>
      </c>
    </row>
    <row r="7" spans="1:37" x14ac:dyDescent="0.25">
      <c r="A7" s="5">
        <v>10</v>
      </c>
      <c r="B7" s="5">
        <v>18</v>
      </c>
      <c r="C7" s="5">
        <v>2.25</v>
      </c>
      <c r="D7" s="7">
        <f t="shared" si="0"/>
        <v>8.2822094432806637</v>
      </c>
      <c r="E7" s="8">
        <v>2.5</v>
      </c>
      <c r="F7">
        <f>B7/(2*COS(RADIANS(Basic!F7)))</f>
        <v>9.3174856236907466</v>
      </c>
      <c r="G7">
        <f>F7*COS(RADIANS(Basic!H7))</f>
        <v>8.7190350803907517</v>
      </c>
      <c r="H7">
        <f t="shared" si="1"/>
        <v>21.79758770097688</v>
      </c>
      <c r="I7">
        <f t="shared" si="2"/>
        <v>3.0435173949941419</v>
      </c>
      <c r="J7">
        <v>0.125</v>
      </c>
      <c r="K7">
        <f t="shared" si="3"/>
        <v>1.25</v>
      </c>
      <c r="L7">
        <f t="shared" si="4"/>
        <v>10.35276180410083</v>
      </c>
      <c r="M7">
        <f>$C$8/2+J7</f>
        <v>2.9375</v>
      </c>
      <c r="N7">
        <f t="shared" si="5"/>
        <v>24.328990239636951</v>
      </c>
      <c r="O7">
        <f t="shared" si="6"/>
        <v>5.5819444855143887</v>
      </c>
      <c r="P7">
        <f>(C7+C8)/2</f>
        <v>3.9375</v>
      </c>
      <c r="Q7">
        <f t="shared" si="7"/>
        <v>32.611199682917615</v>
      </c>
      <c r="R7">
        <f t="shared" si="8"/>
        <v>0.36035632401741191</v>
      </c>
      <c r="S7">
        <f t="shared" si="9"/>
        <v>11.498959899870954</v>
      </c>
      <c r="T7">
        <f t="shared" si="10"/>
        <v>0.69317735076459819</v>
      </c>
      <c r="U7">
        <f t="shared" si="11"/>
        <v>4.8887671347497905</v>
      </c>
      <c r="V7">
        <f t="shared" si="12"/>
        <v>1.6062885471890658</v>
      </c>
      <c r="W7">
        <f t="shared" si="13"/>
        <v>2.0463847203274215</v>
      </c>
      <c r="X7">
        <v>1</v>
      </c>
      <c r="Y7">
        <f t="shared" si="14"/>
        <v>0.60628854718906577</v>
      </c>
      <c r="Z7">
        <f t="shared" si="15"/>
        <v>4.6384720327421469E-2</v>
      </c>
      <c r="AA7">
        <f t="shared" si="16"/>
        <v>0.39371145281093423</v>
      </c>
      <c r="AB7">
        <f t="shared" si="17"/>
        <v>24.846628329841991</v>
      </c>
      <c r="AC7">
        <f t="shared" si="18"/>
        <v>2.9521314340935492</v>
      </c>
      <c r="AD7">
        <f t="shared" si="19"/>
        <v>0.96997357036601772</v>
      </c>
      <c r="AE7">
        <f t="shared" si="20"/>
        <v>41.103828103517287</v>
      </c>
      <c r="AF7">
        <f t="shared" si="21"/>
        <v>0.6044845328582874</v>
      </c>
      <c r="AG7">
        <f t="shared" si="22"/>
        <v>9.3174856236907466</v>
      </c>
      <c r="AH7">
        <f t="shared" si="23"/>
        <v>3.2854171142488395</v>
      </c>
      <c r="AI7">
        <f t="shared" si="24"/>
        <v>8.2135427856221135</v>
      </c>
      <c r="AJ7">
        <f>2*Q7/(E7+1)</f>
        <v>18.634971247381493</v>
      </c>
      <c r="AK7">
        <f t="shared" si="26"/>
        <v>0.1949477617144392</v>
      </c>
    </row>
    <row r="8" spans="1:37" s="11" customFormat="1" x14ac:dyDescent="0.25">
      <c r="A8" s="9">
        <v>11</v>
      </c>
      <c r="B8" s="9">
        <v>45</v>
      </c>
      <c r="C8" s="9">
        <v>5.625</v>
      </c>
      <c r="D8" s="10">
        <f t="shared" si="0"/>
        <v>8.2822094432806637</v>
      </c>
      <c r="E8" s="12">
        <v>0.4</v>
      </c>
      <c r="F8" s="11">
        <f>B8/(2*COS(RADIANS(Basic!F8)))</f>
        <v>23.293714059226868</v>
      </c>
      <c r="G8" s="11">
        <f>F8*COS(RADIANS(Basic!H8))</f>
        <v>21.79758770097688</v>
      </c>
      <c r="H8" s="11">
        <f t="shared" si="1"/>
        <v>8.7190350803907517</v>
      </c>
      <c r="I8" s="11">
        <f t="shared" si="2"/>
        <v>3.0435173949941423</v>
      </c>
      <c r="J8" s="11">
        <v>0.125</v>
      </c>
      <c r="K8" s="11">
        <f t="shared" si="3"/>
        <v>2.9375</v>
      </c>
      <c r="L8" s="11">
        <f t="shared" si="4"/>
        <v>24.328990239636951</v>
      </c>
      <c r="N8" s="11">
        <f t="shared" si="5"/>
        <v>0</v>
      </c>
      <c r="O8" s="11">
        <f t="shared" si="6"/>
        <v>10.805782549106356</v>
      </c>
      <c r="Q8" s="11">
        <f t="shared" si="7"/>
        <v>0</v>
      </c>
      <c r="R8" s="11" t="e">
        <f t="shared" si="8"/>
        <v>#DIV/0!</v>
      </c>
      <c r="S8" s="11" t="e">
        <f t="shared" si="9"/>
        <v>#DIV/0!</v>
      </c>
      <c r="T8" s="11" t="e">
        <f t="shared" si="10"/>
        <v>#DIV/0!</v>
      </c>
      <c r="U8" s="11" t="e">
        <f t="shared" si="11"/>
        <v>#DIV/0!</v>
      </c>
      <c r="V8" s="11" t="e">
        <f t="shared" si="12"/>
        <v>#DIV/0!</v>
      </c>
      <c r="W8" s="11">
        <f t="shared" si="13"/>
        <v>2.0463847203274215</v>
      </c>
      <c r="X8" s="11">
        <v>1</v>
      </c>
      <c r="Y8" s="11" t="e">
        <f t="shared" si="14"/>
        <v>#DIV/0!</v>
      </c>
      <c r="Z8" s="11">
        <f t="shared" si="15"/>
        <v>4.6384720327421469E-2</v>
      </c>
      <c r="AA8" s="11" t="e">
        <f t="shared" si="16"/>
        <v>#DIV/0!</v>
      </c>
      <c r="AB8" s="11">
        <f t="shared" si="17"/>
        <v>24.846628329841991</v>
      </c>
      <c r="AC8" s="11">
        <f t="shared" si="18"/>
        <v>2.9521314340935492</v>
      </c>
      <c r="AD8" s="11">
        <f t="shared" si="19"/>
        <v>0.96997357036601761</v>
      </c>
      <c r="AE8" s="11" t="e">
        <f t="shared" si="20"/>
        <v>#DIV/0!</v>
      </c>
      <c r="AF8" s="11" t="e">
        <f t="shared" si="21"/>
        <v>#DIV/0!</v>
      </c>
      <c r="AG8" s="11">
        <f t="shared" si="22"/>
        <v>12.164495119818476</v>
      </c>
      <c r="AH8" s="11" t="e">
        <f t="shared" si="23"/>
        <v>#NUM!</v>
      </c>
      <c r="AI8" s="11" t="e">
        <f t="shared" si="24"/>
        <v>#DIV/0!</v>
      </c>
      <c r="AJ8" s="11">
        <f t="shared" si="25"/>
        <v>0</v>
      </c>
      <c r="AK8" s="11" t="e">
        <f t="shared" si="26"/>
        <v>#DIV/0!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8FA3E-1B36-4011-8F97-8311A129C52A}">
  <dimension ref="A1:M9"/>
  <sheetViews>
    <sheetView workbookViewId="0">
      <selection activeCell="R9" sqref="R9"/>
    </sheetView>
  </sheetViews>
  <sheetFormatPr defaultRowHeight="15" x14ac:dyDescent="0.25"/>
  <cols>
    <col min="12" max="12" width="18.42578125" customWidth="1"/>
  </cols>
  <sheetData>
    <row r="1" spans="1:13" ht="60" x14ac:dyDescent="0.25">
      <c r="A1" s="3" t="s">
        <v>0</v>
      </c>
      <c r="B1" s="3" t="s">
        <v>28</v>
      </c>
      <c r="C1" s="3" t="s">
        <v>29</v>
      </c>
      <c r="D1" s="3" t="s">
        <v>27</v>
      </c>
      <c r="E1" s="3" t="s">
        <v>30</v>
      </c>
      <c r="F1" s="3" t="s">
        <v>31</v>
      </c>
      <c r="G1" s="4" t="s">
        <v>4</v>
      </c>
      <c r="H1" s="4" t="s">
        <v>12</v>
      </c>
      <c r="I1" s="4" t="s">
        <v>2</v>
      </c>
      <c r="J1" s="4" t="s">
        <v>69</v>
      </c>
      <c r="K1" s="4" t="s">
        <v>70</v>
      </c>
      <c r="L1" s="4" t="s">
        <v>71</v>
      </c>
      <c r="M1" s="4" t="s">
        <v>72</v>
      </c>
    </row>
    <row r="2" spans="1:13" x14ac:dyDescent="0.25">
      <c r="A2" s="5">
        <v>8</v>
      </c>
      <c r="B2" s="5">
        <v>1.5</v>
      </c>
      <c r="C2" s="5">
        <v>1</v>
      </c>
      <c r="D2" s="5">
        <v>1.3067500000000001</v>
      </c>
      <c r="E2" s="5">
        <v>1</v>
      </c>
      <c r="F2" s="5">
        <v>1.25</v>
      </c>
      <c r="G2" s="5">
        <v>3</v>
      </c>
      <c r="H2" s="5">
        <v>414.81481481481484</v>
      </c>
      <c r="I2" s="5">
        <v>2.25</v>
      </c>
      <c r="J2" s="5">
        <v>0.17965335528349741</v>
      </c>
      <c r="K2" s="5">
        <v>2300</v>
      </c>
      <c r="L2" s="6">
        <f>K2*SQRT((H2*B2*C2*D2*F2)/(G2*I2*J2))</f>
        <v>66585.904403791501</v>
      </c>
      <c r="M2" s="6">
        <f>L2*1*1.25/0.857</f>
        <v>97120.630693978281</v>
      </c>
    </row>
    <row r="3" spans="1:13" x14ac:dyDescent="0.25">
      <c r="A3" s="5">
        <v>10</v>
      </c>
      <c r="B3" s="5">
        <v>1.5</v>
      </c>
      <c r="C3" s="5">
        <v>1</v>
      </c>
      <c r="D3" s="5">
        <v>1.3067500000000001</v>
      </c>
      <c r="E3" s="5">
        <v>1</v>
      </c>
      <c r="F3" s="5">
        <v>1.3</v>
      </c>
      <c r="G3" s="5">
        <v>3</v>
      </c>
      <c r="H3" s="5">
        <v>829.62962962962968</v>
      </c>
      <c r="I3" s="5">
        <v>2.25</v>
      </c>
      <c r="J3" s="5">
        <v>0.19494776171443901</v>
      </c>
      <c r="K3" s="5">
        <v>2300</v>
      </c>
      <c r="L3" s="6">
        <f>K3*SQRT((H3*B3*C3*D3*F3)/(G3*I3*J3))</f>
        <v>92187.600295155207</v>
      </c>
      <c r="M3" s="6">
        <f t="shared" ref="M3:M4" si="0">L3*1*1.25/0.857</f>
        <v>134462.66087391367</v>
      </c>
    </row>
    <row r="4" spans="1:13" x14ac:dyDescent="0.25">
      <c r="A4" s="5">
        <v>1</v>
      </c>
      <c r="B4" s="5">
        <v>1.5</v>
      </c>
      <c r="C4" s="5">
        <v>1</v>
      </c>
      <c r="D4" s="5">
        <v>1.3067500000000001</v>
      </c>
      <c r="E4" s="5">
        <v>1</v>
      </c>
      <c r="F4" s="5">
        <v>1.25</v>
      </c>
      <c r="G4" s="5">
        <v>3</v>
      </c>
      <c r="H4" s="5">
        <f>Basic!$M$2</f>
        <v>912.59259259259261</v>
      </c>
      <c r="I4" s="5">
        <v>2.25</v>
      </c>
      <c r="J4" s="5">
        <f>'I factor'!$AK$2</f>
        <v>0.17965335528349741</v>
      </c>
      <c r="K4" s="5">
        <v>2300</v>
      </c>
      <c r="L4" s="6">
        <f>K4*SQRT((H4*B4*C4*D4*F4)/(G4*I4*J4))</f>
        <v>98762.856700258984</v>
      </c>
      <c r="M4" s="6">
        <f t="shared" si="0"/>
        <v>144053.17488369162</v>
      </c>
    </row>
    <row r="5" spans="1:13" x14ac:dyDescent="0.25">
      <c r="A5" s="5">
        <v>12</v>
      </c>
      <c r="B5" s="5">
        <v>1.5</v>
      </c>
      <c r="C5" s="5">
        <v>1</v>
      </c>
      <c r="D5" s="5">
        <v>1.3067500000000001</v>
      </c>
      <c r="E5" s="5">
        <v>1</v>
      </c>
      <c r="F5" s="5">
        <v>1.25</v>
      </c>
      <c r="G5" s="5">
        <v>3</v>
      </c>
      <c r="H5">
        <v>331.85185185185185</v>
      </c>
      <c r="I5" s="5">
        <v>2.25</v>
      </c>
      <c r="J5" s="5">
        <f>'I factor'!$AK$2</f>
        <v>0.17965335528349741</v>
      </c>
      <c r="K5" s="5">
        <v>2300</v>
      </c>
      <c r="L5" s="6">
        <f>K5*SQRT((H5*B5*C5*D5*F5)/(G5*I5*J5))</f>
        <v>59556.243436072145</v>
      </c>
      <c r="M5" s="6">
        <f t="shared" ref="M5" si="1">L5*1*1.25/0.857</f>
        <v>86867.332899755173</v>
      </c>
    </row>
    <row r="8" spans="1:13" ht="60" x14ac:dyDescent="0.25">
      <c r="A8" s="3" t="s">
        <v>0</v>
      </c>
      <c r="B8" s="3" t="s">
        <v>28</v>
      </c>
      <c r="C8" s="3" t="s">
        <v>29</v>
      </c>
      <c r="D8" s="3" t="s">
        <v>27</v>
      </c>
      <c r="E8" s="3" t="s">
        <v>30</v>
      </c>
      <c r="F8" s="3" t="s">
        <v>31</v>
      </c>
      <c r="G8" s="4" t="s">
        <v>4</v>
      </c>
      <c r="H8" s="4" t="s">
        <v>12</v>
      </c>
      <c r="I8" s="4" t="s">
        <v>2</v>
      </c>
      <c r="J8" s="4" t="s">
        <v>69</v>
      </c>
      <c r="K8" s="4" t="s">
        <v>70</v>
      </c>
      <c r="L8" s="4" t="s">
        <v>71</v>
      </c>
      <c r="M8" s="4" t="s">
        <v>72</v>
      </c>
    </row>
    <row r="9" spans="1:13" x14ac:dyDescent="0.25">
      <c r="A9" s="5">
        <v>12</v>
      </c>
      <c r="B9" s="5">
        <v>1.5</v>
      </c>
      <c r="C9" s="5">
        <v>1</v>
      </c>
      <c r="D9" s="5">
        <v>1.3067500000000001</v>
      </c>
      <c r="E9" s="5">
        <v>1</v>
      </c>
      <c r="F9" s="5">
        <v>1.25</v>
      </c>
      <c r="G9" s="5">
        <v>3</v>
      </c>
      <c r="H9" s="5">
        <v>331.85185185185185</v>
      </c>
      <c r="I9" s="5">
        <v>2.25</v>
      </c>
      <c r="J9" s="5">
        <v>0.17965335528349741</v>
      </c>
      <c r="K9" s="5">
        <v>2300</v>
      </c>
      <c r="L9" s="6">
        <v>59556.243436072145</v>
      </c>
      <c r="M9" s="6">
        <v>86867.332899755173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48A2DB41D08734A9FD373FD8CF083E0" ma:contentTypeVersion="9" ma:contentTypeDescription="Create a new document." ma:contentTypeScope="" ma:versionID="1681d0473a7bcb7110b152e04601379b">
  <xsd:schema xmlns:xsd="http://www.w3.org/2001/XMLSchema" xmlns:xs="http://www.w3.org/2001/XMLSchema" xmlns:p="http://schemas.microsoft.com/office/2006/metadata/properties" xmlns:ns2="26e44680-a18d-4bd5-b27f-4f889f5c35c9" xmlns:ns3="00c6eed5-55d1-4f7d-8820-a1f0b06d1240" targetNamespace="http://schemas.microsoft.com/office/2006/metadata/properties" ma:root="true" ma:fieldsID="6ab61d30aeee52c54f851c0a2e28d01e" ns2:_="" ns3:_="">
    <xsd:import namespace="26e44680-a18d-4bd5-b27f-4f889f5c35c9"/>
    <xsd:import namespace="00c6eed5-55d1-4f7d-8820-a1f0b06d124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6e44680-a18d-4bd5-b27f-4f889f5c35c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2111843b-6948-4e45-a4d0-217e70d3d48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c6eed5-55d1-4f7d-8820-a1f0b06d1240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e6c8e234-cf1a-4616-bd9b-9bfae1923567}" ma:internalName="TaxCatchAll" ma:showField="CatchAllData" ma:web="00c6eed5-55d1-4f7d-8820-a1f0b06d124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4B7039B-BEC8-4917-A267-8A77232EB0F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6e44680-a18d-4bd5-b27f-4f889f5c35c9"/>
    <ds:schemaRef ds:uri="00c6eed5-55d1-4f7d-8820-a1f0b06d124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B2E85FA-3555-4589-BACC-206499BB90C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Basic</vt:lpstr>
      <vt:lpstr>Pitch Line</vt:lpstr>
      <vt:lpstr>Km</vt:lpstr>
      <vt:lpstr>St</vt:lpstr>
      <vt:lpstr>I factor</vt:lpstr>
      <vt:lpstr>Sc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Mohammad Umer</dc:creator>
  <cp:keywords/>
  <dc:description/>
  <cp:lastModifiedBy>Mohammad Umer</cp:lastModifiedBy>
  <cp:revision/>
  <dcterms:created xsi:type="dcterms:W3CDTF">2023-10-11T18:21:03Z</dcterms:created>
  <dcterms:modified xsi:type="dcterms:W3CDTF">2023-12-04T06:53:46Z</dcterms:modified>
  <cp:category/>
  <cp:contentStatus/>
</cp:coreProperties>
</file>