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tables/table8.xml" ContentType="application/vnd.openxmlformats-officedocument.spreadsheetml.table+xml"/>
  <Override PartName="/xl/persons/person.xml" ContentType="application/vnd.ms-excel.person+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9"/>
  <workbookPr/>
  <xr:revisionPtr revIDLastSave="2147" documentId="120_S{896023CD-FDF9-579F-9CB3-18C151858C7A}" xr6:coauthVersionLast="47" xr6:coauthVersionMax="47" xr10:uidLastSave="{2CF632F3-1236-4DE2-B1F1-C80EB2C6B45D}"/>
  <bookViews>
    <workbookView xWindow="240" yWindow="105" windowWidth="14805" windowHeight="8010" firstSheet="8" activeTab="2" xr2:uid="{00000000-000D-0000-FFFF-FFFF00000000}"/>
  </bookViews>
  <sheets>
    <sheet name="Overall Farm" sheetId="1" r:id="rId1"/>
    <sheet name="Plants(Zalka)" sheetId="2" r:id="rId2"/>
    <sheet name="Irrigation System(Arcus)" sheetId="3" r:id="rId3"/>
    <sheet name="Processing Machines(Ange Marie)" sheetId="4" r:id="rId4"/>
    <sheet name="Smart Dryer(Cedric)" sheetId="5" r:id="rId5"/>
    <sheet name="Solar PV power plant(Abdoul)" sheetId="6" r:id="rId6"/>
    <sheet name="Solar tracking(Narcisse)" sheetId="7" r:id="rId7"/>
    <sheet name="Narcisse" sheetId="10" r:id="rId8"/>
    <sheet name="No Reesa(Afiatou)" sheetId="8" r:id="rId9"/>
    <sheet name="Face Recognition(Yanick)" sheetId="9" r:id="rId1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7" i="2" l="1"/>
  <c r="I76" i="2"/>
  <c r="I75" i="2"/>
  <c r="I62" i="2"/>
  <c r="H76" i="2"/>
  <c r="H75" i="2"/>
  <c r="I60" i="2"/>
  <c r="I61" i="2"/>
  <c r="J22" i="5"/>
  <c r="I22" i="5"/>
  <c r="D88" i="5"/>
  <c r="D87" i="5"/>
  <c r="D92" i="5"/>
  <c r="D93" i="5"/>
  <c r="D91" i="5"/>
  <c r="D90" i="5"/>
  <c r="D89" i="5"/>
  <c r="D86" i="5"/>
  <c r="D85" i="5"/>
  <c r="D84" i="5"/>
  <c r="E38" i="1"/>
  <c r="D110" i="1"/>
  <c r="B71" i="1"/>
  <c r="B66" i="1"/>
  <c r="B61" i="1"/>
  <c r="B56" i="1"/>
  <c r="B49" i="1"/>
  <c r="B40" i="1"/>
  <c r="B38" i="1"/>
  <c r="C18" i="1"/>
  <c r="C17" i="1"/>
  <c r="N31" i="3"/>
  <c r="W31" i="3"/>
  <c r="W32" i="3"/>
  <c r="W30" i="3"/>
  <c r="Q34" i="3"/>
  <c r="Q39" i="3"/>
  <c r="Q40" i="3"/>
  <c r="E93" i="5"/>
  <c r="F93" i="5" s="1"/>
  <c r="E91" i="5"/>
  <c r="F91" i="5" s="1"/>
  <c r="E90" i="5"/>
  <c r="F90" i="5" s="1"/>
  <c r="E89" i="5"/>
  <c r="F89" i="5" s="1"/>
  <c r="E88" i="5"/>
  <c r="F88" i="5" s="1"/>
  <c r="E87" i="5"/>
  <c r="F87" i="5" s="1"/>
  <c r="E86" i="5"/>
  <c r="F86" i="5" s="1"/>
  <c r="E24" i="3"/>
  <c r="C16" i="6"/>
  <c r="C10" i="6"/>
  <c r="N32" i="3"/>
  <c r="N33" i="3"/>
  <c r="N34" i="3"/>
  <c r="N35" i="3"/>
  <c r="N30" i="3"/>
  <c r="N36" i="3" s="1"/>
  <c r="C22" i="6"/>
  <c r="C18" i="6"/>
  <c r="F24" i="3"/>
  <c r="AA30" i="3" l="1"/>
  <c r="AA32" i="3"/>
  <c r="AA31" i="3"/>
  <c r="Q31" i="3"/>
  <c r="O24" i="3"/>
  <c r="X32" i="3"/>
  <c r="X31" i="3"/>
  <c r="X30" i="3"/>
  <c r="E85" i="5"/>
  <c r="F85" i="5" s="1"/>
  <c r="E84" i="5"/>
  <c r="F84" i="5" s="1"/>
  <c r="E92" i="5"/>
  <c r="F92" i="5" s="1"/>
  <c r="G24" i="3"/>
  <c r="H24" i="3"/>
  <c r="Q33" i="3"/>
  <c r="P24" i="3" s="1"/>
  <c r="Q41" i="3"/>
  <c r="H84" i="5"/>
  <c r="H85" i="5"/>
  <c r="H86" i="5"/>
  <c r="H87" i="5"/>
  <c r="H88" i="5"/>
  <c r="H89" i="5"/>
  <c r="H90" i="5"/>
  <c r="H91" i="5"/>
  <c r="H92" i="5"/>
  <c r="H93" i="5"/>
  <c r="Y30" i="3" l="1"/>
  <c r="Z30" i="3" s="1"/>
  <c r="Y31" i="3"/>
  <c r="Z31" i="3" s="1"/>
  <c r="Y32" i="3"/>
  <c r="Z32" i="3" s="1"/>
  <c r="J24" i="3"/>
  <c r="K24" i="3" s="1"/>
  <c r="L24" i="3" s="1"/>
  <c r="M24" i="3" s="1"/>
  <c r="I24" i="3"/>
  <c r="M93" i="5"/>
  <c r="L93" i="5"/>
  <c r="M92" i="5"/>
  <c r="L92" i="5"/>
  <c r="M91" i="5"/>
  <c r="L91" i="5"/>
  <c r="M90" i="5"/>
  <c r="L90" i="5"/>
  <c r="M89" i="5"/>
  <c r="L89" i="5"/>
  <c r="M88" i="5"/>
  <c r="L88" i="5"/>
  <c r="M87" i="5"/>
  <c r="L87" i="5"/>
  <c r="M86" i="5"/>
  <c r="L86" i="5"/>
  <c r="M85" i="5"/>
  <c r="L85" i="5"/>
  <c r="M84" i="5"/>
  <c r="L84"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tc={B5CA61C2-7C5C-4BD6-B04E-23162FE0E237}</author>
    <author>tc={87341C9E-B9DB-46D3-A2AE-F69101F97733}</author>
    <author>tc={A2EC88CB-F0FA-4B5A-87BE-4EFA3FD8B23F}</author>
    <author>tc={E19C23D8-BDDB-4941-BC67-7D4382D1D427}</author>
    <author>tc={E63A8420-42E4-475E-9B92-4E143EEB8E76}</author>
    <author>tc={19629B0B-C54E-4B3C-8465-8E35837978E0}</author>
    <author>tc={2A25DE7A-0856-4475-AD35-68E9FCF33CAC}</author>
    <author>tc={892C97E1-21AA-4D14-AE88-EC5916786E41}</author>
    <author>tc={4A14AA5F-08E0-4FCB-A3C9-8381563E4600}</author>
    <author>tc={CC67322F-66CC-4932-B3F8-6FFF15835BFE}</author>
    <author>tc={0509A75C-744A-4D34-A90C-256795441E77}</author>
    <author>tc={73136E15-C0EE-4511-87AF-28D1D6E443C1}</author>
    <author>tc={76E52E48-D57E-45CC-8C24-B37A110B39FE}</author>
    <author>tc={1F6F246C-E630-4B82-BC73-079414E2AE0A}</author>
    <author>tc={D5590B21-3252-4B15-A613-BD2E41FDBFA8}</author>
    <author>tc={CB6F7D8E-A003-43C3-86F6-5C1E11FFE1C1}</author>
    <author>tc={30737756-ECBA-4179-BDAF-FE843EB63C53}</author>
  </authors>
  <commentList>
    <comment ref="A2" authorId="0" shapeId="0" xr:uid="{B5CA61C2-7C5C-4BD6-B04E-23162FE0E237}">
      <text>
        <t>[Threaded comment]
Your version of Excel allows you to read this threaded comment; however, any edits to it will get removed if the file is opened in a newer version of Excel. Learn more: https://go.microsoft.com/fwlink/?linkid=870924
Comment:
    To improve the irrigation system, we can use smart IoT control to monitor soil moisture and automate irrigation scheduling, include a remote monitoring dashboard in the system for performance tracking like PV output, water levels, etc, add water recycling and filtration units for better sustainability</t>
      </text>
    </comment>
    <comment ref="E24" authorId="1" shapeId="0" xr:uid="{87341C9E-B9DB-46D3-A2AE-F69101F97733}">
      <text>
        <t>[Threaded comment]
Your version of Excel allows you to read this threaded comment; however, any edits to it will get removed if the file is opened in a newer version of Excel. Learn more: https://go.microsoft.com/fwlink/?linkid=870924
Comment:
    where does 100 comes from? report, study, guess? 
Reply:
    this depends on how big is the spacing between the trees as well. could you add this parameter to the input column
Reply:
    100 is the estimated number of trees in 1 hectare with a space of 10 m between the trees. You can see the details in the input parameters and definitions</t>
      </text>
    </comment>
    <comment ref="F24" authorId="2" shapeId="0" xr:uid="{A2EC88CB-F0FA-4B5A-87BE-4EFA3FD8B23F}">
      <text>
        <t>[Threaded comment]
Your version of Excel allows you to read this threaded comment; however, any edits to it will get removed if the file is opened in a newer version of Excel. Learn more: https://go.microsoft.com/fwlink/?linkid=870924
Comment:
    please make the formula easy to explain e.g. what is 1000? what is 100? you could make a separate column for  the input parameters
Reply:
    You can find the explanation in the input parameters and definition table</t>
      </text>
    </comment>
    <comment ref="G24" authorId="3" shapeId="0" xr:uid="{E19C23D8-BDDB-4941-BC67-7D4382D1D427}">
      <text>
        <t>[Threaded comment]
Your version of Excel allows you to read this threaded comment; however, any edits to it will get removed if the file is opened in a newer version of Excel. Learn more: https://go.microsoft.com/fwlink/?linkid=870924
Comment:
    does the tree age play a role? e.g. young trees vs mature trees
Reply:
    does this number applies to all year long and all climate conditions e.g. in rainy season the number could be low, ..etc.
Reply:
    this is for mature mango trees in dry season</t>
      </text>
    </comment>
    <comment ref="H24" authorId="4" shapeId="0" xr:uid="{E63A8420-42E4-475E-9B92-4E143EEB8E76}">
      <text>
        <t>[Threaded comment]
Your version of Excel allows you to read this threaded comment; however, any edits to it will get removed if the file is opened in a newer version of Excel. Learn more: https://go.microsoft.com/fwlink/?linkid=870924
Comment:
    what is 5? please explain as suggested with input column
Reply:
    it represents the daily irrigation duration</t>
      </text>
    </comment>
    <comment ref="I24" authorId="5" shapeId="0" xr:uid="{19629B0B-C54E-4B3C-8465-8E35837978E0}">
      <text>
        <t>[Threaded comment]
Your version of Excel allows you to read this threaded comment; however, any edits to it will get removed if the file is opened in a newer version of Excel. Learn more: https://go.microsoft.com/fwlink/?linkid=870924
Comment:
    60 is the number of minutes in 1 hour</t>
      </text>
    </comment>
    <comment ref="N24" authorId="6" shapeId="0" xr:uid="{2A25DE7A-0856-4475-AD35-68E9FCF33CAC}">
      <text>
        <t>[Threaded comment]
Your version of Excel allows you to read this threaded comment; however, any edits to it will get removed if the file is opened in a newer version of Excel. Learn more: https://go.microsoft.com/fwlink/?linkid=870924
Comment:
    does this calculation include any buffer to compensate for losses e.g. efficiency, variations ...etc.?please consider that and adjust your calculations accordingly
Reply:
    yes, it does include any buffer for compensation in case of losses</t>
      </text>
    </comment>
    <comment ref="J28" authorId="7" shapeId="0" xr:uid="{892C97E1-21AA-4D14-AE88-EC5916786E41}">
      <text>
        <t>[Threaded comment]
Your version of Excel allows you to read this threaded comment; however, any edits to it will get removed if the file is opened in a newer version of Excel. Learn more: https://go.microsoft.com/fwlink/?linkid=870924
Comment:
    Some of the cost are local cost. For the smart add-on, drip irrigation, filtration+MPPT costs, it has been estimated basing on the international market</t>
      </text>
    </comment>
    <comment ref="J30" authorId="8" shapeId="0" xr:uid="{4A14AA5F-08E0-4FCB-A3C9-8381563E4600}">
      <text>
        <t>[Threaded comment]
Your version of Excel allows you to read this threaded comment; however, any edits to it will get removed if the file is opened in a newer version of Excel. Learn more: https://go.microsoft.com/fwlink/?linkid=870924
Comment:
    what is the capacity of the tank?</t>
      </text>
    </comment>
    <comment ref="N30" authorId="9" shapeId="0" xr:uid="{CC67322F-66CC-4932-B3F8-6FFF15835BFE}">
      <text>
        <t>[Threaded comment]
Your version of Excel allows you to read this threaded comment; however, any edits to it will get removed if the file is opened in a newer version of Excel. Learn more: https://go.microsoft.com/fwlink/?linkid=870924
Comment:
    did you consider any cheaper alternatives?
Reply:
    Yes I considered now</t>
      </text>
    </comment>
    <comment ref="W30" authorId="10" shapeId="0" xr:uid="{0509A75C-744A-4D34-A90C-256795441E77}">
      <text>
        <t>[Threaded comment]
Your version of Excel allows you to read this threaded comment; however, any edits to it will get removed if the file is opened in a newer version of Excel. Learn more: https://go.microsoft.com/fwlink/?linkid=870924
Comment:
    100 represents the daily needs in terms of water per tree</t>
      </text>
    </comment>
    <comment ref="S31" authorId="11" shapeId="0" xr:uid="{73136E15-C0EE-4511-87AF-28D1D6E443C1}">
      <text>
        <t>[Threaded comment]
Your version of Excel allows you to read this threaded comment; however, any edits to it will get removed if the file is opened in a newer version of Excel. Learn more: https://go.microsoft.com/fwlink/?linkid=870924
Comment:
    CAPEX (Capital Expenditure)</t>
      </text>
    </comment>
    <comment ref="M32" authorId="12" shapeId="0" xr:uid="{76E52E48-D57E-45CC-8C24-B37A110B39FE}">
      <text>
        <t>[Threaded comment]
Your version of Excel allows you to read this threaded comment; however, any edits to it will get removed if the file is opened in a newer version of Excel. Learn more: https://go.microsoft.com/fwlink/?linkid=870924
Comment:
    from which market? burkina faso, china, germany?</t>
      </text>
    </comment>
    <comment ref="N36" authorId="13" shapeId="0" xr:uid="{1F6F246C-E630-4B82-BC73-079414E2AE0A}">
      <text>
        <t>[Threaded comment]
Your version of Excel allows you to read this threaded comment; however, any edits to it will get removed if the file is opened in a newer version of Excel. Learn more: https://go.microsoft.com/fwlink/?linkid=870924
Comment:
    how much time do you think you can get this investment sum repaid back. payback period is short means a profitable project, if payback period is long it means less profitable project. make assumptions to calculate payback period
Reply:
    You can see it on the calculation table</t>
      </text>
    </comment>
    <comment ref="Q36" authorId="14" shapeId="0" xr:uid="{D5590B21-3252-4B15-A613-BD2E41FDBFA8}">
      <text>
        <t>[Threaded comment]
Your version of Excel allows you to read this threaded comment; however, any edits to it will get removed if the file is opened in a newer version of Excel. Learn more: https://go.microsoft.com/fwlink/?linkid=870924
Comment:
    replaced every 10 years; 2 replacement in total during the project lifetime</t>
      </text>
    </comment>
    <comment ref="Q37" authorId="15" shapeId="0" xr:uid="{CB6F7D8E-A003-43C3-86F6-5C1E11FFE1C1}">
      <text>
        <t>[Threaded comment]
Your version of Excel allows you to read this threaded comment; however, any edits to it will get removed if the file is opened in a newer version of Excel. Learn more: https://go.microsoft.com/fwlink/?linkid=870924
Comment:
    replaced every 10 years; 2 replacement in total</t>
      </text>
    </comment>
    <comment ref="Q38" authorId="16" shapeId="0" xr:uid="{30737756-ECBA-4179-BDAF-FE843EB63C53}">
      <text>
        <t>[Threaded comment]
Your version of Excel allows you to read this threaded comment; however, any edits to it will get removed if the file is opened in a newer version of Excel. Learn more: https://go.microsoft.com/fwlink/?linkid=870924
Comment:
    replaced every 10 years also; 2 replacement in total during the project lifetime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tc={3B5B4A5C-1540-4A5C-B265-7A9B69BF94B1}</author>
    <author>tc={55E8B360-440F-4231-87DA-16F19DBD6083}</author>
    <author>tc={DA61F77F-54E6-4B0E-9684-90D85F7012AC}</author>
    <author>tc={5E36174B-72D2-4061-AA6B-C464FF877BA9}</author>
    <author>tc={825DA654-6A40-49AF-B694-1A3FC6FE8696}</author>
    <author>tc={13DC0BDD-8FD5-44D4-980D-3FAC0AA6374D}</author>
    <author>tc={F175AF6E-155D-4863-833D-D392C61721FB}</author>
    <author>tc={4802152D-B483-4806-81E4-853604479D39}</author>
  </authors>
  <commentList>
    <comment ref="A2" authorId="0" shapeId="0" xr:uid="{3B5B4A5C-1540-4A5C-B265-7A9B69BF94B1}">
      <text>
        <t>[Threaded comment]
Your version of Excel allows you to read this threaded comment; however, any edits to it will get removed if the file is opened in a newer version of Excel. Learn more: https://go.microsoft.com/fwlink/?linkid=870924
Comment:
    we might not need a ball mill for the mango but what we need are machines which can be used for cutting the mango</t>
      </text>
    </comment>
    <comment ref="B3" authorId="1" shapeId="0" xr:uid="{55E8B360-440F-4231-87DA-16F19DBD6083}">
      <text>
        <t>[Threaded comment]
Your version of Excel allows you to read this threaded comment; however, any edits to it will get removed if the file is opened in a newer version of Excel. Learn more: https://go.microsoft.com/fwlink/?linkid=870924
Comment:
    why are the numbers fluctuating?
Reply:
    The numbers rise and fall because in Burkina Faso there are periods when mango production is very high and when this period passes production also falls.</t>
      </text>
    </comment>
    <comment ref="C3" authorId="2" shapeId="0" xr:uid="{DA61F77F-54E6-4B0E-9684-90D85F7012AC}">
      <text>
        <t>[Threaded comment]
Your version of Excel allows you to read this threaded comment; however, any edits to it will get removed if the file is opened in a newer version of Excel. Learn more: https://go.microsoft.com/fwlink/?linkid=870924
Comment:
    how is this calculated?
Reply:
    The number is based on study showing that the waste generated is around 50% of the quantity of processed mangoes.</t>
      </text>
    </comment>
    <comment ref="D3" authorId="3" shapeId="0" xr:uid="{5E36174B-72D2-4061-AA6B-C464FF877BA9}">
      <text>
        <t>[Threaded comment]
Your version of Excel allows you to read this threaded comment; however, any edits to it will get removed if the file is opened in a newer version of Excel. Learn more: https://go.microsoft.com/fwlink/?linkid=870924
Comment:
    how is biogas calculated? is it assumed or based on study?
Reply:
    The biogas is calculated by following this formula : 1 kg of mango waste gives 0.043 m³ of biogas. This formula is based on study from the net.</t>
      </text>
    </comment>
    <comment ref="Q3" authorId="4" shapeId="0" xr:uid="{825DA654-6A40-49AF-B694-1A3FC6FE8696}">
      <text>
        <t>[Threaded comment]
Your version of Excel allows you to read this threaded comment; however, any edits to it will get removed if the file is opened in a newer version of Excel. Learn more: https://go.microsoft.com/fwlink/?linkid=870924
Comment:
    This annual output is from the plant sheet in the common excel</t>
      </text>
    </comment>
    <comment ref="K4" authorId="5" shapeId="0" xr:uid="{13DC0BDD-8FD5-44D4-980D-3FAC0AA6374D}">
      <text>
        <t xml:space="preserve">[Threaded comment]
Your version of Excel allows you to read this threaded comment; however, any edits to it will get removed if the file is opened in a newer version of Excel. Learn more: https://go.microsoft.com/fwlink/?linkid=870924
Comment:
    This biogas volume was used to calculate biogas outputs for each month of the year.
</t>
      </text>
    </comment>
    <comment ref="J10" authorId="6" shapeId="0" xr:uid="{F175AF6E-155D-4863-833D-D392C61721FB}">
      <text>
        <t>[Threaded comment]
Your version of Excel allows you to read this threaded comment; however, any edits to it will get removed if the file is opened in a newer version of Excel. Learn more: https://go.microsoft.com/fwlink/?linkid=870924
Comment:
    Suitable for a 2-hectare farm  
Daily average     3 kW × 5 h × 30 days     
 1 m³ ≈ 6 kWh  </t>
      </text>
    </comment>
    <comment ref="N10" authorId="7" shapeId="0" xr:uid="{4802152D-B483-4806-81E4-853604479D39}">
      <text>
        <t>[Threaded comment]
Your version of Excel allows you to read this threaded comment; however, any edits to it will get removed if the file is opened in a newer version of Excel. Learn more: https://go.microsoft.com/fwlink/?linkid=870924
Comment:
    200–300 kg/hour1–2 hours/week sufficientSlicing &amp; DryingElectric/Solar Dehydrator50 kg/batch → 5 batches/weekMatches 
229 kg/week dried mango 
outputMilling to PowderHammer/Ball Mill50 kg/hour → ~2.5 hours/weekEfficient for 114.5 kg powder/week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tc={753BF6E2-4B3E-4436-9CF2-5A0882711F66}</author>
    <author>tc={9DCD46C4-20AA-4A19-9FC9-6EBAF2BD727D}</author>
    <author>tc={C7EF18BD-B85D-4954-87E5-07E6AE76388A}</author>
    <author>tc={50444CC8-3A1A-4EB7-9A54-68F72F882D58}</author>
    <author>tc={D951C372-0506-4115-8AB7-F872A9CFC94B}</author>
    <author>tc={419161D0-89D9-40A4-9BBB-BDBD80D36272}</author>
    <author>tc={8C26E72D-0395-4FCD-B593-447B3BF16F18}</author>
    <author>tc={0AB6FBF4-C8E3-4369-A0FF-C50D8DD56783}</author>
    <author>tc={06AD86B0-7E8C-4A63-8CBD-D8D0C8A8EF7A}</author>
    <author>tc={E7B8C9EB-DDF3-4510-8AAA-AEA5B9437ECA}</author>
    <author>tc={8023BE6E-9434-439C-8570-AF29F0292DA8}</author>
    <author>tc={1AD6E32F-7AA8-4BE6-BE75-C49A729AB8D8}</author>
    <author>tc={125BEC1E-245A-4C9A-A0A9-4D2B90AD1CA7}</author>
    <author>tc={2B240BA4-DF59-4457-BA6E-EF535139A9C0}</author>
    <author>tc={F5972CDE-4248-415E-AF64-7D93634046F5}</author>
    <author>tc={B24F0E4A-1782-4739-8599-C50F0D4C0E24}</author>
    <author>tc={49BAD0B2-8887-4A5E-90C8-1F2C46A611EA}</author>
    <author>tc={F541040C-BEE0-41F7-A593-2E9D0DF678BE}</author>
    <author>tc={C87ABDE0-E7AD-4415-B3C2-3E9FBAD8B851}</author>
    <author>tc={494C4857-ABBC-4C45-8BD1-2C6D1D43D130}</author>
  </authors>
  <commentList>
    <comment ref="C16" authorId="0" shapeId="0" xr:uid="{753BF6E2-4B3E-4436-9CF2-5A0882711F66}">
      <text>
        <t>[Threaded comment]
Your version of Excel allows you to read this threaded comment; however, any edits to it will get removed if the file is opened in a newer version of Excel. Learn more: https://go.microsoft.com/fwlink/?linkid=870924
Comment:
    where is the source of this value, report? study? historical data? or assumption
Reply:
    https://www.researchgate.net/publication/242642925_The_mango_tree_in_central_and_northern_Benin_Cultivar_inventory_yield_assessment_infested_stages_and_loss_due_to_fruit_flies_Diptera_Tephritidae</t>
      </text>
    </comment>
    <comment ref="I16" authorId="1" shapeId="0" xr:uid="{9DCD46C4-20AA-4A19-9FC9-6EBAF2BD727D}">
      <text>
        <t>[Threaded comment]
Your version of Excel allows you to read this threaded comment; however, any edits to it will get removed if the file is opened in a newer version of Excel. Learn more: https://go.microsoft.com/fwlink/?linkid=870924
Comment:
    where is the source of this value, report? study? historical data? or assumption
Reply:
    https://www.researchgate.net/publication/242642925_The_mango_tree_in_central_and_northern_Benin_Cultivar_inventory_yield_assessment_infested_stages_and_loss_due_to_fruit_flies_Diptera_Tephritidae</t>
      </text>
    </comment>
    <comment ref="C17" authorId="2" shapeId="0" xr:uid="{C7EF18BD-B85D-4954-87E5-07E6AE76388A}">
      <text>
        <t>[Threaded comment]
Your version of Excel allows you to read this threaded comment; however, any edits to it will get removed if the file is opened in a newer version of Excel. Learn more: https://go.microsoft.com/fwlink/?linkid=870924
Comment:
    what does recovery rate means?
Reply:
    The proportion of usable, good-quality product that remains after harvesting, handling, and processing compared to the total originally harvested.</t>
      </text>
    </comment>
    <comment ref="I17" authorId="3" shapeId="0" xr:uid="{50444CC8-3A1A-4EB7-9A54-68F72F882D58}">
      <text>
        <t>[Threaded comment]
Your version of Excel allows you to read this threaded comment; however, any edits to it will get removed if the file is opened in a newer version of Excel. Learn more: https://go.microsoft.com/fwlink/?linkid=870924
Comment:
    what does recovery rate means?
Reply:
    The proportion of usable, good-quality product that remains after harvesting, handling, and processing compared to the total originally harvested.</t>
      </text>
    </comment>
    <comment ref="C18" authorId="4" shapeId="0" xr:uid="{D951C372-0506-4115-8AB7-F872A9CFC94B}">
      <text>
        <t>[Threaded comment]
Your version of Excel allows you to read this threaded comment; however, any edits to it will get removed if the file is opened in a newer version of Excel. Learn more: https://go.microsoft.com/fwlink/?linkid=870924
Comment:
    I understood the term transformation ration but I didn't get 4? e.g. if I put 1 kg of fresh mango how much dried mango I get?
Reply:
    I have added the link saying that It takes between 12 to 15 kg of fresh mangoes to produce 1 kg of dried fruit, although some estimates put the conversion rate closer to 10%. Then with 1 kg appying 10% outputs 0.1kg</t>
      </text>
    </comment>
    <comment ref="I18" authorId="5" shapeId="0" xr:uid="{419161D0-89D9-40A4-9BBB-BDBD80D36272}">
      <text>
        <t>[Threaded comment]
Your version of Excel allows you to read this threaded comment; however, any edits to it will get removed if the file is opened in a newer version of Excel. Learn more: https://go.microsoft.com/fwlink/?linkid=870924
Comment:
    I understood the term transformation ration but I didn't get 4? e.g. if I put 1 kg of fresh mango how much dried mango I get?
Reply:
    I have added the link saying that It takes between 12 to 15 kg of fresh mangoes to produce 1 kg of dried fruit, although some estimates put the conversion rate closer to 10%. Then with 1 kg appying 10% outputs 0.1kg</t>
      </text>
    </comment>
    <comment ref="C20" authorId="6" shapeId="0" xr:uid="{8C26E72D-0395-4FCD-B593-447B3BF16F18}">
      <text>
        <t>[Threaded comment]
Your version of Excel allows you to read this threaded comment; however, any edits to it will get removed if the file is opened in a newer version of Excel. Learn more: https://go.microsoft.com/fwlink/?linkid=870924
Comment:
    please indicate the source of the price is there a portal which tracks these information and publish them?
Reply:
    Alright</t>
      </text>
    </comment>
    <comment ref="I20" authorId="7" shapeId="0" xr:uid="{0AB6FBF4-C8E3-4369-A0FF-C50D8DD56783}">
      <text>
        <t>[Threaded comment]
Your version of Excel allows you to read this threaded comment; however, any edits to it will get removed if the file is opened in a newer version of Excel. Learn more: https://go.microsoft.com/fwlink/?linkid=870924
Comment:
    please indicate the source of the price is there a portal which tracks these information and publish them?
Reply:
    Alright</t>
      </text>
    </comment>
    <comment ref="C22" authorId="8" shapeId="0" xr:uid="{06AD86B0-7E8C-4A63-8CBD-D8D0C8A8EF7A}">
      <text>
        <t>[Threaded comment]
Your version of Excel allows you to read this threaded comment; however, any edits to it will get removed if the file is opened in a newer version of Excel. Learn more: https://go.microsoft.com/fwlink/?linkid=870924
Comment:
    what is meant by campaign here?
Reply:
    It refers to the mango active harvesting season in Burkina.</t>
      </text>
    </comment>
    <comment ref="I22" authorId="9" shapeId="0" xr:uid="{E7B8C9EB-DDF3-4510-8AAA-AEA5B9437ECA}">
      <text>
        <t>[Threaded comment]
Your version of Excel allows you to read this threaded comment; however, any edits to it will get removed if the file is opened in a newer version of Excel. Learn more: https://go.microsoft.com/fwlink/?linkid=870924
Comment:
    what is meant by campaign here?
Reply:
    It refers to the mango active harvesting season in Burkina.</t>
      </text>
    </comment>
    <comment ref="C24" authorId="10" shapeId="0" xr:uid="{8023BE6E-9434-439C-8570-AF29F0292DA8}">
      <text>
        <t>[Threaded comment]
Your version of Excel allows you to read this threaded comment; however, any edits to it will get removed if the file is opened in a newer version of Excel. Learn more: https://go.microsoft.com/fwlink/?linkid=870924
Comment:
    make a calculation column in Euro values 
Reply:
    Alright</t>
      </text>
    </comment>
    <comment ref="I24" authorId="11" shapeId="0" xr:uid="{1AD6E32F-7AA8-4BE6-BE75-C49A729AB8D8}">
      <text>
        <t>[Threaded comment]
Your version of Excel allows you to read this threaded comment; however, any edits to it will get removed if the file is opened in a newer version of Excel. Learn more: https://go.microsoft.com/fwlink/?linkid=870924
Comment:
    make a calculation column in Euro values 
Reply:
    Alright</t>
      </text>
    </comment>
    <comment ref="C25" authorId="12" shapeId="0" xr:uid="{125BEC1E-245A-4C9A-A0A9-4D2B90AD1CA7}">
      <text>
        <t>[Threaded comment]
Your version of Excel allows you to read this threaded comment; however, any edits to it will get removed if the file is opened in a newer version of Excel. Learn more: https://go.microsoft.com/fwlink/?linkid=870924
Comment:
    I am wondering here how did you consider the 1 hectar area, or 3 hectar area, did you consider that 2.2. 2hectar farm could yield 10 ton mango every month and based on that the calculations are made
Reply:
    yes
Reply:
    But i considered the fact that  1 hectar farm could yield 10 ton mango every year</t>
      </text>
    </comment>
    <comment ref="I25" authorId="13" shapeId="0" xr:uid="{2B240BA4-DF59-4457-BA6E-EF535139A9C0}">
      <text>
        <t>[Threaded comment]
Your version of Excel allows you to read this threaded comment; however, any edits to it will get removed if the file is opened in a newer version of Excel. Learn more: https://go.microsoft.com/fwlink/?linkid=870924
Comment:
    I am wondering here how did you consider the 1 hectar area, or 3 hectar area, did you consider that 2.2. 2hectar farm could yield 10 ton mango every month and based on that the calculations are made
Reply:
    yes
Reply:
    But i considered the fact that  1 hectar farm could yield 10 ton mango every year</t>
      </text>
    </comment>
    <comment ref="C26" authorId="14" shapeId="0" xr:uid="{F5972CDE-4248-415E-AF64-7D93634046F5}">
      <text>
        <t>[Threaded comment]
Your version of Excel allows you to read this threaded comment; however, any edits to it will get removed if the file is opened in a newer version of Excel. Learn more: https://go.microsoft.com/fwlink/?linkid=870924
Comment:
    the selected size of the farm is the 2 hectar please do the calculatoins for that
Reply:
    I thought we should use the last cohort findings.</t>
      </text>
    </comment>
    <comment ref="B83" authorId="15" shapeId="0" xr:uid="{B24F0E4A-1782-4739-8599-C50F0D4C0E24}">
      <text>
        <t>[Threaded comment]
Your version of Excel allows you to read this threaded comment; however, any edits to it will get removed if the file is opened in a newer version of Excel. Learn more: https://go.microsoft.com/fwlink/?linkid=870924
Comment:
    is there a calculation for 2 hectar?
Reply:
    I will include it.</t>
      </text>
    </comment>
    <comment ref="D84" authorId="16" shapeId="0" xr:uid="{49BAD0B2-8887-4A5E-90C8-1F2C46A611EA}">
      <text>
        <t>[Threaded comment]
Your version of Excel allows you to read this threaded comment; however, any edits to it will get removed if the file is opened in a newer version of Excel. Learn more: https://go.microsoft.com/fwlink/?linkid=870924
Comment:
    what is the source of this calculation?
Reply:
    Over 10000 kg per year 8000 kg is usable can pass through the drying process regarding the  recovery rate.</t>
      </text>
    </comment>
    <comment ref="E84" authorId="17" shapeId="0" xr:uid="{F541040C-BEE0-41F7-A593-2E9D0DF678BE}">
      <text>
        <t>[Threaded comment]
Your version of Excel allows you to read this threaded comment; however, any edits to it will get removed if the file is opened in a newer version of Excel. Learn more: https://go.microsoft.com/fwlink/?linkid=870924
Comment:
    how is this calculation made?
Reply:
    I made a different file mentionning the formulas used accessible from the my homepage. I will ensure to include them into the excel sheet for easier understanding.</t>
      </text>
    </comment>
    <comment ref="F84" authorId="18" shapeId="0" xr:uid="{C87ABDE0-E7AD-4415-B3C2-3E9FBAD8B851}">
      <text>
        <t>[Threaded comment]
Your version of Excel allows you to read this threaded comment; however, any edits to it will get removed if the file is opened in a newer version of Excel. Learn more: https://go.microsoft.com/fwlink/?linkid=870924
Comment:
    why is this column increasing? is the price increasing per time?
Reply:
    I sincerely apologize,this was a mistake.</t>
      </text>
    </comment>
    <comment ref="H84" authorId="19" shapeId="0" xr:uid="{494C4857-ABBC-4C45-8BD1-2C6D1D43D130}">
      <text>
        <t>[Threaded comment]
Your version of Excel allows you to read this threaded comment; however, any edits to it will get removed if the file is opened in a newer version of Excel. Learn more: https://go.microsoft.com/fwlink/?linkid=870924
Comment:
    how is this value obtained? please use the formula mode in Excel e.g. =F46+E46*D47
Reply:
    I added it</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tc={2057BC50-2FB4-4737-A9F7-799BCFC0BEE7}</author>
    <author>tc={C6353A66-E392-49DB-BFDF-8484511A7CC8}</author>
    <author>tc={FD2D9EAE-BDCF-46E7-B61F-ABFAA18D7E3A}</author>
    <author>tc={FA25FB5E-137C-4583-81C6-699DC5C8F135}</author>
    <author>tc={976A7DD3-3766-4FAD-8D8E-E1D7EB52E343}</author>
    <author>tc={8A2FF993-3F77-4D6C-831C-0BC82BCA3533}</author>
  </authors>
  <commentList>
    <comment ref="C4" authorId="0" shapeId="0" xr:uid="{2057BC50-2FB4-4737-A9F7-799BCFC0BEE7}">
      <text>
        <t>[Threaded comment]
Your version of Excel allows you to read this threaded comment; however, any edits to it will get removed if the file is opened in a newer version of Excel. Learn more: https://go.microsoft.com/fwlink/?linkid=870924
Comment:
    is this a small pump? would it be enough for the farm?</t>
      </text>
    </comment>
    <comment ref="C5" authorId="1" shapeId="0" xr:uid="{C6353A66-E392-49DB-BFDF-8484511A7CC8}">
      <text>
        <t>[Threaded comment]
Your version of Excel allows you to read this threaded comment; however, any edits to it will get removed if the file is opened in a newer version of Excel. Learn more: https://go.microsoft.com/fwlink/?linkid=870924
Comment:
    why did you assume that the pump is needed only for 4 hours?</t>
      </text>
    </comment>
    <comment ref="B8" authorId="2" shapeId="0" xr:uid="{FD2D9EAE-BDCF-46E7-B61F-ABFAA18D7E3A}">
      <text>
        <t>[Threaded comment]
Your version of Excel allows you to read this threaded comment; however, any edits to it will get removed if the file is opened in a newer version of Excel. Learn more: https://go.microsoft.com/fwlink/?linkid=870924
Comment:
    what is meant by Misc??</t>
      </text>
    </comment>
    <comment ref="B12" authorId="3" shapeId="0" xr:uid="{FA25FB5E-137C-4583-81C6-699DC5C8F135}">
      <text>
        <t>[Threaded comment]
Your version of Excel allows you to read this threaded comment; however, any edits to it will get removed if the file is opened in a newer version of Excel. Learn more: https://go.microsoft.com/fwlink/?linkid=870924
Comment:
    what does PSH stands for? could you explain?</t>
      </text>
    </comment>
    <comment ref="B15" authorId="4" shapeId="0" xr:uid="{976A7DD3-3766-4FAD-8D8E-E1D7EB52E343}">
      <text>
        <t>[Threaded comment]
Your version of Excel allows you to read this threaded comment; however, any edits to it will get removed if the file is opened in a newer version of Excel. Learn more: https://go.microsoft.com/fwlink/?linkid=870924
Comment:
    what is meant by Derate?</t>
      </text>
    </comment>
    <comment ref="B25" authorId="5" shapeId="0" xr:uid="{8A2FF993-3F77-4D6C-831C-0BC82BCA3533}">
      <text>
        <t>[Threaded comment]
Your version of Excel allows you to read this threaded comment; however, any edits to it will get removed if the file is opened in a newer version of Excel. Learn more: https://go.microsoft.com/fwlink/?linkid=870924
Comment:
    please add the costs calculations</t>
      </text>
    </comment>
  </commentList>
</comments>
</file>

<file path=xl/sharedStrings.xml><?xml version="1.0" encoding="utf-8"?>
<sst xmlns="http://schemas.openxmlformats.org/spreadsheetml/2006/main" count="1500" uniqueCount="1089">
  <si>
    <t>Burkina Faso Sustainable Farm (Cohort 2025-2026)</t>
  </si>
  <si>
    <t>equivalence between euro and xof: 1€ = ... xof</t>
  </si>
  <si>
    <t>1 million xof = ...€</t>
  </si>
  <si>
    <t>Simulation</t>
  </si>
  <si>
    <t>Farm</t>
  </si>
  <si>
    <t>Return Of Investment</t>
  </si>
  <si>
    <t>Location</t>
  </si>
  <si>
    <t>software simulation</t>
  </si>
  <si>
    <t>Koubri</t>
  </si>
  <si>
    <t>//</t>
  </si>
  <si>
    <t>Size (hectare)</t>
  </si>
  <si>
    <t>Investment needed (million xof)</t>
  </si>
  <si>
    <t>cost for running the farm per month (million xof)</t>
  </si>
  <si>
    <t>Comments</t>
  </si>
  <si>
    <t>phase of simulating the whole farm workflow</t>
  </si>
  <si>
    <t>phase during which we have a sustainable farm in Koubri set to produce mangoes permanently that will be dried and sent to Germany</t>
  </si>
  <si>
    <t>Parts of the Farm</t>
  </si>
  <si>
    <t>Descriptions</t>
  </si>
  <si>
    <t>Energy Supply system (Solar PV power plant,Solar Tracking)</t>
  </si>
  <si>
    <t xml:space="preserve">The solar PV power plant sufficiently provide the farm in green energy									</t>
  </si>
  <si>
    <t>Improve energy production efficiency by tracking sun rotation</t>
  </si>
  <si>
    <t>Irrigation system</t>
  </si>
  <si>
    <t>Automatic irrigation to optimize water usage in the farm</t>
  </si>
  <si>
    <t>Crop Storage (Smart Dryer)</t>
  </si>
  <si>
    <t>The Smart Food Dryer efficiently dries fruits and vegetables, preserving nutrients</t>
  </si>
  <si>
    <t>Fencing and Security (Face Recognition)</t>
  </si>
  <si>
    <t>Secure the farm by managing access to critical areas, personnal management(attendance), classify plants as useful or unwanted</t>
  </si>
  <si>
    <t>Visitors Management (No Reesa)</t>
  </si>
  <si>
    <t>An application that provides a description of the farm services both in English and Moore</t>
  </si>
  <si>
    <t>Processing Machines</t>
  </si>
  <si>
    <t>Idendify the farm needs  in terms of machine</t>
  </si>
  <si>
    <t>Plants</t>
  </si>
  <si>
    <t xml:space="preserve">Know which variety and which amount of mangoes we should have in our farm </t>
  </si>
  <si>
    <t>Stage of the Project</t>
  </si>
  <si>
    <t>key figures from subpart</t>
  </si>
  <si>
    <t>Size(m²)</t>
  </si>
  <si>
    <t>simulation</t>
  </si>
  <si>
    <t>Investment needed  (F CFA)</t>
  </si>
  <si>
    <t>Input needed</t>
  </si>
  <si>
    <t>Sun</t>
  </si>
  <si>
    <t>Output</t>
  </si>
  <si>
    <t>Electricy</t>
  </si>
  <si>
    <t>Infineon chips</t>
  </si>
  <si>
    <t>PSoC™ Edge AI</t>
  </si>
  <si>
    <t>XENSIV™ TLE4971</t>
  </si>
  <si>
    <t xml:space="preserve">XENSIV™ PAS CO₂ sensor     </t>
  </si>
  <si>
    <t xml:space="preserve">XENSIV™ 60GHz radar sensor    </t>
  </si>
  <si>
    <t xml:space="preserve">XENSIV™ DPS310  </t>
  </si>
  <si>
    <t>cost for Infineon chips</t>
  </si>
  <si>
    <t>water</t>
  </si>
  <si>
    <t>smart irrigation</t>
  </si>
  <si>
    <t>capteur XENSIV</t>
  </si>
  <si>
    <t>Bluetoofh Low Energy</t>
  </si>
  <si>
    <t xml:space="preserve">PSoC CAPSENSE </t>
  </si>
  <si>
    <t>crops</t>
  </si>
  <si>
    <t>dried crops</t>
  </si>
  <si>
    <t>plant image</t>
  </si>
  <si>
    <t>disease detection</t>
  </si>
  <si>
    <t>XENSIV™ radar</t>
  </si>
  <si>
    <t>speech in Moore or English</t>
  </si>
  <si>
    <t>translation into the other language</t>
  </si>
  <si>
    <t>grain</t>
  </si>
  <si>
    <t>grinded powder</t>
  </si>
  <si>
    <t>Infineon’s energy metering ICs</t>
  </si>
  <si>
    <t>XENSIV™ TLV493D</t>
  </si>
  <si>
    <t>XENSIV™ DPS368</t>
  </si>
  <si>
    <t>XENSIV™ TLE4997</t>
  </si>
  <si>
    <t>2 ha FARM</t>
  </si>
  <si>
    <t>Investment needed  (million xof)</t>
  </si>
  <si>
    <t>2,5</t>
  </si>
  <si>
    <t>Investment needed   (million xof)</t>
  </si>
  <si>
    <t>Processing machines</t>
  </si>
  <si>
    <t>0,88</t>
  </si>
  <si>
    <t>Table 1:  Farm sizing</t>
  </si>
  <si>
    <t>Surface Area (ha)</t>
  </si>
  <si>
    <t>Number of trees</t>
  </si>
  <si>
    <t xml:space="preserve">Tree-to-tree spacing </t>
  </si>
  <si>
    <t>0.5ha</t>
  </si>
  <si>
    <t>8meters</t>
  </si>
  <si>
    <t>2ha</t>
  </si>
  <si>
    <t>10ha</t>
  </si>
  <si>
    <t>10meters</t>
  </si>
  <si>
    <t>50ha</t>
  </si>
  <si>
    <t xml:space="preserve">  </t>
  </si>
  <si>
    <t>Table 2: Variety of mango</t>
  </si>
  <si>
    <t>Variety of mango</t>
  </si>
  <si>
    <t>Surface(ha)</t>
  </si>
  <si>
    <t>Output(Kg)</t>
  </si>
  <si>
    <t>Kent</t>
  </si>
  <si>
    <t>0.5</t>
  </si>
  <si>
    <t>40 000</t>
  </si>
  <si>
    <t>200 000</t>
  </si>
  <si>
    <t>1 000 000</t>
  </si>
  <si>
    <t>Keitt</t>
  </si>
  <si>
    <t>11 000</t>
  </si>
  <si>
    <t>44 000</t>
  </si>
  <si>
    <t>220 000</t>
  </si>
  <si>
    <t>1 100 000</t>
  </si>
  <si>
    <t xml:space="preserve"> </t>
  </si>
  <si>
    <t>Amelie</t>
  </si>
  <si>
    <t>8 000</t>
  </si>
  <si>
    <t>32 000</t>
  </si>
  <si>
    <t>160 000</t>
  </si>
  <si>
    <t>800 000</t>
  </si>
  <si>
    <t>We assume that we will focus on growing Keitt mangoes because of their high yield.</t>
  </si>
  <si>
    <t>Table 5: water requirement per month in L</t>
  </si>
  <si>
    <t>Table 3: Monitoring the health of trees and fruit</t>
  </si>
  <si>
    <t xml:space="preserve">water requirement </t>
  </si>
  <si>
    <t>all varieties combined</t>
  </si>
  <si>
    <t>Health Level (%)</t>
  </si>
  <si>
    <t>Observation</t>
  </si>
  <si>
    <t xml:space="preserve"> water requirement  per tree </t>
  </si>
  <si>
    <t>20000 - 250000 L</t>
  </si>
  <si>
    <t>0 - 20%</t>
  </si>
  <si>
    <t>Trees and fruit under stress, risk of high yield loss</t>
  </si>
  <si>
    <t xml:space="preserve"> water requirement  per 0.5ha</t>
  </si>
  <si>
    <t>640 000 - 800 000 L</t>
  </si>
  <si>
    <t>21 - 40%</t>
  </si>
  <si>
    <t>Weakened trees, affected fruit development</t>
  </si>
  <si>
    <t>water requirement  per 2 ha</t>
  </si>
  <si>
    <t>2 560 000 - 3 200 00 L</t>
  </si>
  <si>
    <t>41 - 60%</t>
  </si>
  <si>
    <t>Trees in average health, fruit growing normally</t>
  </si>
  <si>
    <t>water requirement  per 10 ha</t>
  </si>
  <si>
    <t>20 000 000 -25 000 000 L</t>
  </si>
  <si>
    <t>61 - 80%</t>
  </si>
  <si>
    <t>Healthy trees, high-quality fruit</t>
  </si>
  <si>
    <t>water requirement  per 50 ha</t>
  </si>
  <si>
    <t>20 000 000 - 25 000 000 L</t>
  </si>
  <si>
    <t>81 - 100%</t>
  </si>
  <si>
    <t>Very healthy trees, excellent fruit</t>
  </si>
  <si>
    <t>Table 4: Equipment Pricing Based on Farm Size</t>
  </si>
  <si>
    <t>Table 6: Purchase price of plots</t>
  </si>
  <si>
    <t>Equipment</t>
  </si>
  <si>
    <t>0.5ha (XOF)</t>
  </si>
  <si>
    <t>2 ha (XOF)</t>
  </si>
  <si>
    <t>10 ha (XOF)</t>
  </si>
  <si>
    <t>50 ha (XOF)</t>
  </si>
  <si>
    <t>Tractor / Power tiller</t>
  </si>
  <si>
    <t xml:space="preserve">	2 500 000</t>
  </si>
  <si>
    <t>4 500 000</t>
  </si>
  <si>
    <t xml:space="preserve">	35 000 000</t>
  </si>
  <si>
    <t>Land (XOF)</t>
  </si>
  <si>
    <t>19 000 000</t>
  </si>
  <si>
    <t xml:space="preserve"> 76 000 000</t>
  </si>
  <si>
    <t xml:space="preserve"> 380  000 000</t>
  </si>
  <si>
    <t>1 900 000 000</t>
  </si>
  <si>
    <t>Motor pump / Irrigation</t>
  </si>
  <si>
    <t>1 500 000</t>
  </si>
  <si>
    <t>3 000 000</t>
  </si>
  <si>
    <t>20 000 000</t>
  </si>
  <si>
    <t>Administrative Fees (XOF)</t>
  </si>
  <si>
    <t>950 000</t>
  </si>
  <si>
    <t>3 800 000</t>
  </si>
  <si>
    <t>95 000 000</t>
  </si>
  <si>
    <t>Planting and harvesting tools</t>
  </si>
  <si>
    <t xml:space="preserve">750 000	</t>
  </si>
  <si>
    <t>1 200 000</t>
  </si>
  <si>
    <t>10 000 000</t>
  </si>
  <si>
    <t>Labor over 5 years (XOF)</t>
  </si>
  <si>
    <t xml:space="preserve">	7 500 000</t>
  </si>
  <si>
    <t>80 000 000</t>
  </si>
  <si>
    <t>350 000 000</t>
  </si>
  <si>
    <t>Post-harvest equipment</t>
  </si>
  <si>
    <t>750 000</t>
  </si>
  <si>
    <t xml:space="preserve">	1 500 000</t>
  </si>
  <si>
    <t xml:space="preserve">8,000,000	</t>
  </si>
  <si>
    <t>25 000 000</t>
  </si>
  <si>
    <t>Equipment (XOF)</t>
  </si>
  <si>
    <t>6 500 000</t>
  </si>
  <si>
    <t>12 700 000</t>
  </si>
  <si>
    <t>34 500 000</t>
  </si>
  <si>
    <t xml:space="preserve">100 000 000	</t>
  </si>
  <si>
    <t xml:space="preserve">Inputs (fertilizers, seeds)	 </t>
  </si>
  <si>
    <t>4 000 000</t>
  </si>
  <si>
    <t>Total Investment (XOF)</t>
  </si>
  <si>
    <t>33 950 000</t>
  </si>
  <si>
    <t>112 500 000</t>
  </si>
  <si>
    <t>513 500 000</t>
  </si>
  <si>
    <t>2 445 000 000</t>
  </si>
  <si>
    <t xml:space="preserve">Total Price of equipment </t>
  </si>
  <si>
    <t xml:space="preserve">34 500 000	</t>
  </si>
  <si>
    <t>Table 7: Financial analysis</t>
  </si>
  <si>
    <t>Initial equipment cost on 5years (XOF)</t>
  </si>
  <si>
    <t>Operational Cost per year (XOF)</t>
  </si>
  <si>
    <t>Operational Cost per 5 years (XOF)</t>
  </si>
  <si>
    <t>Investment Cost per 5 years (XOF)</t>
  </si>
  <si>
    <r>
      <rPr>
        <b/>
        <sz val="14"/>
        <color rgb="FFFFFFFF"/>
        <rFont val="Aptos Narrow"/>
        <scheme val="minor"/>
      </rPr>
      <t>T</t>
    </r>
    <r>
      <rPr>
        <b/>
        <sz val="12"/>
        <color rgb="FFFFFFFF"/>
        <rFont val="Aptos Narrow"/>
        <scheme val="minor"/>
      </rPr>
      <t>otal income over 5 years (XOF)</t>
    </r>
  </si>
  <si>
    <t>plots Investissement total (XOF)</t>
  </si>
  <si>
    <t>ROI (%)</t>
  </si>
  <si>
    <t>Payback period (years)</t>
  </si>
  <si>
    <t xml:space="preserve">5 000 000	</t>
  </si>
  <si>
    <t>2 200 000</t>
  </si>
  <si>
    <t>10 600 000</t>
  </si>
  <si>
    <t>32 725 000</t>
  </si>
  <si>
    <t xml:space="preserve">	-3.63%</t>
  </si>
  <si>
    <t>15 000 000</t>
  </si>
  <si>
    <t>4 400 000</t>
  </si>
  <si>
    <t>22 000 000</t>
  </si>
  <si>
    <t>130 900 000</t>
  </si>
  <si>
    <t xml:space="preserve">	16.34%</t>
  </si>
  <si>
    <t>30 000 000</t>
  </si>
  <si>
    <t xml:space="preserve">22 000 000	</t>
  </si>
  <si>
    <t>100 000 000</t>
  </si>
  <si>
    <t xml:space="preserve">110 000 000 </t>
  </si>
  <si>
    <t xml:space="preserve">	654 500 000</t>
  </si>
  <si>
    <t>50 000 000</t>
  </si>
  <si>
    <t>110 000 000</t>
  </si>
  <si>
    <t>500 000 000</t>
  </si>
  <si>
    <t>550 000 000</t>
  </si>
  <si>
    <t>3 272 500 000</t>
  </si>
  <si>
    <t>`</t>
  </si>
  <si>
    <t>Table 8: final estimate for a 2-hectare farm</t>
  </si>
  <si>
    <t>Depreciation and Annual Cost for 2 ha</t>
  </si>
  <si>
    <t>Item</t>
  </si>
  <si>
    <t xml:space="preserve">Total Value </t>
  </si>
  <si>
    <t>Lifespan (years)</t>
  </si>
  <si>
    <t>Annual Cost</t>
  </si>
  <si>
    <t>Step</t>
  </si>
  <si>
    <t>Description</t>
  </si>
  <si>
    <t>Values</t>
  </si>
  <si>
    <t>Machinery  and equipment</t>
  </si>
  <si>
    <t>Number of Trees to Plant</t>
  </si>
  <si>
    <t>Total trees on 2 hectares</t>
  </si>
  <si>
    <t xml:space="preserve">200 trees </t>
  </si>
  <si>
    <t>Operational Costs</t>
  </si>
  <si>
    <t>Spacing</t>
  </si>
  <si>
    <t>8 meters between trees</t>
  </si>
  <si>
    <t>Total Annual Cost</t>
  </si>
  <si>
    <t>...</t>
  </si>
  <si>
    <t>Planting Period</t>
  </si>
  <si>
    <t>Best planting time</t>
  </si>
  <si>
    <t>Beginning of the rainy season</t>
  </si>
  <si>
    <t>Growth phases</t>
  </si>
  <si>
    <t>Years 0 to 2: establishment         Years 3 to 5: gradual production                                Years 5 to 7: full production</t>
  </si>
  <si>
    <t>Investment Costs</t>
  </si>
  <si>
    <t>Land purchase and Administrative fees</t>
  </si>
  <si>
    <t>79 800 000</t>
  </si>
  <si>
    <t xml:space="preserve">Cost per kg of Mango </t>
  </si>
  <si>
    <t>Labor and equipment</t>
  </si>
  <si>
    <t>32 700 000</t>
  </si>
  <si>
    <t>Variety</t>
  </si>
  <si>
    <t>Yield 2 ha (kg/year)</t>
  </si>
  <si>
    <t>Cost per kg</t>
  </si>
  <si>
    <t>Revenue and Operating</t>
  </si>
  <si>
    <t>Total revenue (5 years)</t>
  </si>
  <si>
    <t>Annual operating cost</t>
  </si>
  <si>
    <t>Average annual net profit</t>
  </si>
  <si>
    <t>21 780 000</t>
  </si>
  <si>
    <t>ROI and payback period</t>
  </si>
  <si>
    <t xml:space="preserve">ROI </t>
  </si>
  <si>
    <t>16.3% over 5 years</t>
  </si>
  <si>
    <t>Payback period</t>
  </si>
  <si>
    <t>5.2 years</t>
  </si>
  <si>
    <t>Cost per Mango</t>
  </si>
  <si>
    <t>Average Weight (kg)</t>
  </si>
  <si>
    <t>Number of Mangoes/year</t>
  </si>
  <si>
    <t>Bibliography</t>
  </si>
  <si>
    <t>Table 1 : Surface area, Number of trees and Tree spacing</t>
  </si>
  <si>
    <t>https://yearbook.mango.co.za/wp-content/uploads/2024/10/Pg-34-39-Tree-spacing-trends-and-options-for-yield-improvement-in-mango.pdf</t>
  </si>
  <si>
    <t>Table 2 : Variety of mango and yield per hectare (Kent, Keitt, Amélie)</t>
  </si>
  <si>
    <t>https://wikifarmer.com/library/en/article/mango-yield-harvest-and-post-harvest-handling</t>
  </si>
  <si>
    <t>Table 3 : Monitoring of tree health and water requirements</t>
  </si>
  <si>
    <t>https://www.jains.com/Company/news/blog/HOWMUCHWATERDOESMYCROPNEEDPart2PerennialCrops1Mango.htm</t>
  </si>
  <si>
    <t>Table 5 : Water requirement per month (in litres)</t>
  </si>
  <si>
    <t>Others references</t>
  </si>
  <si>
    <t>This repport  analyzes the dried mango value chain, including export opportunities, processing technologies, and quality standards.</t>
  </si>
  <si>
    <t>https://resources.colead.link/en/system/files/file_fields/2023/10/04/02-driedmangostudyweb.pdf</t>
  </si>
  <si>
    <t>This market explores the european dried mango market, highlighting consumer trends, import data, and quality requirements for exporters</t>
  </si>
  <si>
    <t>https://www.cbi.eu/market-information/processed-fruit-vegetables-edible-nuts/dried-mango/market-potential</t>
  </si>
  <si>
    <t>This scientific guide presents the principles of food drying, heat transfer, and the impact of temperature on product quality</t>
  </si>
  <si>
    <t>https://iufost.org/iufostftp/Guide%20to%20Drying-Part1.pdf</t>
  </si>
  <si>
    <t>This link describes different tree spacing systems and their effects on yield, sunlight exposure, and mechanization efficiency</t>
  </si>
  <si>
    <t>https://www.industry.mangoes.net.au/cmsb/media/6-bpr-final_choosing-tree-spacing_upload.pdf</t>
  </si>
  <si>
    <t>This is a research study analyzing how irrigation levels and nutrient management affect mango tree growth and fruit yield</t>
  </si>
  <si>
    <t>https://openknowledge.fao.org/server/api/core/bitstreams/849d2872-9429-46dd-a919-a9f99c197031/content</t>
  </si>
  <si>
    <t>This is details the amount of water required per mango tree under different climatic and soil conditions, and outlines irrigation management methods</t>
  </si>
  <si>
    <t>https://agritrop.cirad.fr/573091/1/document_573091.pdf</t>
  </si>
  <si>
    <t>Summary Table – 2 Hectares Smart Irrigation System</t>
  </si>
  <si>
    <t xml:space="preserve">Parameters </t>
  </si>
  <si>
    <t>Symbol / Unit</t>
  </si>
  <si>
    <t>Value</t>
  </si>
  <si>
    <t>Comment / Description</t>
  </si>
  <si>
    <t>Area</t>
  </si>
  <si>
    <t>A [ha]</t>
  </si>
  <si>
    <t>Cultivated surface</t>
  </si>
  <si>
    <t>N [trees]</t>
  </si>
  <si>
    <t>8 m spacing</t>
  </si>
  <si>
    <t>Water demand per tree</t>
  </si>
  <si>
    <t>Wₜ [L/day]</t>
  </si>
  <si>
    <t>Mature mango tree</t>
  </si>
  <si>
    <t>Total water demand</t>
  </si>
  <si>
    <t>[m³/day]</t>
  </si>
  <si>
    <t>200 × 100 / 1000</t>
  </si>
  <si>
    <t>Irrigation hours/day</t>
  </si>
  <si>
    <t>t [h/day]</t>
  </si>
  <si>
    <t>Daily irrigation duration</t>
  </si>
  <si>
    <t>Flow rate</t>
  </si>
  <si>
    <t>Q [m³/h]</t>
  </si>
  <si>
    <t>20 ÷ 5</t>
  </si>
  <si>
    <t>SWOT Analysis – 2-hectare Solar-Powered Smart Irrigation System</t>
  </si>
  <si>
    <t>Hydraulic power</t>
  </si>
  <si>
    <t>Pₕ [kW]</t>
  </si>
  <si>
    <t>0.378</t>
  </si>
  <si>
    <t>(ρ × g × Q × H)/3.6×10⁶</t>
  </si>
  <si>
    <t>Electric power</t>
  </si>
  <si>
    <t>Pₑ [kW]</t>
  </si>
  <si>
    <t>0.44</t>
  </si>
  <si>
    <t>Considering 85% efficiency</t>
  </si>
  <si>
    <t>Strengths</t>
  </si>
  <si>
    <t>100% renewable and autonomous — powered by solar energy, no dependency on fuel or grid.</t>
  </si>
  <si>
    <t>Weaknesses</t>
  </si>
  <si>
    <t>High initial investment (~5,000–6,000 €).</t>
  </si>
  <si>
    <t>PV size</t>
  </si>
  <si>
    <t>[kWp]</t>
  </si>
  <si>
    <t>0.52</t>
  </si>
  <si>
    <t>For 1 kW pump use</t>
  </si>
  <si>
    <t>Reduces water consumption by up to 40% with smart drip and moisture sensors.</t>
  </si>
  <si>
    <t>Requires technical knowledge for installation and maintenance.</t>
  </si>
  <si>
    <t>PV panels</t>
  </si>
  <si>
    <t>[units]</t>
  </si>
  <si>
    <t>400 Wp each</t>
  </si>
  <si>
    <t>Low operating cost after installation.</t>
  </si>
  <si>
    <t>Smart sensors and IoT systems may face connectivity issues in remote areas.</t>
  </si>
  <si>
    <t>Tank capacity</t>
  </si>
  <si>
    <t>[m³]</t>
  </si>
  <si>
    <t>1.5-day storage buffer</t>
  </si>
  <si>
    <t>Adapted to local mango farms and scalable for larger farms.</t>
  </si>
  <si>
    <t>Efficiency depends on sunlight availability (limited operation during cloudy days)</t>
  </si>
  <si>
    <t>Total investment cost</t>
  </si>
  <si>
    <t>[€]</t>
  </si>
  <si>
    <t>CAPEX (equipment only)</t>
  </si>
  <si>
    <t>Long equipment lifespan (PV panels ≈ 25 years, pump ≈ 10 years)</t>
  </si>
  <si>
    <t>Threats</t>
  </si>
  <si>
    <t>Equipment theft or vandalism in rural areas.</t>
  </si>
  <si>
    <t>[years]</t>
  </si>
  <si>
    <t>7.2</t>
  </si>
  <si>
    <t>Opportunities</t>
  </si>
  <si>
    <t>Increasing demand for sustainable agriculture solutions in West Africa.</t>
  </si>
  <si>
    <t>Fluctuations in market prices for imported equipment (PV panels, pumps).</t>
  </si>
  <si>
    <t>Annual savings</t>
  </si>
  <si>
    <t>Water &amp; fuel cost savings</t>
  </si>
  <si>
    <t>Can be extended to other crops or community irrigation schemes.</t>
  </si>
  <si>
    <t>Limited availability of spare parts and qualified technicians locally.</t>
  </si>
  <si>
    <t>Project lifetime</t>
  </si>
  <si>
    <t>PV and system lifespan</t>
  </si>
  <si>
    <t>Possible subsidies or financing from green energy or agricultural development programs.</t>
  </si>
  <si>
    <t>Climate variability may affect long-term water availability.</t>
  </si>
  <si>
    <t>Opportunity to integrate with water recycling and AI-based scheduling for future upgrades.</t>
  </si>
  <si>
    <t>Calculation with 2 hectares scenarios</t>
  </si>
  <si>
    <t>Scenarios</t>
  </si>
  <si>
    <t>Area (ha)</t>
  </si>
  <si>
    <t>Trees</t>
  </si>
  <si>
    <t>Water demand (m³ /day)</t>
  </si>
  <si>
    <t>Water demand (m³/ week)</t>
  </si>
  <si>
    <t>Flow Q (m³/h)</t>
  </si>
  <si>
    <t>Flow Q (L/min)</t>
  </si>
  <si>
    <t>Hydraulic power P_h (kW)</t>
  </si>
  <si>
    <t>Electric power P_e (kW)</t>
  </si>
  <si>
    <t>Pump required (kWh)</t>
  </si>
  <si>
    <t>PV size (kWp)</t>
  </si>
  <si>
    <t>PV Panels (400 Wp)</t>
  </si>
  <si>
    <t>Investment Cost</t>
  </si>
  <si>
    <t>2 hectares</t>
  </si>
  <si>
    <t>Definitions</t>
  </si>
  <si>
    <t>Input parameters and definitions</t>
  </si>
  <si>
    <t>Cost calculations</t>
  </si>
  <si>
    <t>Financial analysis</t>
  </si>
  <si>
    <t>Irrigation strategy</t>
  </si>
  <si>
    <t>Term / Abbreviation</t>
  </si>
  <si>
    <t>Definition</t>
  </si>
  <si>
    <t>Parameter</t>
  </si>
  <si>
    <t>Symbol</t>
  </si>
  <si>
    <t>Unit</t>
  </si>
  <si>
    <t>Material</t>
  </si>
  <si>
    <t>Quantity</t>
  </si>
  <si>
    <t>Unit cost (€)</t>
  </si>
  <si>
    <t>Total cost (€)</t>
  </si>
  <si>
    <t xml:space="preserve">Unit </t>
  </si>
  <si>
    <t>Comment</t>
  </si>
  <si>
    <t>Frequency</t>
  </si>
  <si>
    <t>Dose per tree per event (L)</t>
  </si>
  <si>
    <t>Total per event (m3)</t>
  </si>
  <si>
    <t>Pump runtime per event</t>
  </si>
  <si>
    <t>Pump runtime per day</t>
  </si>
  <si>
    <t>Tank sufficiency</t>
  </si>
  <si>
    <t>Area [ha]</t>
  </si>
  <si>
    <t>Cultivated surface area in hectares</t>
  </si>
  <si>
    <t>A</t>
  </si>
  <si>
    <t>ha</t>
  </si>
  <si>
    <t>Total cultivated area</t>
  </si>
  <si>
    <t>Tank (30 m³)</t>
  </si>
  <si>
    <t>unit</t>
  </si>
  <si>
    <t>Annual water cost saved</t>
  </si>
  <si>
    <t>€/year</t>
  </si>
  <si>
    <t>Estimated savings vs. manual irrigation labor and diesel pump use</t>
  </si>
  <si>
    <t>daily</t>
  </si>
  <si>
    <t>Number of mango trees</t>
  </si>
  <si>
    <t>S</t>
  </si>
  <si>
    <t xml:space="preserve">m </t>
  </si>
  <si>
    <t>Distance between mango trees</t>
  </si>
  <si>
    <t>Drip irrigation</t>
  </si>
  <si>
    <t>m</t>
  </si>
  <si>
    <t>Investment cost</t>
  </si>
  <si>
    <t>€</t>
  </si>
  <si>
    <t>Total CAPEX (equipment only)</t>
  </si>
  <si>
    <t>every 2 days</t>
  </si>
  <si>
    <t>Water demand [m³/d]</t>
  </si>
  <si>
    <t>Required irrigation water per day in cubic meters</t>
  </si>
  <si>
    <t>N</t>
  </si>
  <si>
    <t>tree</t>
  </si>
  <si>
    <t>Based on 8×8 m spacing (2 ha → 200 trees)</t>
  </si>
  <si>
    <t>PV panels (400 Wp, JinkoSolar / Trina)</t>
  </si>
  <si>
    <t>71-56-57-48</t>
  </si>
  <si>
    <t xml:space="preserve">Annual maintenance </t>
  </si>
  <si>
    <t>Estimated cost for cleaning filters, IoT subscription, small replacements</t>
  </si>
  <si>
    <t>every 5 days</t>
  </si>
  <si>
    <t>Flow rate in cubic meters per hour</t>
  </si>
  <si>
    <t>Wt</t>
  </si>
  <si>
    <t>L/day</t>
  </si>
  <si>
    <t>Estimated for mature mango trees in dry season</t>
  </si>
  <si>
    <t>Pump (1 kW DC solar pump)</t>
  </si>
  <si>
    <t>Years</t>
  </si>
  <si>
    <t>This is acceptable for rural solar investment. It means that the farmer will get the investment money back in 7.2 years</t>
  </si>
  <si>
    <t>Q [L/min]</t>
  </si>
  <si>
    <t>Flow rate in liters per minute</t>
  </si>
  <si>
    <t>Conversion factor</t>
  </si>
  <si>
    <t>-</t>
  </si>
  <si>
    <t>Liters to cubic meters</t>
  </si>
  <si>
    <t>Filtration + MPPT</t>
  </si>
  <si>
    <t>set</t>
  </si>
  <si>
    <t>Annuak net saving</t>
  </si>
  <si>
    <t>P_h [kW]</t>
  </si>
  <si>
    <t>Hydraulic pump power</t>
  </si>
  <si>
    <t>t</t>
  </si>
  <si>
    <t>h/day</t>
  </si>
  <si>
    <t>Smart add-ons</t>
  </si>
  <si>
    <t>years</t>
  </si>
  <si>
    <t>P_e [kW]</t>
  </si>
  <si>
    <t>Electric pump power required</t>
  </si>
  <si>
    <t>System efficiency</t>
  </si>
  <si>
    <t>η</t>
  </si>
  <si>
    <t>%</t>
  </si>
  <si>
    <t>Includes hydraulic &amp; electrical losses</t>
  </si>
  <si>
    <t>TOTAL</t>
  </si>
  <si>
    <t>_</t>
  </si>
  <si>
    <t>Pump replacement</t>
  </si>
  <si>
    <t>PV [kWp]</t>
  </si>
  <si>
    <t>Photovoltaic power peak required</t>
  </si>
  <si>
    <t>Pump head</t>
  </si>
  <si>
    <t>H</t>
  </si>
  <si>
    <t>Static + dynamic head estimation</t>
  </si>
  <si>
    <t>MPPT/Controller replacement</t>
  </si>
  <si>
    <t>MPPT</t>
  </si>
  <si>
    <t>Maximum Power Point Tracking (PV controller technology)</t>
  </si>
  <si>
    <t>m³</t>
  </si>
  <si>
    <t>Storage for 1.5-day buffer (30 m³ for 2-ha orchard)</t>
  </si>
  <si>
    <t>Water Needs by Growth Stage</t>
  </si>
  <si>
    <t>Smart add-on replacement</t>
  </si>
  <si>
    <t>IoT devices, sensors, controllers, and communication modules for smart irrigation management (e.g., soil moisture sensors, flow meters, GSM/Wi-Fi monitoring, automated scheduling)</t>
  </si>
  <si>
    <t>Water density</t>
  </si>
  <si>
    <t>ρ</t>
  </si>
  <si>
    <t>kg/m³</t>
  </si>
  <si>
    <t>Density of water</t>
  </si>
  <si>
    <t>Tree Age</t>
  </si>
  <si>
    <t>Growth Stage</t>
  </si>
  <si>
    <t>Estimated Water Demand (L/day/tree)</t>
  </si>
  <si>
    <t>Irrigation Frequency</t>
  </si>
  <si>
    <t>Total replacement cost</t>
  </si>
  <si>
    <t>Gravity</t>
  </si>
  <si>
    <t>g</t>
  </si>
  <si>
    <t>m/s²</t>
  </si>
  <si>
    <t>Acceleration due to gravity</t>
  </si>
  <si>
    <t>0–2 years</t>
  </si>
  <si>
    <t>Establishment</t>
  </si>
  <si>
    <t>5–10 L</t>
  </si>
  <si>
    <t>Every 2–3 days</t>
  </si>
  <si>
    <t>Frequent, low-volume irrigation for root development</t>
  </si>
  <si>
    <t>Total saving over 25 years of the project</t>
  </si>
  <si>
    <t>Q</t>
  </si>
  <si>
    <t>m³/h</t>
  </si>
  <si>
    <t>Hourly discharge to meet water demand</t>
  </si>
  <si>
    <t>2–5 years</t>
  </si>
  <si>
    <t>Growth</t>
  </si>
  <si>
    <t>20–50 L</t>
  </si>
  <si>
    <t>Every 3–5 days</t>
  </si>
  <si>
    <t>Higher demand during canopy expansion</t>
  </si>
  <si>
    <t>Total project cost</t>
  </si>
  <si>
    <t>5–10 years</t>
  </si>
  <si>
    <t>Mature trees</t>
  </si>
  <si>
    <t>80–120 L</t>
  </si>
  <si>
    <t>Every 5–7 days</t>
  </si>
  <si>
    <t>Stable root system; main fruit-bearing stage</t>
  </si>
  <si>
    <t>&gt;10 years</t>
  </si>
  <si>
    <t>Full production</t>
  </si>
  <si>
    <t>100–150 L</t>
  </si>
  <si>
    <t>Peak during fruit formation and dry season</t>
  </si>
  <si>
    <r>
      <t xml:space="preserve"> </t>
    </r>
    <r>
      <rPr>
        <b/>
        <sz val="14"/>
        <color rgb="FF186C24"/>
        <rFont val="Times New Roman"/>
      </rPr>
      <t>2-Hectare Mango Farm Weekly Financial Projection (EUR)</t>
    </r>
  </si>
  <si>
    <t>Financial and technical plan  (12 months)</t>
  </si>
  <si>
    <t>Month</t>
  </si>
  <si>
    <t>Processed mangoes (kg) |</t>
  </si>
  <si>
    <t xml:space="preserve"> Waste generated (kg)</t>
  </si>
  <si>
    <t>Biogas produced (m³)</t>
  </si>
  <si>
    <t>Available energy (kWh)</t>
  </si>
  <si>
    <t>Monthly cost (Euro)</t>
  </si>
  <si>
    <t>Dried mango income (Euro)</t>
  </si>
  <si>
    <t>Compost income (Euro)</t>
  </si>
  <si>
    <t>Net profit (Euro) |</t>
  </si>
  <si>
    <t>Assumptions used</t>
  </si>
  <si>
    <t>Benefits of the project</t>
  </si>
  <si>
    <t>Weekly Mango Input</t>
  </si>
  <si>
    <t>Unity</t>
  </si>
  <si>
    <t>274.41</t>
  </si>
  <si>
    <t>152.45</t>
  </si>
  <si>
    <t>564.06</t>
  </si>
  <si>
    <t>1 kg of mango waste</t>
  </si>
  <si>
    <t xml:space="preserve"> 0.043 </t>
  </si>
  <si>
    <t xml:space="preserve"> m³ </t>
  </si>
  <si>
    <t>1. Energy independence thanks to biogas</t>
  </si>
  <si>
    <t>- Annual output: 44,000 kg [AN1] → 44,000 ÷ 12 ≈ 3,667 kg/month</t>
  </si>
  <si>
    <t>Fresh mango/week</t>
  </si>
  <si>
    <t>kg</t>
  </si>
  <si>
    <t>754.62</t>
  </si>
  <si>
    <t>167.69</t>
  </si>
  <si>
    <t>647.91</t>
  </si>
  <si>
    <t>1 m³ of biogas</t>
  </si>
  <si>
    <t>kWh</t>
  </si>
  <si>
    <t>2. Waste conversion into compost and energy</t>
  </si>
  <si>
    <t>- Weekly output: 3,667 ÷ 4 ≈ 917 kg/week</t>
  </si>
  <si>
    <t>Dried mango/week</t>
  </si>
  <si>
    <t>857.52</t>
  </si>
  <si>
    <t>190.56</t>
  </si>
  <si>
    <t>773.67</t>
  </si>
  <si>
    <t xml:space="preserve">Fixed monthly cost </t>
  </si>
  <si>
    <t>3. Reduction in fossil fuel costs</t>
  </si>
  <si>
    <t xml:space="preserve"> Processing Yields</t>
  </si>
  <si>
    <t>Mango powder/week</t>
  </si>
  <si>
    <t xml:space="preserve">114.5 </t>
  </si>
  <si>
    <t>926.12</t>
  </si>
  <si>
    <t>205.81</t>
  </si>
  <si>
    <t xml:space="preserve">Selling price of dried mangoes </t>
  </si>
  <si>
    <t>Euro/kg</t>
  </si>
  <si>
    <t>4. Potential for carbon credits or green subsidies</t>
  </si>
  <si>
    <t>- Dried mango: 25% of fresh → 917 × 0.25 ≈ 229 kg/week</t>
  </si>
  <si>
    <t>Waste/week</t>
  </si>
  <si>
    <t>1029.03</t>
  </si>
  <si>
    <t>228.67</t>
  </si>
  <si>
    <t>983.29</t>
  </si>
  <si>
    <t xml:space="preserve">Compost selling price </t>
  </si>
  <si>
    <t xml:space="preserve"> 0.5 </t>
  </si>
  <si>
    <t>5. Creation of local jobs and strengthening of the agricultural value chain</t>
  </si>
  <si>
    <t>- Mango powder: 50% of dried → 229 × 0.5 ≈ 114.5 kg/week</t>
  </si>
  <si>
    <t>Revenue/week</t>
  </si>
  <si>
    <t>1097.63</t>
  </si>
  <si>
    <t>243.92</t>
  </si>
  <si>
    <t>1067.14</t>
  </si>
  <si>
    <t>No additional energy costs thanks to biogas.</t>
  </si>
  <si>
    <t>- Waste (peels + seeds): 917 – 229 ≈ 688 kg/week → can be used for biogas or compost</t>
  </si>
  <si>
    <t>Costs/week</t>
  </si>
  <si>
    <t>960.42</t>
  </si>
  <si>
    <t>213.43</t>
  </si>
  <si>
    <t>899.44</t>
  </si>
  <si>
    <t>Technical parameters of the ball mill</t>
  </si>
  <si>
    <t xml:space="preserve"> Processing Machine Capacity Needed</t>
  </si>
  <si>
    <t>Profit/week</t>
  </si>
  <si>
    <t>891.82</t>
  </si>
  <si>
    <t>198.18</t>
  </si>
  <si>
    <t>815.6</t>
  </si>
  <si>
    <t xml:space="preserve">Element                     </t>
  </si>
  <si>
    <t xml:space="preserve"> Value               </t>
  </si>
  <si>
    <t xml:space="preserve">    Unity     </t>
  </si>
  <si>
    <t>Weekly Revenue (EUR)</t>
  </si>
  <si>
    <t>Initial investment</t>
  </si>
  <si>
    <t>823.22</t>
  </si>
  <si>
    <t>182.94</t>
  </si>
  <si>
    <t>731.75</t>
  </si>
  <si>
    <t xml:space="preserve"> Engine power       </t>
  </si>
  <si>
    <t xml:space="preserve">   kW            </t>
  </si>
  <si>
    <t xml:space="preserve">Suitable for a 2-hectare farm </t>
  </si>
  <si>
    <t>- Dried mango: €7.44/kg → 229 × 7.44 ≈ €1,702</t>
  </si>
  <si>
    <t>ROI</t>
  </si>
  <si>
    <t>weeks</t>
  </si>
  <si>
    <t>647.9</t>
  </si>
  <si>
    <t xml:space="preserve">Operating time </t>
  </si>
  <si>
    <t xml:space="preserve">  h/day        </t>
  </si>
  <si>
    <t xml:space="preserve"> Daily average</t>
  </si>
  <si>
    <t>- Mango powder: €13.95/kg → 114.5 × 13.95 ≈ €1,596</t>
  </si>
  <si>
    <t xml:space="preserve">  Monthly consumption</t>
  </si>
  <si>
    <t xml:space="preserve"> kWh/month </t>
  </si>
  <si>
    <t xml:space="preserve">      3 kW × 5 h × 30 days     </t>
  </si>
  <si>
    <t>- Biogas (waste 688 kg × €0.465/kg) ≈ €320</t>
  </si>
  <si>
    <t>617.42</t>
  </si>
  <si>
    <t>137.2</t>
  </si>
  <si>
    <t>480.21</t>
  </si>
  <si>
    <t xml:space="preserve">Energy required in biogas </t>
  </si>
  <si>
    <t xml:space="preserve"> m³/month    </t>
  </si>
  <si>
    <t xml:space="preserve"> 1 m³ ≈ 6 kWh  </t>
  </si>
  <si>
    <t>- Compost (waste 688 kg × €0.279/kg) ≈ €192</t>
  </si>
  <si>
    <t xml:space="preserve"> Total weekly revenue: €3,810/week</t>
  </si>
  <si>
    <t>Biogas production</t>
  </si>
  <si>
    <t>Features of the ball mill</t>
  </si>
  <si>
    <t xml:space="preserve">  List of acronyms from the waste of biogas sheet </t>
  </si>
  <si>
    <t>Weekly Costs (EUR)</t>
  </si>
  <si>
    <t>Source of waste</t>
  </si>
  <si>
    <t>Quantity (kg/month)</t>
  </si>
  <si>
    <t>Biogas produced (m³/month)</t>
  </si>
  <si>
    <t>Compost produced (kg/month)</t>
  </si>
  <si>
    <t>Estimated value</t>
  </si>
  <si>
    <t xml:space="preserve"> Acronyms</t>
  </si>
  <si>
    <t xml:space="preserve"> Meaning</t>
  </si>
  <si>
    <t>- Raw mango: 917 kg × €1.86/kg ≈ €1,706</t>
  </si>
  <si>
    <t>Mango waste</t>
  </si>
  <si>
    <t>Type of shredder</t>
  </si>
  <si>
    <t>With cannonballs (small model)</t>
  </si>
  <si>
    <t>—</t>
  </si>
  <si>
    <t>Suitable for small-scale farming</t>
  </si>
  <si>
    <t xml:space="preserve"> m³</t>
  </si>
  <si>
    <t xml:space="preserve"> Cubic meter</t>
  </si>
  <si>
    <t>- Labor: 2 workers × €23/week ≈ €46</t>
  </si>
  <si>
    <t>Motor power</t>
  </si>
  <si>
    <t>kW</t>
  </si>
  <si>
    <t>Electric motor and biogas</t>
  </si>
  <si>
    <t xml:space="preserve"> kW</t>
  </si>
  <si>
    <t xml:space="preserve"> Kilowatt</t>
  </si>
  <si>
    <t>- Energy &amp; maintenance: €46/week</t>
  </si>
  <si>
    <t xml:space="preserve">Monthly economic model </t>
  </si>
  <si>
    <t>Grinding capacity</t>
  </si>
  <si>
    <t>kg/h</t>
  </si>
  <si>
    <t>Fresh or pre-treated mangoes</t>
  </si>
  <si>
    <t xml:space="preserve"> Kilogram per hour</t>
  </si>
  <si>
    <t>- Packaging: €0.465/kg × (229 + 114.5) ≈ €159</t>
  </si>
  <si>
    <t>Position</t>
  </si>
  <si>
    <t>Estimated value (Euro/month)</t>
  </si>
  <si>
    <t>Operating time</t>
  </si>
  <si>
    <t>Daily average</t>
  </si>
  <si>
    <t xml:space="preserve"> h/day </t>
  </si>
  <si>
    <t xml:space="preserve"> Hour per day</t>
  </si>
  <si>
    <r>
      <rPr>
        <sz val="14"/>
        <color rgb="FF000000"/>
        <rFont val="Times New Roman"/>
      </rPr>
      <t xml:space="preserve"> </t>
    </r>
    <r>
      <rPr>
        <b/>
        <sz val="14"/>
        <color rgb="FFC00000"/>
        <rFont val="Times New Roman"/>
      </rPr>
      <t>Total weekly cost: €1,957/week</t>
    </r>
  </si>
  <si>
    <t>Operating cost</t>
  </si>
  <si>
    <t xml:space="preserve"> 274.41</t>
  </si>
  <si>
    <t>Energy consumption</t>
  </si>
  <si>
    <t>kWh/month</t>
  </si>
  <si>
    <t>Depending on use</t>
  </si>
  <si>
    <t xml:space="preserve"> kWh</t>
  </si>
  <si>
    <t xml:space="preserve"> Kilowatt hour</t>
  </si>
  <si>
    <t xml:space="preserve"> Weekly Profit &amp; Margin</t>
  </si>
  <si>
    <t>Dried mango revenue</t>
  </si>
  <si>
    <t>Biogas requirement</t>
  </si>
  <si>
    <t>m³/month</t>
  </si>
  <si>
    <t>1 m³ ≈ 6 kWh</t>
  </si>
  <si>
    <t xml:space="preserve"> kg/month</t>
  </si>
  <si>
    <t xml:space="preserve"> Kilogram per month</t>
  </si>
  <si>
    <t>- Profit/week: 3,810 – 1,957 ≈ €1,853/week</t>
  </si>
  <si>
    <t>Compost income</t>
  </si>
  <si>
    <t xml:space="preserve"> m³/month</t>
  </si>
  <si>
    <t xml:space="preserve"> Cubic meter per month </t>
  </si>
  <si>
    <t>- Profit margin: 1,853 ÷ 3,810 ≈ 48.6%</t>
  </si>
  <si>
    <t>Net profit</t>
  </si>
  <si>
    <t xml:space="preserve"> Kilowatt hour per month</t>
  </si>
  <si>
    <t>ROI Estimation</t>
  </si>
  <si>
    <t>Kilogram</t>
  </si>
  <si>
    <t>- Initial investment (machines, setup): €9,300</t>
  </si>
  <si>
    <t>- Weekly profit: €1,853</t>
  </si>
  <si>
    <t>- Weeks to ROI: 9,300 ÷ 1,853 ≈ 5 weeks (~1.25 months)</t>
  </si>
  <si>
    <t> </t>
  </si>
  <si>
    <t>Notes / Adjustments:</t>
  </si>
  <si>
    <t>1. Solar drying may take longer; multiple batches may be needed.</t>
  </si>
  <si>
    <t>2. Biogas and compost add extra revenue (~€512/week).</t>
  </si>
  <si>
    <t>3. Scaling production (more mangoes) linearly increases revenue &amp; profit.</t>
  </si>
  <si>
    <t>4. Export prices may be higher → increases total revenue.</t>
  </si>
  <si>
    <t>Smart dryer financial planning (10 Years)</t>
  </si>
  <si>
    <t>equivalence between euro and FCFA (xof): 1€ = ... FCFA</t>
  </si>
  <si>
    <r>
      <t>Our mango drying investment pays for itself in less than a year and generates between </t>
    </r>
    <r>
      <rPr>
        <b/>
        <sz val="11"/>
        <color rgb="FF000000"/>
        <rFont val="Aptos Narrow"/>
        <family val="2"/>
        <scheme val="minor"/>
      </rPr>
      <t>5 and 8% annual ROI</t>
    </r>
    <r>
      <rPr>
        <sz val="13.5"/>
        <color rgb="FF000000"/>
        <rFont val="Aptos Narrow"/>
        <family val="2"/>
        <scheme val="minor"/>
      </rPr>
      <t>, depending on the farm size.</t>
    </r>
  </si>
  <si>
    <t>1 million FCFA (xof) = ...€</t>
  </si>
  <si>
    <t>EMPLOYMENT</t>
  </si>
  <si>
    <t>Parameters (final output)</t>
  </si>
  <si>
    <t>Variables</t>
  </si>
  <si>
    <t>Modalities</t>
  </si>
  <si>
    <t>Frequencies (%)</t>
  </si>
  <si>
    <t>Source</t>
  </si>
  <si>
    <t>Unit / Note</t>
  </si>
  <si>
    <t>Value (€)</t>
  </si>
  <si>
    <t>Machine</t>
  </si>
  <si>
    <t>Price (xof)</t>
  </si>
  <si>
    <t>Price (€)</t>
  </si>
  <si>
    <t>Drying units</t>
  </si>
  <si>
    <t>Producers</t>
  </si>
  <si>
    <t>Yield per ha</t>
  </si>
  <si>
    <t>kg/ha/an</t>
  </si>
  <si>
    <t>Link - researchgate</t>
  </si>
  <si>
    <t>Elevators</t>
  </si>
  <si>
    <t>Sex</t>
  </si>
  <si>
    <t>Man</t>
  </si>
  <si>
    <t>BOBO-DIOULASSO AND ORODARA AREAS  ASSESSMENT (BURKINA FASO)</t>
  </si>
  <si>
    <t>Recovery rate</t>
  </si>
  <si>
    <t>Rate (80%)</t>
  </si>
  <si>
    <t>Bubble washer</t>
  </si>
  <si>
    <t>Women</t>
  </si>
  <si>
    <t>Transformation ratio (fresh to dry)</t>
  </si>
  <si>
    <t>kg fresh -&gt; 0,4 kg dried</t>
  </si>
  <si>
    <t>Link from cbi.eu</t>
  </si>
  <si>
    <t>Sorter</t>
  </si>
  <si>
    <t>Age</t>
  </si>
  <si>
    <t>] 20 ; 29[</t>
  </si>
  <si>
    <t>Cost of a fresh mango</t>
  </si>
  <si>
    <t>FCFA/kg</t>
  </si>
  <si>
    <t>0.23</t>
  </si>
  <si>
    <t>Cleaner</t>
  </si>
  <si>
    <t>] 30 ; 39[</t>
  </si>
  <si>
    <t>8, 33</t>
  </si>
  <si>
    <t xml:space="preserve">Export price (dried) </t>
  </si>
  <si>
    <t>FCFA/kg dried</t>
  </si>
  <si>
    <t>Link - gebana.com</t>
  </si>
  <si>
    <t>Dryer</t>
  </si>
  <si>
    <t>] 40 ; 49[</t>
  </si>
  <si>
    <t>Capacity per cycle (dryer)</t>
  </si>
  <si>
    <t>kg fresh/cycle</t>
  </si>
  <si>
    <t>Link - thaiscience.info</t>
  </si>
  <si>
    <t>Peeler</t>
  </si>
  <si>
    <t>] 50 ; 59[</t>
  </si>
  <si>
    <t>Campaign duration</t>
  </si>
  <si>
    <t>days (4 months)</t>
  </si>
  <si>
    <t>Link -eservices.colead</t>
  </si>
  <si>
    <t>Total</t>
  </si>
  <si>
    <t>&gt; 60</t>
  </si>
  <si>
    <t>Max cycles per dryer (4 months)</t>
  </si>
  <si>
    <t>cycles</t>
  </si>
  <si>
    <t>Education level</t>
  </si>
  <si>
    <t>Illiterate</t>
  </si>
  <si>
    <t>41.18</t>
  </si>
  <si>
    <t>Unit cost per dryer</t>
  </si>
  <si>
    <t>FCFA</t>
  </si>
  <si>
    <t>Literate</t>
  </si>
  <si>
    <t>11.76</t>
  </si>
  <si>
    <t>Unit cost (2ha)</t>
  </si>
  <si>
    <t>Link - pseau.org</t>
  </si>
  <si>
    <t>Primary</t>
  </si>
  <si>
    <t>35.29</t>
  </si>
  <si>
    <t>Secondary</t>
  </si>
  <si>
    <t>83.33</t>
  </si>
  <si>
    <t>Superior</t>
  </si>
  <si>
    <t>12.5</t>
  </si>
  <si>
    <t>Experience in activity</t>
  </si>
  <si>
    <t>] 5 ; 10[</t>
  </si>
  <si>
    <t>87.78</t>
  </si>
  <si>
    <t>17.65</t>
  </si>
  <si>
    <t>] 10 ; 15[</t>
  </si>
  <si>
    <t>3.33</t>
  </si>
  <si>
    <t>29.41</t>
  </si>
  <si>
    <t>] 15 ; 20[</t>
  </si>
  <si>
    <t>5.56</t>
  </si>
  <si>
    <t>&gt; 20</t>
  </si>
  <si>
    <t>IOT</t>
  </si>
  <si>
    <t>add_fan_power_kW</t>
  </si>
  <si>
    <t>sensor_cost_per_dryer_FCFA</t>
  </si>
  <si>
    <t>gateway_cost_per_site_FCFA</t>
  </si>
  <si>
    <t>connectivity_monthly_per_dryer_FCFA</t>
  </si>
  <si>
    <t>cloud_subscription_annual_FCFA</t>
  </si>
  <si>
    <t>installation_cost_per_dryer_FCFA</t>
  </si>
  <si>
    <t>iot_capex_lifetime_years</t>
  </si>
  <si>
    <t>WEEKLY COSTS</t>
  </si>
  <si>
    <t>Scenario_ha</t>
  </si>
  <si>
    <t>Weekly_dried_avg_kg</t>
  </si>
  <si>
    <t>Weekly_revenue_avg_FCFA</t>
  </si>
  <si>
    <t>Weekly_prod_cost_avg_FCFA</t>
  </si>
  <si>
    <t>Weekly_energy_avg_FCFA</t>
  </si>
  <si>
    <t>Weekly_maintenance_avg_FCFA</t>
  </si>
  <si>
    <t>Weekly_profit_avg_FCFA</t>
  </si>
  <si>
    <t>Weekly_profit_avg_EUR</t>
  </si>
  <si>
    <t>MONTHLY COSTS</t>
  </si>
  <si>
    <t>Monthly_dried_avg_kg</t>
  </si>
  <si>
    <t>Monthly_revenue_avg_FCFA</t>
  </si>
  <si>
    <t>Monthly_prod_cost_avg_FCFA</t>
  </si>
  <si>
    <t>Monthly_energy_avg_FCFA</t>
  </si>
  <si>
    <t>Monthly_maintenance_avg_FCFA</t>
  </si>
  <si>
    <t>Monthly_profit_avg_FCFA</t>
  </si>
  <si>
    <t>Monthly_profit_avg_EUR</t>
  </si>
  <si>
    <t xml:space="preserve">YEARLY COSTS  (FCFA or XOF) </t>
  </si>
  <si>
    <t>2ha detailed costs</t>
  </si>
  <si>
    <t>Year</t>
  </si>
  <si>
    <t>Usable_fresh_kg</t>
  </si>
  <si>
    <t>Dried_kg</t>
  </si>
  <si>
    <t>Export_price_FCFA</t>
  </si>
  <si>
    <t>Unit_cost_FCFA_per_kg</t>
  </si>
  <si>
    <t>Cost_yearly_dried_mango_FCFA</t>
  </si>
  <si>
    <t>Cycles</t>
  </si>
  <si>
    <t>Energy_cost_FCFA</t>
  </si>
  <si>
    <t>Maintenance_FCFA</t>
  </si>
  <si>
    <t>Total_costs_all_FCFA</t>
  </si>
  <si>
    <t>Net_profit_FCFA</t>
  </si>
  <si>
    <t>Inventory_turnover_per_year</t>
  </si>
  <si>
    <t>Dryers_used</t>
  </si>
  <si>
    <t xml:space="preserve">YEARLY COSTS  (EURO) </t>
  </si>
  <si>
    <t>48783.68 €</t>
  </si>
  <si>
    <t>2.77 €</t>
  </si>
  <si>
    <t>4439.31 €</t>
  </si>
  <si>
    <t>137.20 €</t>
  </si>
  <si>
    <t>45.73 €</t>
  </si>
  <si>
    <t>53222.99 €</t>
  </si>
  <si>
    <t>4256.38 €</t>
  </si>
  <si>
    <t>Small Farm 2 ha</t>
  </si>
  <si>
    <t>Metric</t>
  </si>
  <si>
    <t>Calculation / Notes</t>
  </si>
  <si>
    <t>Pump Load</t>
  </si>
  <si>
    <t>kw</t>
  </si>
  <si>
    <t>Pump Hours</t>
  </si>
  <si>
    <t>h</t>
  </si>
  <si>
    <t>Dryer Load</t>
  </si>
  <si>
    <t>Dryer Hours</t>
  </si>
  <si>
    <t>Misc. Load</t>
  </si>
  <si>
    <t>Misc. Hours</t>
  </si>
  <si>
    <t>Daily Energy</t>
  </si>
  <si>
    <t>kwh</t>
  </si>
  <si>
    <t>---</t>
  </si>
  <si>
    <t>PSH</t>
  </si>
  <si>
    <t>Tracker Gain</t>
  </si>
  <si>
    <t>User-provided assumption</t>
  </si>
  <si>
    <t>Effective PSH</t>
  </si>
  <si>
    <t>5.5 h * (1 + 0.20)</t>
  </si>
  <si>
    <t>System Derate</t>
  </si>
  <si>
    <t>Required PV (kWp)</t>
  </si>
  <si>
    <t>kwp</t>
  </si>
  <si>
    <t>Panel Wattage</t>
  </si>
  <si>
    <t>w</t>
  </si>
  <si>
    <t>Number of Panels</t>
  </si>
  <si>
    <t>19 panels</t>
  </si>
  <si>
    <t>Inverter Efficiency</t>
  </si>
  <si>
    <t>Battery DoD</t>
  </si>
  <si>
    <t>Required Battery (usable)</t>
  </si>
  <si>
    <t>Inverter Size</t>
  </si>
  <si>
    <t>costs???</t>
  </si>
  <si>
    <t>Scenario</t>
  </si>
  <si>
    <t>Daily Energy (kWh/day)</t>
  </si>
  <si>
    <t>Required PV Array (kWp)</t>
  </si>
  <si>
    <t>Number of 400 W Panels</t>
  </si>
  <si>
    <t>Required Battery (usable kWh)</t>
  </si>
  <si>
    <t>Inverter Size (kW, nominal)</t>
  </si>
  <si>
    <t>Small farm (≈2 ha)</t>
  </si>
  <si>
    <t>Calculation Summary</t>
  </si>
  <si>
    <t>Fixed-Tilt (Baseline)</t>
  </si>
  <si>
    <t>With Tracking</t>
  </si>
  <si>
    <t>37 kWh/day</t>
  </si>
  <si>
    <t>PV Power</t>
  </si>
  <si>
    <t>7.5 kWp</t>
  </si>
  <si>
    <t>6.0 kWp</t>
  </si>
  <si>
    <t>400W Panels</t>
  </si>
  <si>
    <t>Total System Cost</t>
  </si>
  <si>
    <t>ROI (Payback Period)</t>
  </si>
  <si>
    <t>32.4 years</t>
  </si>
  <si>
    <t>31.7 years</t>
  </si>
  <si>
    <t>Annual Savings</t>
  </si>
  <si>
    <t>€1,351/year</t>
  </si>
  <si>
    <t>WHY DO YOU NEED 37 kWh?</t>
  </si>
  <si>
    <t>Usage</t>
  </si>
  <si>
    <t>kWh/day</t>
  </si>
  <si>
    <t>% Total</t>
  </si>
  <si>
    <t>Explanation</t>
  </si>
  <si>
    <t>Irrigation</t>
  </si>
  <si>
    <t>17 kWh</t>
  </si>
  <si>
    <t>Efficient pumps, main daytime usage</t>
  </si>
  <si>
    <t>Ventilation/Greenhouses</t>
  </si>
  <si>
    <t>7 kWh</t>
  </si>
  <si>
    <t>Automated systems, climate control</t>
  </si>
  <si>
    <t>Storage/Cooling</t>
  </si>
  <si>
    <t>5 kWh</t>
  </si>
  <si>
    <t>Fridges for fresh produce</t>
  </si>
  <si>
    <t>Tools/Machinery</t>
  </si>
  <si>
    <t>4 kWh</t>
  </si>
  <si>
    <t>Partial electrification of equipment</t>
  </si>
  <si>
    <t>Electric Fences</t>
  </si>
  <si>
    <t>2 kWh</t>
  </si>
  <si>
    <t>Livestock/crop protection</t>
  </si>
  <si>
    <t>Management/Office</t>
  </si>
  <si>
    <t>Monitoring, office lighting</t>
  </si>
  <si>
    <t>37 kWh</t>
  </si>
  <si>
    <t>Optimized sustainable farm</t>
  </si>
  <si>
    <t>HOW BIG IS SOLAR PV SYSTEM? AT WHICH COST?</t>
  </si>
  <si>
    <r>
      <rPr>
        <b/>
        <sz val="16"/>
        <color rgb="FF000000"/>
        <rFont val="Aptos Narrow"/>
        <scheme val="minor"/>
      </rPr>
      <t xml:space="preserve">System Size:
</t>
    </r>
    <r>
      <rPr>
        <sz val="16"/>
        <color rgb="FF000000"/>
        <rFont val="Aptos Narrow"/>
        <scheme val="minor"/>
      </rPr>
      <t>Fixed-Tilt (Table Baseline): 7.5 kWp = 19 panels × 400W
With Tracking: 6.0 kWp = 15 panels × 400W(20% reduction thanks to 30% tracking yield gain)</t>
    </r>
  </si>
  <si>
    <t>Component</t>
  </si>
  <si>
    <t>Unit Price</t>
  </si>
  <si>
    <t>Fixed-Tilt</t>
  </si>
  <si>
    <t>Tracking</t>
  </si>
  <si>
    <t>Difference</t>
  </si>
  <si>
    <t>PV Panels</t>
  </si>
  <si>
    <t>1,200€/kWp</t>
  </si>
  <si>
    <t>Tracking Hardware</t>
  </si>
  <si>
    <t>500€/kWp</t>
  </si>
  <si>
    <t>Mounting/Installation</t>
  </si>
  <si>
    <t>Estimated total cost (unit not specified)</t>
  </si>
  <si>
    <t>Battery</t>
  </si>
  <si>
    <t>400€/kWh (×52 usable kWh)</t>
  </si>
  <si>
    <t>Inverter</t>
  </si>
  <si>
    <t>500€/kW (×6.3 kW nominal)</t>
  </si>
  <si>
    <t>Net Savings: €975 due to fewer panels despite tracking hardware cost.</t>
  </si>
  <si>
    <t>WHAT IS THE ROI?</t>
  </si>
  <si>
    <t>Excel Formula</t>
  </si>
  <si>
    <t>Annual Production</t>
  </si>
  <si>
    <t>13,505 kWh</t>
  </si>
  <si>
    <t>=37×365</t>
  </si>
  <si>
    <t>Electricity Rate</t>
  </si>
  <si>
    <t>0.10 €/kWh</t>
  </si>
  <si>
    <t>Agricultural rate</t>
  </si>
  <si>
    <t>=Production×Rate</t>
  </si>
  <si>
    <t>System Cost</t>
  </si>
  <si>
    <t>Ref. cost table</t>
  </si>
  <si>
    <t>=Cost/Savings</t>
  </si>
  <si>
    <r>
      <rPr>
        <b/>
        <sz val="16"/>
        <color rgb="FF000000"/>
        <rFont val="Times New Roman"/>
      </rPr>
      <t xml:space="preserve">Optimization Tip:
</t>
    </r>
    <r>
      <rPr>
        <b/>
        <sz val="13.5"/>
        <color rgb="FF000000"/>
        <rFont val="Times New Roman"/>
      </rPr>
      <t xml:space="preserve">
</t>
    </r>
    <r>
      <rPr>
        <sz val="14"/>
        <color rgb="FF000000"/>
        <rFont val="Times New Roman"/>
      </rPr>
      <t>By scheduling the irrigation pumps to operate mainly during the daytime, when the solar panels are producing electricity, it is possible to reduce the required battery capacity, lower the initial investment (CAPEX), and shorten the payback period. This simple operational measure improves the overall system efficiency without requiring additional equipment.
For example, by shifting half of the irrigation to daytime, the battery can be reduced from 52 kWh to approximately 30 kWh, and the payback period would decrease from 32 to 26 years.</t>
    </r>
  </si>
  <si>
    <t>Design of an Energy-Efficient Warehouse for Preserving Dried Mangoes Until Distribution</t>
  </si>
  <si>
    <t>Zone</t>
  </si>
  <si>
    <t>Purpose</t>
  </si>
  <si>
    <t>Length (m)</t>
  </si>
  <si>
    <t>Width (m)</t>
  </si>
  <si>
    <t>Area (m²)</t>
  </si>
  <si>
    <t>Target Temp (°C)</t>
  </si>
  <si>
    <t>Target RH (%)</t>
  </si>
  <si>
    <t>Energy-efficient tech</t>
  </si>
  <si>
    <t>Estimated CAPEX (€)</t>
  </si>
  <si>
    <t>Estimated OPEX/year (€)</t>
  </si>
  <si>
    <t>Approx. Cooling Load (kW)</t>
  </si>
  <si>
    <t>Receiving &amp; Inspection</t>
  </si>
  <si>
    <t>Unloading trucks, quality check, initial sorting</t>
  </si>
  <si>
    <t>20 to 25</t>
  </si>
  <si>
    <t>40-60</t>
  </si>
  <si>
    <t>Unloading table, scales, pallets</t>
  </si>
  <si>
    <t>LED lighting, motion sensors, natural daylighting</t>
  </si>
  <si>
    <t>Conditioning / Re-drying</t>
  </si>
  <si>
    <t>Optional re-drying or moisture equilibration</t>
  </si>
  <si>
    <t>40 to 60 (process)</t>
  </si>
  <si>
    <t>10-20 (process)</t>
  </si>
  <si>
    <t>Hot air oven, hygrometer</t>
  </si>
  <si>
    <t>Heat-recovery ventilator, insulated chamber, PID control</t>
  </si>
  <si>
    <t>6 (process heating)</t>
  </si>
  <si>
    <t>Bulk Dry Storage (racked)</t>
  </si>
  <si>
    <t>Main storage for dried mango in bulk or boxes</t>
  </si>
  <si>
    <t>15 to 20</t>
  </si>
  <si>
    <t>50-55</t>
  </si>
  <si>
    <t>Racks, fans, dehumidifier</t>
  </si>
  <si>
    <t>Insulated envelope, dehumidifier with hygrostats, HVAC with heat recovery, LED</t>
  </si>
  <si>
    <t>Packaging &amp; Sealing</t>
  </si>
  <si>
    <t>Weighing, packaging, vacuum/MAP sealing, labeling</t>
  </si>
  <si>
    <t>18 to 22</t>
  </si>
  <si>
    <t>50-60</t>
  </si>
  <si>
    <t>Tables, scales, MAP sealer, labeler</t>
  </si>
  <si>
    <t>Efficient packers, LED, schedule-based ventilation</t>
  </si>
  <si>
    <t>Cold Holding (optional)</t>
  </si>
  <si>
    <t>Short-term holding for packaged product before shipment</t>
  </si>
  <si>
    <t>10 to 15</t>
  </si>
  <si>
    <t>30-50</t>
  </si>
  <si>
    <t>Cold room, mobile racks</t>
  </si>
  <si>
    <t>High-efficiency compressor, door curtains, variable-speed drives</t>
  </si>
  <si>
    <t>Loading &amp; Dispatch</t>
  </si>
  <si>
    <t>Staging for outbound shipments</t>
  </si>
  <si>
    <t>Pallets, pallet jacks</t>
  </si>
  <si>
    <t>LED lighting, insulated loading doors</t>
  </si>
  <si>
    <t>Utilities &amp; Mechanical</t>
  </si>
  <si>
    <t>House HVAC, dehumidifiers, solar inverter, backup generator</t>
  </si>
  <si>
    <t>N/A</t>
  </si>
  <si>
    <t>Central HVAC, dehumidifier, inverter, generator</t>
  </si>
  <si>
    <t>Solar PV + battery, energy monitoring, VFD on fans</t>
  </si>
  <si>
    <t>Office &amp; QC Lab</t>
  </si>
  <si>
    <t>Admin, quality control testing, record keeping</t>
  </si>
  <si>
    <t>20 to 24</t>
  </si>
  <si>
    <t>Desks, PCs, microscopes, scales</t>
  </si>
  <si>
    <t>Efficient appliances, daylighting, timers</t>
  </si>
  <si>
    <t>Glossary / Abbreviations:</t>
  </si>
  <si>
    <r>
      <t>CAPEX</t>
    </r>
    <r>
      <rPr>
        <sz val="16"/>
        <color theme="1"/>
        <rFont val="Times New Roman"/>
      </rPr>
      <t xml:space="preserve"> = Capital Expenditure (investment in equipment &amp; infrastructure)</t>
    </r>
  </si>
  <si>
    <t>Estimated Totals:</t>
  </si>
  <si>
    <r>
      <t>OPEX</t>
    </r>
    <r>
      <rPr>
        <sz val="16"/>
        <color theme="1"/>
        <rFont val="Times New Roman"/>
      </rPr>
      <t xml:space="preserve"> = Operational Expenditure (annual operating costs)</t>
    </r>
  </si>
  <si>
    <r>
      <t>Total CAPEX</t>
    </r>
    <r>
      <rPr>
        <sz val="16"/>
        <color theme="1"/>
        <rFont val="Times New Roman"/>
      </rPr>
      <t xml:space="preserve"> ≈ €51,000</t>
    </r>
  </si>
  <si>
    <r>
      <t>MAP</t>
    </r>
    <r>
      <rPr>
        <sz val="16"/>
        <color theme="1"/>
        <rFont val="Times New Roman"/>
      </rPr>
      <t xml:space="preserve"> = Modified Atmosphere Packaging (technique to preserve food)</t>
    </r>
  </si>
  <si>
    <r>
      <t>Total annual OPEX</t>
    </r>
    <r>
      <rPr>
        <sz val="16"/>
        <color theme="1"/>
        <rFont val="Times New Roman"/>
      </rPr>
      <t xml:space="preserve"> ≈ €8,400</t>
    </r>
  </si>
  <si>
    <r>
      <t>kW</t>
    </r>
    <r>
      <rPr>
        <sz val="16"/>
        <color theme="1"/>
        <rFont val="Times New Roman"/>
      </rPr>
      <t xml:space="preserve"> = Kilowatt (unit of power / cooling load)</t>
    </r>
  </si>
  <si>
    <r>
      <t>N/A</t>
    </r>
    <r>
      <rPr>
        <sz val="16"/>
        <color theme="1"/>
        <rFont val="Times New Roman"/>
      </rPr>
      <t xml:space="preserve"> = Not Applicable</t>
    </r>
  </si>
  <si>
    <r>
      <rPr>
        <b/>
        <sz val="16"/>
        <color rgb="FF000000"/>
        <rFont val="Times New Roman"/>
      </rPr>
      <t xml:space="preserve">QC Lab = </t>
    </r>
    <r>
      <rPr>
        <sz val="16"/>
        <color rgb="FF000000"/>
        <rFont val="Times New Roman"/>
      </rPr>
      <t xml:space="preserve">Quality Control Laboratory </t>
    </r>
  </si>
  <si>
    <r>
      <rPr>
        <b/>
        <sz val="16"/>
        <color rgb="FF000000"/>
        <rFont val="Times New Roman"/>
      </rPr>
      <t>HVAC</t>
    </r>
    <r>
      <rPr>
        <sz val="16"/>
        <color rgb="FF000000"/>
        <rFont val="Times New Roman"/>
      </rPr>
      <t xml:space="preserve"> = Heating, Ventilation, and Air Conditioning</t>
    </r>
  </si>
  <si>
    <r>
      <t>RH</t>
    </r>
    <r>
      <rPr>
        <sz val="16"/>
        <color theme="1"/>
        <rFont val="Times New Roman"/>
      </rPr>
      <t xml:space="preserve"> = Relative Humidity (humidity % to maintain product quality)</t>
    </r>
  </si>
  <si>
    <r>
      <rPr>
        <b/>
        <sz val="16"/>
        <color rgb="FF000000"/>
        <rFont val="Times New Roman"/>
      </rPr>
      <t xml:space="preserve">Analysis and Justification of Technical Choices:
</t>
    </r>
    <r>
      <rPr>
        <sz val="11"/>
        <color rgb="FF000000"/>
        <rFont val="Aptos Narrow"/>
        <scheme val="minor"/>
      </rPr>
      <t xml:space="preserve">
</t>
    </r>
    <r>
      <rPr>
        <sz val="14"/>
        <color rgb="FF000000"/>
        <rFont val="Times New Roman"/>
      </rPr>
      <t>The facility layout and design parameters were defined according to the specific thermal and operational needs of each zone. Temperature and humidity targets are carefully adjusted to maintain mango quality during receiving, conditioning, drying, storage, and packaging operations.
Energy-efficient technologies such as LED lighting, motion sensors, heat-recovery ventilation, insulated envelopes, and variable-speed drives have been selected to minimize energy losses and optimize indoor environmental conditions. The integration of dehumidifiers with hygrostats and automated HVAC control ensures stable storage conditions, while MAP sealers and cold rooms preserve product integrity before dispatch.
In the utilities section, the inclusion of a solar photovoltaic system with battery storage and energy monitoring reduces grid dependency and lowers operational costs (OPEX). Overall, these technical decisions reflect a sustainable and cost-effective approach, combining energy efficiency, process reliability, and environmental responsibility.</t>
    </r>
  </si>
  <si>
    <t>Importance of Moore → German Voice Translation in the Dried Mango Trade</t>
  </si>
  <si>
    <t>Indicator</t>
  </si>
  <si>
    <t>Without Voice Translation App (per year)</t>
  </si>
  <si>
    <t>With Voice Translation App (per year)</t>
  </si>
  <si>
    <t>Gain due to No-Reesa App</t>
  </si>
  <si>
    <t>Impact (%)</t>
  </si>
  <si>
    <t>Number of international buyers reached</t>
  </si>
  <si>
    <t>Total sales (million XOF)</t>
  </si>
  <si>
    <t>8.5</t>
  </si>
  <si>
    <t xml:space="preserve">                                               15.2</t>
  </si>
  <si>
    <t xml:space="preserve">               +6.7</t>
  </si>
  <si>
    <t xml:space="preserve">           78.8%</t>
  </si>
  <si>
    <t>Amount spent on interpreters (million XOF)</t>
  </si>
  <si>
    <t>2.1</t>
  </si>
  <si>
    <t xml:space="preserve">               +2.1</t>
  </si>
  <si>
    <t>Export success rate</t>
  </si>
  <si>
    <t xml:space="preserve">            54.5%</t>
  </si>
  <si>
    <t>Customer satisfaction rate</t>
  </si>
  <si>
    <t xml:space="preserve">            53.3%</t>
  </si>
  <si>
    <t>Average delivery agreements per month</t>
  </si>
  <si>
    <t>BUSINESS MODEL CANVAS</t>
  </si>
  <si>
    <t>Key Partners</t>
  </si>
  <si>
    <t>Key Activities</t>
  </si>
  <si>
    <t>Value Propositions</t>
  </si>
  <si>
    <t>Customer Relationships</t>
  </si>
  <si>
    <t>Customer Segments</t>
  </si>
  <si>
    <t>Moore language experts</t>
  </si>
  <si>
    <t>Data Collection &amp; Labeling for Moore Language</t>
  </si>
  <si>
    <t>Unleash Language Barriers between Moore speakers and German speakers</t>
  </si>
  <si>
    <t>Social Media &amp; Community Engagement</t>
  </si>
  <si>
    <t>Farm managers</t>
  </si>
  <si>
    <t>AI/ML Developers &amp; Engineers</t>
  </si>
  <si>
    <t xml:space="preserve">AI Model Training &amp; Optimization </t>
  </si>
  <si>
    <t>Travelers &amp; Tourists</t>
  </si>
  <si>
    <t>Universities &amp; Research Institutions</t>
  </si>
  <si>
    <t>Mobile App Development &amp; Maintenance (Flutter, FastAPI)</t>
  </si>
  <si>
    <t>Government &amp; NGOs</t>
  </si>
  <si>
    <t>Cloud Service Providers (e.g., Google Cloud, AWS, or Azure)</t>
  </si>
  <si>
    <t>Marketing &amp; Partnership Building</t>
  </si>
  <si>
    <t>Real-time Voice Translation for quick communication</t>
  </si>
  <si>
    <t>Customer Support &amp; Feedback Collection</t>
  </si>
  <si>
    <t>Key Resources</t>
  </si>
  <si>
    <t>Time &amp; Cost Saving For Farmers and their visitors</t>
  </si>
  <si>
    <t>Channels</t>
  </si>
  <si>
    <t>Trained AI Model &amp; Voice Data</t>
  </si>
  <si>
    <t>Mobile App (Google Play Store, Apple App Store)</t>
  </si>
  <si>
    <t>Mobile App (Flutter) &amp; Backend API (FastAPI)</t>
  </si>
  <si>
    <t>Cloud Infrastructure (for hosting &amp; processing)</t>
  </si>
  <si>
    <t>Social Media (Facebook, Twitter, LinkedIn)</t>
  </si>
  <si>
    <t>Technical Team (AI Engineers, Developers, Linguists)</t>
  </si>
  <si>
    <t>Cost Structure</t>
  </si>
  <si>
    <t>Revenue Streams</t>
  </si>
  <si>
    <t>AI Model Development &amp; Training</t>
  </si>
  <si>
    <t>Freemium Model (Basic free version, premium features via subscription)</t>
  </si>
  <si>
    <t>Mobile App &amp; Backend Server Maintenance</t>
  </si>
  <si>
    <t>B2B Partnerships (Businesses</t>
  </si>
  <si>
    <t>Cloud Storage &amp; API Hosting Costs</t>
  </si>
  <si>
    <t>Government &amp; NGO Grants (For language development projects)</t>
  </si>
  <si>
    <t>Team Salaries &amp; Consultants</t>
  </si>
  <si>
    <t>PROJECT INFORMATION</t>
  </si>
  <si>
    <t>Project name</t>
  </si>
  <si>
    <t>Text</t>
  </si>
  <si>
    <t>Face Recognition Security System</t>
  </si>
  <si>
    <t>For 2-hectare mango drying farm</t>
  </si>
  <si>
    <t>Objective</t>
  </si>
  <si>
    <t>Reduce theft, improve monitoring, enhance workforce attendance and ensure safety</t>
  </si>
  <si>
    <t>Integration of camera and access control system</t>
  </si>
  <si>
    <t>Crop</t>
  </si>
  <si>
    <t>Mango</t>
  </si>
  <si>
    <t>Same crop as other sheets</t>
  </si>
  <si>
    <t>Currency</t>
  </si>
  <si>
    <t>Use exchange rate from sheet “2”</t>
  </si>
  <si>
    <t>SYSTEM COMPONENTS AND COSTS</t>
  </si>
  <si>
    <t>Perimeter fence (600 m)</t>
  </si>
  <si>
    <t>€/m</t>
  </si>
  <si>
    <t>Total = 600 × 9 = 5 400 €</t>
  </si>
  <si>
    <t>Perimeter cameras (12 units)</t>
  </si>
  <si>
    <t>€/unit</t>
  </si>
  <si>
    <t>Total = 12 × 140 = 1 680 €</t>
  </si>
  <si>
    <t>Face recognition cameras (2 units)</t>
  </si>
  <si>
    <t>Total = 2 × 190 = 380 €</t>
  </si>
  <si>
    <t>Internal cameras (8 units)</t>
  </si>
  <si>
    <t>Total = 8 × 110 = 880 €</t>
  </si>
  <si>
    <t>Storage &amp; monitoring system (1 unit)</t>
  </si>
  <si>
    <t>Includes server &amp; software</t>
  </si>
  <si>
    <t>Access control system (2 gates)</t>
  </si>
  <si>
    <t>Total = 2 × 480 = 960 €</t>
  </si>
  <si>
    <t>Total investment</t>
  </si>
  <si>
    <t>Including materials and installation</t>
  </si>
  <si>
    <t>Expected annual saving</t>
  </si>
  <si>
    <t>Based on reduced losses and efficiency</t>
  </si>
  <si>
    <t>ECONOMIC ANALYSIS</t>
  </si>
  <si>
    <t>Reduction of theft and losses</t>
  </si>
  <si>
    <t>Estimated based on previous incidents</t>
  </si>
  <si>
    <t>Reduction of personnel costs</t>
  </si>
  <si>
    <t>Due to automated monitoring</t>
  </si>
  <si>
    <t>Improved monitoring &amp; maintenance</t>
  </si>
  <si>
    <t>From efficiency improvements</t>
  </si>
  <si>
    <t>Total annual savings</t>
  </si>
  <si>
    <t>Sum of all benefits</t>
  </si>
  <si>
    <t>1.14</t>
  </si>
  <si>
    <t>10 700 / 9 400 = 1.14 years</t>
  </si>
  <si>
    <t>ABBREVIATIONS</t>
  </si>
  <si>
    <t>meter (unit of length)</t>
  </si>
  <si>
    <t>Euro (currency)</t>
  </si>
  <si>
    <t>units</t>
  </si>
  <si>
    <t>number of equipment</t>
  </si>
  <si>
    <t>Not applicable</t>
  </si>
  <si>
    <t>Used where data doesn’t apply</t>
  </si>
  <si>
    <t>gates</t>
  </si>
  <si>
    <t>access control entries</t>
  </si>
  <si>
    <t>For entry/exit points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</si>
</sst>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_(* #,##0.00_);_(* \(#,##0.00\);_(* &quot;-&quot;??_);_(@_)"/>
    <numFmt numFmtId="165" formatCode="0.000"/>
    <numFmt numFmtId="166" formatCode="0.0"/>
    <numFmt numFmtId="167" formatCode="_(* #,##0_);_(* \(#,##0\);_(* &quot;-&quot;??_);_(@_)"/>
    <numFmt numFmtId="168" formatCode="_([$€-2]\ * #,##0.00_);_([$€-2]\ * \(#,##0.00\);_([$€-2]\ * &quot;-&quot;??_);_(@_)"/>
    <numFmt numFmtId="169" formatCode="_-* #,##0\ [$CFA-340C]_-;\-* #,##0\ [$CFA-340C]_-;_-* &quot;-&quot;\ [$CFA-340C]_-;_-@_-"/>
    <numFmt numFmtId="170" formatCode="#,##0\ [$CFA-340C]"/>
  </numFmts>
  <fonts count="147">
    <font>
      <sz val="11"/>
      <color theme="1"/>
      <name val="Aptos Narrow"/>
      <family val="2"/>
      <scheme val="minor"/>
    </font>
    <font>
      <b/>
      <sz val="14"/>
      <color rgb="FF000000"/>
      <name val="Times New Roman"/>
      <family val="1"/>
    </font>
    <font>
      <sz val="14"/>
      <color rgb="FF000000"/>
      <name val="Times New Roman"/>
      <family val="1"/>
    </font>
    <font>
      <sz val="12"/>
      <color theme="1"/>
      <name val="Times New Roman"/>
      <family val="1"/>
      <charset val="1"/>
    </font>
    <font>
      <b/>
      <sz val="18"/>
      <color rgb="FF4EA72E"/>
      <name val="Aptos Narrow"/>
      <scheme val="minor"/>
    </font>
    <font>
      <b/>
      <sz val="12"/>
      <color rgb="FF000000"/>
      <name val="Times New Roman"/>
      <family val="1"/>
    </font>
    <font>
      <b/>
      <sz val="16"/>
      <color rgb="FF000000"/>
      <name val="Times New Roman"/>
      <family val="1"/>
    </font>
    <font>
      <sz val="16"/>
      <color rgb="FF000000"/>
      <name val="Times New Roman"/>
      <family val="1"/>
    </font>
    <font>
      <sz val="16"/>
      <color rgb="FF000000"/>
      <name val="Calibri"/>
      <family val="2"/>
    </font>
    <font>
      <sz val="16"/>
      <color theme="1"/>
      <name val="Aptos Narrow"/>
      <family val="2"/>
      <scheme val="minor"/>
    </font>
    <font>
      <b/>
      <sz val="14"/>
      <color rgb="FF215C98"/>
      <name val="Times New Roman"/>
    </font>
    <font>
      <b/>
      <sz val="14"/>
      <color rgb="FF000000"/>
      <name val="Times New Roman"/>
    </font>
    <font>
      <sz val="14"/>
      <color rgb="FF000000"/>
      <name val="Times New Roman"/>
    </font>
    <font>
      <sz val="14"/>
      <color rgb="FFFF0000"/>
      <name val="Times New Roman"/>
    </font>
    <font>
      <b/>
      <sz val="16"/>
      <color rgb="FF4EA72E"/>
      <name val="Times New Roman"/>
    </font>
    <font>
      <b/>
      <sz val="11"/>
      <color theme="1"/>
      <name val="Aptos Narrow"/>
      <family val="2"/>
      <scheme val="minor"/>
    </font>
    <font>
      <b/>
      <sz val="11"/>
      <color rgb="FF000000"/>
      <name val="Calibri"/>
      <charset val="134"/>
    </font>
    <font>
      <sz val="11"/>
      <color rgb="FF000000"/>
      <name val="Calibri"/>
      <charset val="134"/>
    </font>
    <font>
      <sz val="11"/>
      <color rgb="FF0070C0"/>
      <name val="Aptos Narrow"/>
      <scheme val="minor"/>
    </font>
    <font>
      <b/>
      <sz val="24"/>
      <color rgb="FF215C98"/>
      <name val="Times New Roman"/>
    </font>
    <font>
      <b/>
      <sz val="48"/>
      <color theme="0"/>
      <name val="Times New Roman"/>
    </font>
    <font>
      <b/>
      <sz val="15"/>
      <color rgb="FFFFFFFF"/>
      <name val="Arial"/>
      <family val="2"/>
    </font>
    <font>
      <b/>
      <sz val="15"/>
      <color rgb="FF1D1D1D"/>
      <name val="Arial"/>
      <family val="2"/>
    </font>
    <font>
      <b/>
      <sz val="15"/>
      <color theme="0"/>
      <name val="Arial"/>
      <family val="2"/>
    </font>
    <font>
      <b/>
      <sz val="11"/>
      <color theme="3" tint="0.249977111117893"/>
      <name val="Aptos Narrow"/>
      <family val="2"/>
      <scheme val="minor"/>
    </font>
    <font>
      <sz val="12"/>
      <color theme="1"/>
      <name val="Aptos Narrow"/>
      <family val="2"/>
      <scheme val="minor"/>
    </font>
    <font>
      <b/>
      <sz val="14"/>
      <color theme="7"/>
      <name val="Aptos Narrow"/>
      <family val="2"/>
      <scheme val="minor"/>
    </font>
    <font>
      <b/>
      <sz val="14"/>
      <color theme="7"/>
      <name val="Aptos Narrow"/>
      <charset val="1"/>
    </font>
    <font>
      <b/>
      <sz val="14"/>
      <color rgb="FFFF0000"/>
      <name val="Aptos Narrow"/>
      <family val="2"/>
      <scheme val="minor"/>
    </font>
    <font>
      <sz val="12"/>
      <color rgb="FF000000"/>
      <name val="Aptos Narrow"/>
      <family val="2"/>
      <scheme val="minor"/>
    </font>
    <font>
      <sz val="10"/>
      <color rgb="FF000000"/>
      <name val="Arial"/>
      <family val="2"/>
    </font>
    <font>
      <b/>
      <sz val="14"/>
      <color theme="1"/>
      <name val="Aptos Narrow"/>
      <family val="2"/>
      <scheme val="minor"/>
    </font>
    <font>
      <b/>
      <sz val="14"/>
      <color rgb="FF00B0F0"/>
      <name val="Aptos Narrow"/>
      <family val="2"/>
      <scheme val="minor"/>
    </font>
    <font>
      <u/>
      <sz val="11"/>
      <color theme="3" tint="0.249977111117893"/>
      <name val="Aptos Narrow"/>
      <family val="2"/>
      <scheme val="minor"/>
    </font>
    <font>
      <b/>
      <sz val="14"/>
      <color rgb="FF1D1D1D"/>
      <name val="Calibri"/>
      <family val="2"/>
      <scheme val="minor"/>
    </font>
    <font>
      <b/>
      <sz val="12"/>
      <color rgb="FFFFFFFF"/>
      <name val="Calibri"/>
      <family val="2"/>
      <scheme val="minor"/>
    </font>
    <font>
      <sz val="11"/>
      <color rgb="FF1D1D1D"/>
      <name val="Calibri"/>
      <family val="2"/>
      <scheme val="minor"/>
    </font>
    <font>
      <sz val="11"/>
      <color rgb="FF000000"/>
      <name val="Calibri"/>
      <family val="2"/>
      <scheme val="minor"/>
    </font>
    <font>
      <sz val="12"/>
      <color theme="1"/>
      <name val="Calibri"/>
      <family val="2"/>
      <scheme val="minor"/>
    </font>
    <font>
      <sz val="16"/>
      <color rgb="FF000000"/>
      <name val="Aptos Narrow"/>
      <scheme val="minor"/>
    </font>
    <font>
      <sz val="11"/>
      <color rgb="FF000000"/>
      <name val="Aptos Narrow"/>
      <family val="2"/>
      <scheme val="minor"/>
    </font>
    <font>
      <b/>
      <sz val="16"/>
      <color rgb="FF000000"/>
      <name val="Aptos Narrow"/>
      <scheme val="minor"/>
    </font>
    <font>
      <b/>
      <sz val="14"/>
      <color rgb="FFFFFFFF"/>
      <name val="Aptos Narrow"/>
      <scheme val="minor"/>
    </font>
    <font>
      <b/>
      <sz val="12"/>
      <color rgb="FFFFFFFF"/>
      <name val="Aptos Narrow"/>
      <scheme val="minor"/>
    </font>
    <font>
      <b/>
      <sz val="11"/>
      <color theme="1" tint="4.9989318521683403E-2"/>
      <name val="Calibri"/>
      <charset val="134"/>
    </font>
    <font>
      <sz val="14"/>
      <color theme="1"/>
      <name val="Aptos Narrow"/>
      <family val="2"/>
      <scheme val="minor"/>
    </font>
    <font>
      <sz val="11"/>
      <color rgb="FF000000"/>
      <name val="Calibri"/>
      <charset val="1"/>
    </font>
    <font>
      <u/>
      <sz val="11"/>
      <color theme="10"/>
      <name val="Aptos Narrow"/>
      <family val="2"/>
      <scheme val="minor"/>
    </font>
    <font>
      <sz val="11"/>
      <color rgb="FF000000"/>
      <name val="Aptos Narrow"/>
      <charset val="1"/>
    </font>
    <font>
      <sz val="11"/>
      <color rgb="FF000000"/>
      <name val="Times New Roman"/>
    </font>
    <font>
      <sz val="11"/>
      <color rgb="FF000000"/>
      <name val="Consolas"/>
      <charset val="1"/>
    </font>
    <font>
      <b/>
      <sz val="11"/>
      <color rgb="FF000000"/>
      <name val="Calibri"/>
      <charset val="1"/>
    </font>
    <font>
      <sz val="11"/>
      <color rgb="FF000000"/>
      <name val="Calibri"/>
    </font>
    <font>
      <sz val="14"/>
      <color rgb="FF000000"/>
      <name val="Aptos Narrow"/>
      <charset val="1"/>
    </font>
    <font>
      <b/>
      <sz val="9"/>
      <color theme="1"/>
      <name val="Aptos Narrow"/>
      <family val="2"/>
      <scheme val="minor"/>
    </font>
    <font>
      <sz val="9"/>
      <color theme="1"/>
      <name val="Aptos Narrow"/>
      <family val="2"/>
      <scheme val="minor"/>
    </font>
    <font>
      <sz val="9"/>
      <color theme="0"/>
      <name val="Aptos Narrow"/>
      <family val="2"/>
      <scheme val="minor"/>
    </font>
    <font>
      <b/>
      <sz val="11"/>
      <color rgb="FFFFFFFF"/>
      <name val="Aptos Narrow"/>
    </font>
    <font>
      <b/>
      <sz val="11"/>
      <color theme="0"/>
      <name val="Calibri"/>
      <family val="2"/>
      <scheme val="minor"/>
    </font>
    <font>
      <b/>
      <sz val="11"/>
      <color theme="0"/>
      <name val="Aptos Narrow"/>
      <family val="2"/>
      <scheme val="minor"/>
    </font>
    <font>
      <b/>
      <sz val="14"/>
      <color rgb="FF1D1D1D"/>
      <name val="Calibri"/>
    </font>
    <font>
      <sz val="11"/>
      <color rgb="FF1D1D1D"/>
      <name val="Calibri"/>
    </font>
    <font>
      <b/>
      <sz val="11"/>
      <color rgb="FF1D1D1D"/>
      <name val="Calibri"/>
    </font>
    <font>
      <b/>
      <sz val="11"/>
      <color theme="0"/>
      <name val="Calibri"/>
    </font>
    <font>
      <b/>
      <sz val="14"/>
      <color rgb="FF4EA72E"/>
      <name val="Times New Roman"/>
    </font>
    <font>
      <sz val="14"/>
      <color rgb="FF000000"/>
      <name val="Aptos Narrow"/>
      <scheme val="minor"/>
    </font>
    <font>
      <b/>
      <sz val="14"/>
      <color theme="1"/>
      <name val="Times New Roman"/>
    </font>
    <font>
      <sz val="11"/>
      <color theme="1"/>
      <name val="Times New Roman"/>
    </font>
    <font>
      <sz val="11"/>
      <color rgb="FF1D1D1D"/>
      <name val="Times New Roman"/>
    </font>
    <font>
      <b/>
      <sz val="20"/>
      <color theme="3"/>
      <name val="Times New Roman"/>
    </font>
    <font>
      <b/>
      <sz val="20"/>
      <color rgb="FF002060"/>
      <name val="Times New Roman"/>
    </font>
    <font>
      <sz val="14"/>
      <color rgb="FF002060"/>
      <name val="Aptos Narrow"/>
      <family val="2"/>
      <scheme val="minor"/>
    </font>
    <font>
      <sz val="18"/>
      <color theme="1"/>
      <name val="Aptos Narrow"/>
      <family val="2"/>
      <scheme val="minor"/>
    </font>
    <font>
      <b/>
      <sz val="13.5"/>
      <color theme="1"/>
      <name val="Aptos Narrow"/>
      <family val="2"/>
      <scheme val="minor"/>
    </font>
    <font>
      <b/>
      <sz val="16"/>
      <color theme="1"/>
      <name val="Aptos Narrow"/>
      <family val="2"/>
      <scheme val="minor"/>
    </font>
    <font>
      <sz val="14"/>
      <color rgb="FF000000"/>
      <name val="Aptos Narrow"/>
      <family val="2"/>
      <scheme val="minor"/>
    </font>
    <font>
      <b/>
      <sz val="16"/>
      <color rgb="FF000000"/>
      <name val="Aptos Narrow"/>
      <family val="2"/>
      <scheme val="minor"/>
    </font>
    <font>
      <b/>
      <sz val="11"/>
      <color rgb="FF000000"/>
      <name val="Aptos Narrow"/>
      <family val="2"/>
      <scheme val="minor"/>
    </font>
    <font>
      <sz val="13.5"/>
      <color rgb="FF000000"/>
      <name val="Aptos Narrow"/>
      <family val="2"/>
      <scheme val="minor"/>
    </font>
    <font>
      <b/>
      <sz val="13.5"/>
      <color rgb="FF000000"/>
      <name val="Aptos Narrow"/>
      <family val="2"/>
      <scheme val="minor"/>
    </font>
    <font>
      <b/>
      <sz val="16"/>
      <color theme="1"/>
      <name val="Times New Roman"/>
    </font>
    <font>
      <sz val="16"/>
      <color theme="1"/>
      <name val="Times New Roman"/>
    </font>
    <font>
      <sz val="16"/>
      <color rgb="FF000000"/>
      <name val="Times New Roman"/>
    </font>
    <font>
      <b/>
      <sz val="16"/>
      <color rgb="FF000000"/>
      <name val="Times New Roman"/>
    </font>
    <font>
      <b/>
      <sz val="18"/>
      <color theme="1"/>
      <name val="Aptos Narrow"/>
      <family val="2"/>
      <scheme val="minor"/>
    </font>
    <font>
      <b/>
      <sz val="16"/>
      <color rgb="FF00B0F0"/>
      <name val="Aptos Narrow"/>
      <family val="2"/>
      <scheme val="minor"/>
    </font>
    <font>
      <b/>
      <sz val="14"/>
      <color theme="6" tint="0.39997558519241921"/>
      <name val="Aptos Narrow"/>
      <family val="2"/>
      <scheme val="minor"/>
    </font>
    <font>
      <b/>
      <sz val="14"/>
      <color rgb="FFFFC000"/>
      <name val="Aptos Narrow"/>
      <charset val="1"/>
    </font>
    <font>
      <b/>
      <sz val="14"/>
      <color rgb="FFFFC000"/>
      <name val="Aptos Narrow"/>
      <family val="2"/>
      <scheme val="minor"/>
    </font>
    <font>
      <b/>
      <sz val="14"/>
      <color rgb="FFFF0000"/>
      <name val="Aptos Narrow"/>
      <charset val="1"/>
    </font>
    <font>
      <b/>
      <sz val="14"/>
      <color rgb="FF000000"/>
      <name val="Aptos Narrow"/>
      <charset val="1"/>
    </font>
    <font>
      <b/>
      <sz val="12"/>
      <color theme="1"/>
      <name val="Aptos Narrow"/>
      <family val="2"/>
      <scheme val="minor"/>
    </font>
    <font>
      <sz val="12"/>
      <color rgb="FF000000"/>
      <name val="Times New Roman"/>
    </font>
    <font>
      <sz val="11"/>
      <color rgb="FF000000"/>
      <name val="Aptos Narrow"/>
      <scheme val="minor"/>
    </font>
    <font>
      <b/>
      <sz val="13.5"/>
      <color rgb="FF000000"/>
      <name val="Times New Roman"/>
    </font>
    <font>
      <sz val="11"/>
      <color theme="1"/>
      <name val="Arial"/>
      <family val="2"/>
    </font>
    <font>
      <b/>
      <sz val="36"/>
      <color theme="0"/>
      <name val="Arial"/>
      <family val="2"/>
    </font>
    <font>
      <sz val="11"/>
      <color theme="1"/>
      <name val="Arial"/>
    </font>
    <font>
      <sz val="11"/>
      <color rgb="FF1D1D1D"/>
      <name val="Arial"/>
      <family val="2"/>
    </font>
    <font>
      <sz val="11"/>
      <color rgb="FF1D1D1D"/>
      <name val="Arial"/>
    </font>
    <font>
      <sz val="14"/>
      <color theme="0"/>
      <name val="Arial"/>
    </font>
    <font>
      <sz val="12"/>
      <color theme="0"/>
      <name val="Arial"/>
    </font>
    <font>
      <sz val="12"/>
      <color rgb="FFFFFFFF"/>
      <name val="Arial"/>
    </font>
    <font>
      <sz val="11"/>
      <color theme="0"/>
      <name val="Arial"/>
    </font>
    <font>
      <sz val="11"/>
      <color theme="3"/>
      <name val="Arial"/>
      <family val="2"/>
    </font>
    <font>
      <sz val="14"/>
      <color theme="0"/>
      <name val="Arial"/>
      <family val="2"/>
    </font>
    <font>
      <b/>
      <sz val="11"/>
      <color rgb="FF000000"/>
      <name val="Arial"/>
      <family val="2"/>
    </font>
    <font>
      <b/>
      <sz val="14"/>
      <color theme="0"/>
      <name val="Arial"/>
      <family val="2"/>
    </font>
    <font>
      <sz val="12"/>
      <color theme="0"/>
      <name val="Arial"/>
      <family val="2"/>
    </font>
    <font>
      <sz val="12"/>
      <color theme="1"/>
      <name val="Arial"/>
    </font>
    <font>
      <sz val="11"/>
      <color rgb="FF242424"/>
      <name val="Arial"/>
    </font>
    <font>
      <sz val="12"/>
      <color rgb="FF000000"/>
      <name val="Arial"/>
    </font>
    <font>
      <sz val="11"/>
      <color theme="0"/>
      <name val="Arial"/>
      <family val="2"/>
    </font>
    <font>
      <b/>
      <sz val="11"/>
      <color theme="3"/>
      <name val="Arial"/>
    </font>
    <font>
      <sz val="11"/>
      <color theme="0"/>
      <name val="Calibri"/>
      <family val="2"/>
      <scheme val="minor"/>
    </font>
    <font>
      <b/>
      <sz val="48"/>
      <color theme="0"/>
      <name val="Arial"/>
      <family val="2"/>
    </font>
    <font>
      <sz val="20"/>
      <color theme="1"/>
      <name val="Arial"/>
    </font>
    <font>
      <sz val="11"/>
      <color rgb="FF000000"/>
      <name val="Arial"/>
      <charset val="1"/>
    </font>
    <font>
      <b/>
      <u/>
      <sz val="15"/>
      <color rgb="FF0E2841"/>
      <name val="Arial"/>
    </font>
    <font>
      <b/>
      <sz val="48"/>
      <color theme="0"/>
      <name val="Times New Roman"/>
      <charset val="1"/>
    </font>
    <font>
      <sz val="11"/>
      <color theme="0"/>
      <name val="Aptos Narrow"/>
      <family val="2"/>
      <scheme val="minor"/>
    </font>
    <font>
      <b/>
      <sz val="24"/>
      <color theme="0"/>
      <name val="Times New Roman"/>
      <charset val="1"/>
    </font>
    <font>
      <b/>
      <sz val="24"/>
      <color rgb="FF078276"/>
      <name val="Times New Roman"/>
    </font>
    <font>
      <b/>
      <sz val="24"/>
      <color theme="0"/>
      <name val="Times New Roman"/>
    </font>
    <font>
      <sz val="11"/>
      <color theme="0"/>
      <name val="Calibri"/>
      <charset val="134"/>
    </font>
    <font>
      <b/>
      <sz val="14"/>
      <color rgb="FF000000"/>
      <name val="Aptos Narrow"/>
      <family val="2"/>
      <scheme val="minor"/>
    </font>
    <font>
      <b/>
      <sz val="14"/>
      <color rgb="FF000000"/>
      <name val="Aptos Narrow"/>
      <scheme val="minor"/>
    </font>
    <font>
      <sz val="24"/>
      <color rgb="FF000000"/>
      <name val="Aptos Narrow"/>
      <scheme val="minor"/>
    </font>
    <font>
      <u/>
      <sz val="12"/>
      <color theme="10"/>
      <name val="Aptos Narrow"/>
      <family val="2"/>
      <scheme val="minor"/>
    </font>
    <font>
      <b/>
      <sz val="16"/>
      <color rgb="FF000000"/>
      <name val="Aptos Narrow"/>
      <charset val="1"/>
    </font>
    <font>
      <b/>
      <u/>
      <sz val="18"/>
      <color rgb="FF000000"/>
      <name val="Aptos Narrow"/>
      <scheme val="minor"/>
    </font>
    <font>
      <sz val="12"/>
      <color rgb="FF000000"/>
      <name val="Aptos Narrow"/>
      <scheme val="minor"/>
    </font>
    <font>
      <sz val="12"/>
      <color rgb="FF000000"/>
      <name val="Aptos Narrow"/>
    </font>
    <font>
      <b/>
      <sz val="12"/>
      <color theme="1"/>
      <name val="Calibri"/>
    </font>
    <font>
      <sz val="12"/>
      <color theme="1"/>
      <name val="Calibri"/>
    </font>
    <font>
      <b/>
      <sz val="14"/>
      <color theme="1"/>
      <name val="Times New Roman"/>
      <family val="1"/>
      <charset val="1"/>
    </font>
    <font>
      <b/>
      <sz val="14"/>
      <color rgb="FF000000"/>
      <name val="Times New Roman"/>
      <family val="1"/>
      <charset val="1"/>
    </font>
    <font>
      <sz val="14"/>
      <color rgb="FF000000"/>
      <name val="Times New Roman"/>
      <family val="1"/>
      <charset val="1"/>
    </font>
    <font>
      <sz val="14"/>
      <color theme="1"/>
      <name val="Times New Roman"/>
      <family val="1"/>
      <charset val="1"/>
    </font>
    <font>
      <sz val="14"/>
      <color rgb="FF000000"/>
      <name val="Times New Roman"/>
      <charset val="1"/>
    </font>
    <font>
      <sz val="14"/>
      <color theme="1"/>
      <name val="Times New Roman"/>
    </font>
    <font>
      <sz val="14"/>
      <color rgb="FF186C24"/>
      <name val="Times New Roman"/>
    </font>
    <font>
      <b/>
      <sz val="14"/>
      <color rgb="FF186C24"/>
      <name val="Times New Roman"/>
    </font>
    <font>
      <b/>
      <sz val="14"/>
      <color rgb="FF365F91"/>
      <name val="Times New Roman"/>
    </font>
    <font>
      <u/>
      <sz val="14"/>
      <color theme="10"/>
      <name val="Times New Roman"/>
    </font>
    <font>
      <b/>
      <sz val="14"/>
      <color rgb="FFC00000"/>
      <name val="Times New Roman"/>
    </font>
    <font>
      <sz val="14"/>
      <color theme="0"/>
      <name val="Aptos Narrow"/>
      <family val="2"/>
      <scheme val="minor"/>
    </font>
  </fonts>
  <fills count="17">
    <fill>
      <patternFill patternType="none"/>
    </fill>
    <fill>
      <patternFill patternType="gray125"/>
    </fill>
    <fill>
      <patternFill patternType="solid">
        <fgColor rgb="FFF2F2F2"/>
        <bgColor rgb="FF000000"/>
      </patternFill>
    </fill>
    <fill>
      <patternFill patternType="solid">
        <fgColor rgb="FFF2F2F2"/>
        <bgColor indexed="64"/>
      </patternFill>
    </fill>
    <fill>
      <patternFill patternType="solid">
        <fgColor theme="0"/>
        <bgColor indexed="64"/>
      </patternFill>
    </fill>
    <fill>
      <patternFill patternType="solid">
        <fgColor theme="3" tint="0.49998474074526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4"/>
        <bgColor indexed="64"/>
      </patternFill>
    </fill>
    <fill>
      <patternFill patternType="solid">
        <fgColor theme="0" tint="-0.14999847407452621"/>
        <bgColor indexed="64"/>
      </patternFill>
    </fill>
    <fill>
      <patternFill patternType="solid">
        <fgColor theme="3"/>
        <bgColor indexed="64"/>
      </patternFill>
    </fill>
    <fill>
      <patternFill patternType="solid">
        <fgColor theme="2" tint="-9.9978637043366805E-2"/>
        <bgColor indexed="64"/>
      </patternFill>
    </fill>
    <fill>
      <patternFill patternType="solid">
        <fgColor rgb="FF0A8276"/>
        <bgColor rgb="FF000000"/>
      </patternFill>
    </fill>
    <fill>
      <patternFill patternType="solid">
        <fgColor rgb="FF078276"/>
        <bgColor indexed="64"/>
      </patternFill>
    </fill>
    <fill>
      <patternFill patternType="solid">
        <fgColor rgb="FF0070C0"/>
        <bgColor indexed="64"/>
      </patternFill>
    </fill>
    <fill>
      <patternFill patternType="solid">
        <fgColor rgb="FFFF0000"/>
        <bgColor indexed="64"/>
      </patternFill>
    </fill>
    <fill>
      <patternFill patternType="solid">
        <fgColor theme="0" tint="-4.9989318521683403E-2"/>
        <bgColor indexed="64"/>
      </patternFill>
    </fill>
  </fills>
  <borders count="116">
    <border>
      <left/>
      <right/>
      <top/>
      <bottom/>
      <diagonal/>
    </border>
    <border>
      <left style="thin">
        <color rgb="FFBFBFBF"/>
      </left>
      <right style="thin">
        <color rgb="FFBFBFBF"/>
      </right>
      <top style="thin">
        <color rgb="FFBFBFBF"/>
      </top>
      <bottom style="thin">
        <color rgb="FFBFBFBF"/>
      </bottom>
      <diagonal/>
    </border>
    <border>
      <left/>
      <right/>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right/>
      <top style="medium">
        <color rgb="FFBFBFBF"/>
      </top>
      <bottom style="medium">
        <color indexed="64"/>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style="thin">
        <color rgb="FF000000"/>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right style="thin">
        <color rgb="FF000000"/>
      </right>
      <top/>
      <bottom/>
      <diagonal/>
    </border>
    <border>
      <left style="thin">
        <color rgb="FF000000"/>
      </left>
      <right style="thin">
        <color rgb="FF000000"/>
      </right>
      <top/>
      <bottom/>
      <diagonal/>
    </border>
    <border>
      <left style="medium">
        <color rgb="FF078276"/>
      </left>
      <right style="medium">
        <color rgb="FF078276"/>
      </right>
      <top style="medium">
        <color rgb="FF078276"/>
      </top>
      <bottom/>
      <diagonal/>
    </border>
    <border>
      <left style="medium">
        <color rgb="FF078276"/>
      </left>
      <right style="medium">
        <color rgb="FF078276"/>
      </right>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medium">
        <color rgb="FF000000"/>
      </left>
      <right/>
      <top style="medium">
        <color rgb="FF000000"/>
      </top>
      <bottom/>
      <diagonal/>
    </border>
    <border>
      <left style="medium">
        <color rgb="FF000000"/>
      </left>
      <right/>
      <top/>
      <bottom style="medium">
        <color rgb="FF000000"/>
      </bottom>
      <diagonal/>
    </border>
    <border>
      <left style="medium">
        <color rgb="FF000000"/>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rgb="FF000000"/>
      </left>
      <right style="medium">
        <color rgb="FF000000"/>
      </right>
      <top style="medium">
        <color rgb="FF000000"/>
      </top>
      <bottom/>
      <diagonal/>
    </border>
    <border>
      <left/>
      <right/>
      <top style="thin">
        <color rgb="FF000000"/>
      </top>
      <bottom style="thin">
        <color rgb="FF000000"/>
      </bottom>
      <diagonal/>
    </border>
    <border>
      <left/>
      <right style="medium">
        <color rgb="FF000000"/>
      </right>
      <top style="medium">
        <color rgb="FF000000"/>
      </top>
      <bottom style="medium">
        <color rgb="FF000000"/>
      </bottom>
      <diagonal/>
    </border>
    <border>
      <left style="thin">
        <color rgb="FFBFBFBF"/>
      </left>
      <right style="thin">
        <color rgb="FFBFBFBF"/>
      </right>
      <top/>
      <bottom style="thin">
        <color rgb="FFBFBFBF"/>
      </bottom>
      <diagonal/>
    </border>
    <border>
      <left style="thin">
        <color rgb="FF078276"/>
      </left>
      <right/>
      <top style="thin">
        <color rgb="FF078276"/>
      </top>
      <bottom/>
      <diagonal/>
    </border>
    <border>
      <left style="thin">
        <color rgb="FF078276"/>
      </left>
      <right style="thin">
        <color rgb="FF078276"/>
      </right>
      <top style="thin">
        <color rgb="FF078276"/>
      </top>
      <bottom/>
      <diagonal/>
    </border>
    <border>
      <left/>
      <right/>
      <top style="thin">
        <color rgb="FF078276"/>
      </top>
      <bottom/>
      <diagonal/>
    </border>
    <border>
      <left/>
      <right style="thin">
        <color rgb="FF078276"/>
      </right>
      <top style="thin">
        <color rgb="FF078276"/>
      </top>
      <bottom/>
      <diagonal/>
    </border>
    <border>
      <left style="thin">
        <color rgb="FF078276"/>
      </left>
      <right/>
      <top/>
      <bottom style="thin">
        <color rgb="FF078276"/>
      </bottom>
      <diagonal/>
    </border>
    <border>
      <left style="thin">
        <color rgb="FF078276"/>
      </left>
      <right/>
      <top/>
      <bottom/>
      <diagonal/>
    </border>
    <border>
      <left style="thin">
        <color rgb="FF078276"/>
      </left>
      <right style="thin">
        <color rgb="FF078276"/>
      </right>
      <top/>
      <bottom style="thin">
        <color rgb="FF078276"/>
      </bottom>
      <diagonal/>
    </border>
    <border>
      <left/>
      <right/>
      <top/>
      <bottom style="thin">
        <color rgb="FF078276"/>
      </bottom>
      <diagonal/>
    </border>
    <border>
      <left/>
      <right style="thin">
        <color rgb="FF078276"/>
      </right>
      <top/>
      <bottom style="thin">
        <color rgb="FF078276"/>
      </bottom>
      <diagonal/>
    </border>
    <border>
      <left/>
      <right style="thin">
        <color rgb="FF078276"/>
      </right>
      <top/>
      <bottom/>
      <diagonal/>
    </border>
    <border>
      <left style="thin">
        <color rgb="FF078276"/>
      </left>
      <right style="thin">
        <color rgb="FF078276"/>
      </right>
      <top/>
      <bottom/>
      <diagonal/>
    </border>
    <border>
      <left style="thin">
        <color rgb="FF078276"/>
      </left>
      <right/>
      <top style="thin">
        <color rgb="FF078276"/>
      </top>
      <bottom style="thin">
        <color rgb="FF078276"/>
      </bottom>
      <diagonal/>
    </border>
    <border>
      <left/>
      <right/>
      <top style="thin">
        <color rgb="FF078276"/>
      </top>
      <bottom style="thin">
        <color rgb="FF078276"/>
      </bottom>
      <diagonal/>
    </border>
    <border>
      <left/>
      <right style="thin">
        <color rgb="FF078276"/>
      </right>
      <top style="thin">
        <color rgb="FF078276"/>
      </top>
      <bottom style="thin">
        <color rgb="FF078276"/>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thin">
        <color theme="0"/>
      </left>
      <right style="thin">
        <color theme="0"/>
      </right>
      <top style="thin">
        <color theme="0"/>
      </top>
      <bottom style="thin">
        <color theme="0"/>
      </bottom>
      <diagonal/>
    </border>
    <border>
      <left/>
      <right/>
      <top/>
      <bottom style="thin">
        <color theme="1"/>
      </bottom>
      <diagonal/>
    </border>
    <border>
      <left style="thin">
        <color theme="1"/>
      </left>
      <right style="thin">
        <color theme="1"/>
      </right>
      <top style="thin">
        <color theme="1"/>
      </top>
      <bottom style="thin">
        <color theme="1"/>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thin">
        <color theme="0"/>
      </left>
      <right style="thin">
        <color theme="0"/>
      </right>
      <top/>
      <bottom style="thin">
        <color theme="0"/>
      </bottom>
      <diagonal/>
    </border>
    <border>
      <left style="thin">
        <color theme="0"/>
      </left>
      <right/>
      <top/>
      <bottom/>
      <diagonal/>
    </border>
    <border>
      <left style="medium">
        <color rgb="FF000000"/>
      </left>
      <right style="thin">
        <color theme="1"/>
      </right>
      <top/>
      <bottom/>
      <diagonal/>
    </border>
    <border>
      <left style="thin">
        <color theme="1"/>
      </left>
      <right/>
      <top/>
      <bottom style="thin">
        <color theme="1"/>
      </bottom>
      <diagonal/>
    </border>
    <border>
      <left style="thin">
        <color theme="0"/>
      </left>
      <right/>
      <top style="thin">
        <color theme="0"/>
      </top>
      <bottom/>
      <diagonal/>
    </border>
    <border>
      <left style="medium">
        <color rgb="FF000000"/>
      </left>
      <right style="thin">
        <color theme="1"/>
      </right>
      <top style="medium">
        <color rgb="FF000000"/>
      </top>
      <bottom/>
      <diagonal/>
    </border>
    <border>
      <left style="thin">
        <color theme="1"/>
      </left>
      <right/>
      <top style="thin">
        <color theme="1"/>
      </top>
      <bottom/>
      <diagonal/>
    </border>
    <border>
      <left style="thin">
        <color theme="1"/>
      </left>
      <right/>
      <top/>
      <bottom/>
      <diagonal/>
    </border>
    <border>
      <left style="thin">
        <color theme="1"/>
      </left>
      <right/>
      <top style="medium">
        <color rgb="FF000000"/>
      </top>
      <bottom style="thin">
        <color theme="1"/>
      </bottom>
      <diagonal/>
    </border>
    <border>
      <left style="thin">
        <color rgb="FF000000"/>
      </left>
      <right/>
      <top style="medium">
        <color rgb="FF000000"/>
      </top>
      <bottom style="thin">
        <color rgb="FF000000"/>
      </bottom>
      <diagonal/>
    </border>
    <border>
      <left style="medium">
        <color rgb="FF000000"/>
      </left>
      <right style="thin">
        <color rgb="FF000000"/>
      </right>
      <top style="medium">
        <color rgb="FF000000"/>
      </top>
      <bottom/>
      <diagonal/>
    </border>
    <border>
      <left style="medium">
        <color rgb="FF000000"/>
      </left>
      <right style="thin">
        <color rgb="FF000000"/>
      </right>
      <top/>
      <bottom/>
      <diagonal/>
    </border>
    <border>
      <left style="medium">
        <color rgb="FF000000"/>
      </left>
      <right style="thin">
        <color rgb="FF000000"/>
      </right>
      <top/>
      <bottom style="medium">
        <color rgb="FF000000"/>
      </bottom>
      <diagonal/>
    </border>
    <border>
      <left style="thin">
        <color rgb="FF000000"/>
      </left>
      <right/>
      <top style="thin">
        <color rgb="FF000000"/>
      </top>
      <bottom style="medium">
        <color rgb="FF000000"/>
      </bottom>
      <diagonal/>
    </border>
    <border>
      <left style="thin">
        <color theme="1"/>
      </left>
      <right/>
      <top/>
      <bottom style="medium">
        <color rgb="FF000000"/>
      </bottom>
      <diagonal/>
    </border>
    <border>
      <left style="thin">
        <color rgb="FF000000"/>
      </left>
      <right/>
      <top/>
      <bottom style="medium">
        <color rgb="FF000000"/>
      </bottom>
      <diagonal/>
    </border>
    <border>
      <left/>
      <right/>
      <top style="medium">
        <color rgb="FF000000"/>
      </top>
      <bottom style="thin">
        <color theme="1"/>
      </bottom>
      <diagonal/>
    </border>
    <border>
      <left style="thin">
        <color rgb="FF000000"/>
      </left>
      <right style="medium">
        <color theme="1"/>
      </right>
      <top style="medium">
        <color rgb="FF000000"/>
      </top>
      <bottom/>
      <diagonal/>
    </border>
    <border>
      <left style="medium">
        <color rgb="FF000000"/>
      </left>
      <right style="medium">
        <color rgb="FF000000"/>
      </right>
      <top/>
      <bottom/>
      <diagonal/>
    </border>
    <border>
      <left style="thin">
        <color rgb="FF000000"/>
      </left>
      <right style="medium">
        <color theme="1"/>
      </right>
      <top/>
      <bottom/>
      <diagonal/>
    </border>
    <border>
      <left/>
      <right/>
      <top style="thin">
        <color theme="1"/>
      </top>
      <bottom style="medium">
        <color rgb="FF000000"/>
      </bottom>
      <diagonal/>
    </border>
    <border>
      <left style="thin">
        <color rgb="FF000000"/>
      </left>
      <right style="medium">
        <color theme="1"/>
      </right>
      <top/>
      <bottom style="thin">
        <color theme="1"/>
      </bottom>
      <diagonal/>
    </border>
    <border>
      <left/>
      <right style="medium">
        <color rgb="FF000000"/>
      </right>
      <top style="medium">
        <color rgb="FF000000"/>
      </top>
      <bottom style="thin">
        <color theme="1"/>
      </bottom>
      <diagonal/>
    </border>
    <border>
      <left/>
      <right/>
      <top style="medium">
        <color rgb="FF000000"/>
      </top>
      <bottom style="thin">
        <color rgb="FF000000"/>
      </bottom>
      <diagonal/>
    </border>
    <border>
      <left/>
      <right style="medium">
        <color rgb="FF000000"/>
      </right>
      <top style="thin">
        <color theme="1"/>
      </top>
      <bottom style="thin">
        <color theme="1"/>
      </bottom>
      <diagonal/>
    </border>
    <border>
      <left/>
      <right style="medium">
        <color rgb="FF000000"/>
      </right>
      <top style="thin">
        <color theme="1"/>
      </top>
      <bottom style="medium">
        <color rgb="FF000000"/>
      </bottom>
      <diagonal/>
    </border>
    <border>
      <left/>
      <right/>
      <top style="thin">
        <color rgb="FF000000"/>
      </top>
      <bottom style="medium">
        <color rgb="FF000000"/>
      </bottom>
      <diagonal/>
    </border>
    <border>
      <left/>
      <right/>
      <top style="thin">
        <color theme="1"/>
      </top>
      <bottom/>
      <diagonal/>
    </border>
    <border>
      <left/>
      <right style="thin">
        <color rgb="FF000000"/>
      </right>
      <top style="medium">
        <color rgb="FF000000"/>
      </top>
      <bottom/>
      <diagonal/>
    </border>
    <border>
      <left/>
      <right style="thin">
        <color rgb="FF000000"/>
      </right>
      <top/>
      <bottom style="medium">
        <color rgb="FF000000"/>
      </bottom>
      <diagonal/>
    </border>
    <border>
      <left/>
      <right/>
      <top/>
      <bottom style="medium">
        <color rgb="FF000000"/>
      </bottom>
      <diagonal/>
    </border>
    <border>
      <left style="thin">
        <color rgb="FF000000"/>
      </left>
      <right style="medium">
        <color theme="1"/>
      </right>
      <top/>
      <bottom style="medium">
        <color rgb="FF000000"/>
      </bottom>
      <diagonal/>
    </border>
    <border>
      <left style="thin">
        <color rgb="FF000000"/>
      </left>
      <right style="medium">
        <color theme="1"/>
      </right>
      <top style="thin">
        <color theme="1"/>
      </top>
      <bottom/>
      <diagonal/>
    </border>
    <border>
      <left style="thin">
        <color rgb="FF000000"/>
      </left>
      <right style="thin">
        <color rgb="FF000000"/>
      </right>
      <top style="medium">
        <color theme="1"/>
      </top>
      <bottom/>
      <diagonal/>
    </border>
    <border>
      <left style="thin">
        <color rgb="FF000000"/>
      </left>
      <right style="thin">
        <color rgb="FF000000"/>
      </right>
      <top/>
      <bottom style="medium">
        <color theme="1"/>
      </bottom>
      <diagonal/>
    </border>
    <border>
      <left style="thin">
        <color rgb="FF000000"/>
      </left>
      <right style="thin">
        <color rgb="FF000000"/>
      </right>
      <top style="thin">
        <color theme="0"/>
      </top>
      <bottom/>
      <diagonal/>
    </border>
    <border>
      <left style="thin">
        <color theme="0"/>
      </left>
      <right style="thin">
        <color theme="0"/>
      </right>
      <top style="thin">
        <color theme="0"/>
      </top>
      <bottom/>
      <diagonal/>
    </border>
    <border>
      <left style="thin">
        <color theme="0"/>
      </left>
      <right style="medium">
        <color rgb="FF000000"/>
      </right>
      <top style="thin">
        <color theme="0"/>
      </top>
      <bottom/>
      <diagonal/>
    </border>
    <border>
      <left style="thin">
        <color theme="0"/>
      </left>
      <right style="medium">
        <color rgb="FF000000"/>
      </right>
      <top/>
      <bottom/>
      <diagonal/>
    </border>
    <border>
      <left style="medium">
        <color rgb="FF000000"/>
      </left>
      <right/>
      <top style="thin">
        <color theme="1"/>
      </top>
      <bottom/>
      <diagonal/>
    </border>
    <border>
      <left style="medium">
        <color rgb="FF000000"/>
      </left>
      <right/>
      <top/>
      <bottom style="thin">
        <color theme="1"/>
      </bottom>
      <diagonal/>
    </border>
    <border>
      <left style="thick">
        <color rgb="FF000000"/>
      </left>
      <right/>
      <top/>
      <bottom/>
      <diagonal/>
    </border>
    <border>
      <left/>
      <right style="thick">
        <color rgb="FF000000"/>
      </right>
      <top/>
      <bottom/>
      <diagonal/>
    </border>
    <border>
      <left/>
      <right style="thick">
        <color rgb="FF000000"/>
      </right>
      <top/>
      <bottom style="medium">
        <color rgb="FF000000"/>
      </bottom>
      <diagonal/>
    </border>
    <border>
      <left style="thin">
        <color indexed="64"/>
      </left>
      <right/>
      <top style="thin">
        <color indexed="64"/>
      </top>
      <bottom style="thin">
        <color indexed="64"/>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style="thick">
        <color rgb="FF000000"/>
      </left>
      <right style="thick">
        <color rgb="FF000000"/>
      </right>
      <top style="thick">
        <color rgb="FF000000"/>
      </top>
      <bottom style="thick">
        <color rgb="FF000000"/>
      </bottom>
      <diagonal/>
    </border>
    <border>
      <left style="thick">
        <color rgb="FF000000"/>
      </left>
      <right/>
      <top style="thick">
        <color rgb="FF000000"/>
      </top>
      <bottom style="thick">
        <color rgb="FF000000"/>
      </bottom>
      <diagonal/>
    </border>
    <border>
      <left style="thick">
        <color rgb="FF000000"/>
      </left>
      <right style="thick">
        <color rgb="FF000000"/>
      </right>
      <top style="thick">
        <color rgb="FF000000"/>
      </top>
      <bottom/>
      <diagonal/>
    </border>
    <border>
      <left style="thick">
        <color rgb="FF000000"/>
      </left>
      <right style="thick">
        <color rgb="FF000000"/>
      </right>
      <top/>
      <bottom/>
      <diagonal/>
    </border>
  </borders>
  <cellStyleXfs count="2">
    <xf numFmtId="0" fontId="0" fillId="0" borderId="0"/>
    <xf numFmtId="0" fontId="47" fillId="0" borderId="0" applyNumberFormat="0" applyFill="0" applyBorder="0" applyAlignment="0" applyProtection="0"/>
  </cellStyleXfs>
  <cellXfs count="677">
    <xf numFmtId="0" fontId="0" fillId="0" borderId="0" xfId="0"/>
    <xf numFmtId="0" fontId="12" fillId="0" borderId="0" xfId="0" applyFont="1" applyFill="1" applyBorder="1" applyAlignment="1">
      <alignment horizontal="left" wrapText="1"/>
    </xf>
    <xf numFmtId="0" fontId="15" fillId="0" borderId="0" xfId="0" applyFont="1"/>
    <xf numFmtId="0" fontId="18" fillId="0" borderId="0" xfId="0" applyFont="1"/>
    <xf numFmtId="0" fontId="0" fillId="0" borderId="0" xfId="0" applyBorder="1"/>
    <xf numFmtId="0" fontId="10" fillId="0" borderId="0" xfId="0" applyFont="1" applyFill="1" applyBorder="1" applyAlignment="1"/>
    <xf numFmtId="0" fontId="17" fillId="0" borderId="0" xfId="0" applyFont="1" applyFill="1" applyBorder="1" applyAlignment="1"/>
    <xf numFmtId="0" fontId="22" fillId="0" borderId="13" xfId="0" applyFont="1" applyBorder="1"/>
    <xf numFmtId="0" fontId="25" fillId="0" borderId="27" xfId="0" applyFont="1" applyBorder="1"/>
    <xf numFmtId="0" fontId="29" fillId="0" borderId="27" xfId="0" applyFont="1" applyBorder="1"/>
    <xf numFmtId="0" fontId="30" fillId="0" borderId="30" xfId="0" applyFont="1" applyFill="1" applyBorder="1" applyAlignment="1">
      <alignment wrapText="1"/>
    </xf>
    <xf numFmtId="0" fontId="30" fillId="0" borderId="31" xfId="0" applyFont="1" applyFill="1" applyBorder="1" applyAlignment="1">
      <alignment wrapText="1"/>
    </xf>
    <xf numFmtId="0" fontId="30" fillId="0" borderId="32" xfId="0" applyFont="1" applyFill="1" applyBorder="1" applyAlignment="1">
      <alignment wrapText="1"/>
    </xf>
    <xf numFmtId="0" fontId="30" fillId="0" borderId="32" xfId="0" quotePrefix="1" applyFont="1" applyFill="1" applyBorder="1" applyAlignment="1">
      <alignment wrapText="1"/>
    </xf>
    <xf numFmtId="0" fontId="30" fillId="0" borderId="0" xfId="0" applyFont="1" applyFill="1" applyBorder="1" applyAlignment="1">
      <alignment wrapText="1"/>
    </xf>
    <xf numFmtId="0" fontId="30" fillId="0" borderId="0" xfId="0" quotePrefix="1" applyFont="1" applyFill="1" applyBorder="1" applyAlignment="1">
      <alignment wrapText="1"/>
    </xf>
    <xf numFmtId="9" fontId="30" fillId="0" borderId="0" xfId="0" applyNumberFormat="1" applyFont="1" applyFill="1" applyBorder="1" applyAlignment="1">
      <alignment wrapText="1"/>
    </xf>
    <xf numFmtId="0" fontId="30" fillId="0" borderId="33" xfId="0" applyFont="1" applyFill="1" applyBorder="1" applyAlignment="1">
      <alignment horizontal="center" wrapText="1"/>
    </xf>
    <xf numFmtId="0" fontId="30" fillId="0" borderId="33" xfId="0" quotePrefix="1" applyFont="1" applyFill="1" applyBorder="1" applyAlignment="1">
      <alignment horizontal="center" wrapText="1"/>
    </xf>
    <xf numFmtId="9" fontId="30" fillId="0" borderId="33" xfId="0" applyNumberFormat="1" applyFont="1" applyFill="1" applyBorder="1" applyAlignment="1">
      <alignment horizontal="center" wrapText="1"/>
    </xf>
    <xf numFmtId="0" fontId="25" fillId="0" borderId="0" xfId="0" applyFont="1" applyBorder="1"/>
    <xf numFmtId="0" fontId="25" fillId="0" borderId="27" xfId="0" applyFont="1" applyBorder="1" applyAlignment="1">
      <alignment horizontal="center" vertical="center"/>
    </xf>
    <xf numFmtId="0" fontId="31" fillId="0" borderId="27" xfId="0" applyFont="1" applyBorder="1" applyAlignment="1">
      <alignment horizontal="center"/>
    </xf>
    <xf numFmtId="0" fontId="31" fillId="0" borderId="26" xfId="0" applyFont="1" applyBorder="1" applyAlignment="1">
      <alignment horizontal="center"/>
    </xf>
    <xf numFmtId="0" fontId="31" fillId="0" borderId="27" xfId="0" applyFont="1" applyBorder="1" applyAlignment="1">
      <alignment horizontal="center" wrapText="1"/>
    </xf>
    <xf numFmtId="0" fontId="31" fillId="0" borderId="27" xfId="0" applyFont="1" applyBorder="1" applyAlignment="1">
      <alignment horizontal="center" vertical="center"/>
    </xf>
    <xf numFmtId="0" fontId="29" fillId="0" borderId="29" xfId="0" applyFont="1" applyBorder="1" applyAlignment="1">
      <alignment horizontal="center" vertical="center"/>
    </xf>
    <xf numFmtId="0" fontId="25" fillId="0" borderId="29" xfId="0" applyFont="1" applyBorder="1" applyAlignment="1">
      <alignment horizontal="center" vertical="center" wrapText="1"/>
    </xf>
    <xf numFmtId="0" fontId="25" fillId="0" borderId="29" xfId="0" applyFont="1" applyBorder="1" applyAlignment="1">
      <alignment horizontal="center" vertical="center"/>
    </xf>
    <xf numFmtId="0" fontId="25" fillId="0" borderId="25" xfId="0" applyFont="1" applyBorder="1" applyAlignment="1">
      <alignment horizontal="center" vertical="center"/>
    </xf>
    <xf numFmtId="0" fontId="0" fillId="0" borderId="0" xfId="0" applyAlignment="1">
      <alignment wrapText="1"/>
    </xf>
    <xf numFmtId="9" fontId="0" fillId="0" borderId="0" xfId="0" applyNumberFormat="1" applyAlignment="1">
      <alignment wrapText="1"/>
    </xf>
    <xf numFmtId="0" fontId="15" fillId="5" borderId="0" xfId="0" applyFont="1" applyFill="1" applyAlignment="1">
      <alignment wrapText="1"/>
    </xf>
    <xf numFmtId="0" fontId="33" fillId="4" borderId="0" xfId="0" applyFont="1" applyFill="1"/>
    <xf numFmtId="0" fontId="0" fillId="0" borderId="0" xfId="0" applyAlignment="1">
      <alignment horizontal="center"/>
    </xf>
    <xf numFmtId="0" fontId="36" fillId="0" borderId="6" xfId="0" applyFont="1" applyBorder="1" applyAlignment="1">
      <alignment horizontal="center" vertical="center"/>
    </xf>
    <xf numFmtId="0" fontId="37" fillId="0" borderId="6" xfId="0" applyFont="1" applyBorder="1" applyAlignment="1">
      <alignment horizontal="center" vertical="center"/>
    </xf>
    <xf numFmtId="0" fontId="36" fillId="4" borderId="6" xfId="0" applyFont="1" applyFill="1" applyBorder="1" applyAlignment="1">
      <alignment horizontal="center" vertical="center"/>
    </xf>
    <xf numFmtId="3" fontId="36" fillId="4" borderId="6" xfId="0" applyNumberFormat="1" applyFont="1" applyFill="1" applyBorder="1" applyAlignment="1">
      <alignment horizontal="center" vertical="center"/>
    </xf>
    <xf numFmtId="3" fontId="37" fillId="4" borderId="8" xfId="0" applyNumberFormat="1" applyFont="1" applyFill="1" applyBorder="1" applyAlignment="1">
      <alignment horizontal="center" vertical="center"/>
    </xf>
    <xf numFmtId="3" fontId="37" fillId="4" borderId="6" xfId="0" applyNumberFormat="1" applyFont="1" applyFill="1" applyBorder="1" applyAlignment="1">
      <alignment horizontal="center" vertical="center"/>
    </xf>
    <xf numFmtId="0" fontId="36" fillId="0" borderId="12" xfId="0" applyFont="1" applyBorder="1" applyAlignment="1">
      <alignment horizontal="left"/>
    </xf>
    <xf numFmtId="0" fontId="36" fillId="0" borderId="13" xfId="0" applyFont="1" applyBorder="1" applyAlignment="1">
      <alignment horizontal="left"/>
    </xf>
    <xf numFmtId="3" fontId="36" fillId="0" borderId="6" xfId="0" applyNumberFormat="1" applyFont="1" applyBorder="1" applyAlignment="1">
      <alignment horizontal="center" vertical="center"/>
    </xf>
    <xf numFmtId="3" fontId="37" fillId="0" borderId="6" xfId="0" applyNumberFormat="1" applyFont="1" applyBorder="1" applyAlignment="1">
      <alignment horizontal="center" vertical="center"/>
    </xf>
    <xf numFmtId="3" fontId="36" fillId="0" borderId="6" xfId="0" applyNumberFormat="1" applyFont="1" applyFill="1" applyBorder="1" applyAlignment="1">
      <alignment horizontal="center" vertical="center"/>
    </xf>
    <xf numFmtId="3" fontId="36" fillId="0" borderId="12" xfId="0" applyNumberFormat="1" applyFont="1" applyBorder="1" applyAlignment="1">
      <alignment horizontal="center" vertical="center"/>
    </xf>
    <xf numFmtId="0" fontId="0" fillId="0" borderId="11" xfId="0" applyBorder="1" applyAlignment="1">
      <alignment horizontal="center"/>
    </xf>
    <xf numFmtId="0" fontId="0" fillId="0" borderId="8" xfId="0" applyBorder="1" applyAlignment="1">
      <alignment horizontal="center"/>
    </xf>
    <xf numFmtId="3" fontId="36" fillId="0" borderId="8" xfId="0" applyNumberFormat="1" applyFont="1" applyBorder="1" applyAlignment="1">
      <alignment horizontal="center" vertical="center"/>
    </xf>
    <xf numFmtId="3" fontId="37" fillId="0" borderId="8" xfId="0" applyNumberFormat="1" applyFont="1" applyBorder="1" applyAlignment="1">
      <alignment horizontal="center" vertical="center"/>
    </xf>
    <xf numFmtId="0" fontId="36" fillId="0" borderId="8" xfId="0" applyFont="1" applyBorder="1" applyAlignment="1">
      <alignment horizontal="center" vertical="center"/>
    </xf>
    <xf numFmtId="0" fontId="0" fillId="0" borderId="13" xfId="0" applyBorder="1" applyAlignment="1">
      <alignment horizontal="center"/>
    </xf>
    <xf numFmtId="0" fontId="0" fillId="0" borderId="6" xfId="0" applyBorder="1"/>
    <xf numFmtId="0" fontId="36" fillId="0" borderId="12" xfId="0" applyFont="1" applyBorder="1" applyAlignment="1">
      <alignment horizontal="center" vertical="center"/>
    </xf>
    <xf numFmtId="0" fontId="0" fillId="0" borderId="17" xfId="0" applyBorder="1" applyAlignment="1">
      <alignment horizontal="center"/>
    </xf>
    <xf numFmtId="10" fontId="0" fillId="0" borderId="12" xfId="0" applyNumberFormat="1" applyBorder="1" applyAlignment="1">
      <alignment horizontal="center"/>
    </xf>
    <xf numFmtId="10" fontId="0" fillId="0" borderId="15" xfId="0" applyNumberFormat="1" applyBorder="1" applyAlignment="1">
      <alignment horizontal="center"/>
    </xf>
    <xf numFmtId="3" fontId="0" fillId="0" borderId="17" xfId="0" applyNumberFormat="1" applyBorder="1" applyAlignment="1">
      <alignment horizontal="center"/>
    </xf>
    <xf numFmtId="3" fontId="0" fillId="0" borderId="12" xfId="0" applyNumberFormat="1" applyBorder="1" applyAlignment="1">
      <alignment horizontal="center"/>
    </xf>
    <xf numFmtId="0" fontId="43" fillId="8" borderId="8" xfId="0" applyFont="1" applyFill="1" applyBorder="1" applyAlignment="1">
      <alignment horizontal="center" wrapText="1"/>
    </xf>
    <xf numFmtId="0" fontId="43" fillId="8" borderId="17" xfId="0" applyFont="1" applyFill="1" applyBorder="1" applyAlignment="1">
      <alignment horizontal="center" vertical="center" wrapText="1"/>
    </xf>
    <xf numFmtId="0" fontId="43" fillId="8" borderId="10" xfId="0" applyFont="1" applyFill="1" applyBorder="1" applyAlignment="1">
      <alignment horizontal="center" wrapText="1"/>
    </xf>
    <xf numFmtId="0" fontId="43" fillId="8" borderId="6" xfId="0" applyFont="1" applyFill="1" applyBorder="1" applyAlignment="1">
      <alignment horizontal="center" vertical="center" wrapText="1"/>
    </xf>
    <xf numFmtId="0" fontId="43" fillId="8" borderId="12" xfId="0" applyFont="1" applyFill="1" applyBorder="1" applyAlignment="1">
      <alignment horizontal="center" vertical="center" wrapText="1"/>
    </xf>
    <xf numFmtId="0" fontId="43" fillId="8" borderId="6" xfId="0" applyFont="1" applyFill="1" applyBorder="1" applyAlignment="1">
      <alignment horizontal="center" vertical="center"/>
    </xf>
    <xf numFmtId="0" fontId="19" fillId="0" borderId="7" xfId="0" applyFont="1" applyFill="1" applyBorder="1" applyAlignment="1">
      <alignment horizontal="center"/>
    </xf>
    <xf numFmtId="0" fontId="17" fillId="4" borderId="13" xfId="0" applyFont="1" applyFill="1" applyBorder="1" applyAlignment="1"/>
    <xf numFmtId="0" fontId="17" fillId="4" borderId="6" xfId="0" applyFont="1" applyFill="1" applyBorder="1" applyAlignment="1"/>
    <xf numFmtId="0" fontId="17" fillId="4" borderId="12" xfId="0" applyFont="1" applyFill="1" applyBorder="1" applyAlignment="1"/>
    <xf numFmtId="0" fontId="17" fillId="4" borderId="16" xfId="0" applyFont="1" applyFill="1" applyBorder="1" applyAlignment="1"/>
    <xf numFmtId="0" fontId="17" fillId="4" borderId="8" xfId="0" applyFont="1" applyFill="1" applyBorder="1" applyAlignment="1"/>
    <xf numFmtId="0" fontId="17" fillId="4" borderId="17" xfId="0" applyFont="1" applyFill="1" applyBorder="1" applyAlignment="1"/>
    <xf numFmtId="0" fontId="16" fillId="9" borderId="14" xfId="0" applyFont="1" applyFill="1" applyBorder="1" applyAlignment="1"/>
    <xf numFmtId="0" fontId="16" fillId="9" borderId="9" xfId="0" applyFont="1" applyFill="1" applyBorder="1" applyAlignment="1"/>
    <xf numFmtId="0" fontId="16" fillId="9" borderId="15" xfId="0" applyFont="1" applyFill="1" applyBorder="1" applyAlignment="1"/>
    <xf numFmtId="0" fontId="44" fillId="9" borderId="14" xfId="0" applyFont="1" applyFill="1" applyBorder="1" applyAlignment="1"/>
    <xf numFmtId="0" fontId="44" fillId="9" borderId="9" xfId="0" applyFont="1" applyFill="1" applyBorder="1" applyAlignment="1"/>
    <xf numFmtId="0" fontId="16" fillId="9" borderId="19" xfId="0" applyFont="1" applyFill="1" applyBorder="1" applyAlignment="1"/>
    <xf numFmtId="0" fontId="26" fillId="0" borderId="0" xfId="0" applyFont="1" applyBorder="1" applyAlignment="1"/>
    <xf numFmtId="0" fontId="0" fillId="4" borderId="6" xfId="0" applyFill="1" applyBorder="1"/>
    <xf numFmtId="0" fontId="17" fillId="4" borderId="8" xfId="0" applyFont="1" applyFill="1" applyBorder="1"/>
    <xf numFmtId="0" fontId="17" fillId="4" borderId="16" xfId="0" applyFont="1" applyFill="1" applyBorder="1"/>
    <xf numFmtId="165" fontId="25" fillId="0" borderId="27" xfId="0" applyNumberFormat="1" applyFont="1" applyBorder="1"/>
    <xf numFmtId="2" fontId="25" fillId="0" borderId="27" xfId="0" applyNumberFormat="1" applyFont="1" applyBorder="1"/>
    <xf numFmtId="166" fontId="25" fillId="0" borderId="27" xfId="0" applyNumberFormat="1" applyFont="1" applyBorder="1"/>
    <xf numFmtId="0" fontId="28" fillId="0" borderId="26" xfId="0" applyFont="1" applyBorder="1" applyAlignment="1">
      <alignment horizontal="center" vertical="center"/>
    </xf>
    <xf numFmtId="0" fontId="45" fillId="0" borderId="27" xfId="0" applyFont="1" applyBorder="1" applyAlignment="1">
      <alignment horizontal="center"/>
    </xf>
    <xf numFmtId="0" fontId="45" fillId="0" borderId="26" xfId="0" applyFont="1" applyBorder="1" applyAlignment="1">
      <alignment horizontal="center" vertical="center"/>
    </xf>
    <xf numFmtId="0" fontId="45" fillId="0" borderId="27" xfId="0" applyFont="1" applyBorder="1"/>
    <xf numFmtId="0" fontId="45" fillId="0" borderId="27" xfId="0" applyFont="1" applyBorder="1" applyAlignment="1">
      <alignment horizontal="center" vertical="center"/>
    </xf>
    <xf numFmtId="0" fontId="45" fillId="0" borderId="36" xfId="0" applyFont="1" applyBorder="1" applyAlignment="1">
      <alignment horizontal="center"/>
    </xf>
    <xf numFmtId="0" fontId="45" fillId="0" borderId="24" xfId="0" applyFont="1" applyBorder="1" applyAlignment="1">
      <alignment horizontal="center" vertical="center"/>
    </xf>
    <xf numFmtId="0" fontId="45" fillId="0" borderId="25" xfId="0" applyFont="1" applyBorder="1" applyAlignment="1">
      <alignment horizontal="center" vertical="center"/>
    </xf>
    <xf numFmtId="0" fontId="28" fillId="0" borderId="27" xfId="0" applyFont="1" applyBorder="1" applyAlignment="1">
      <alignment horizontal="center" vertical="center"/>
    </xf>
    <xf numFmtId="0" fontId="45" fillId="0" borderId="27" xfId="0" applyFont="1" applyBorder="1" applyAlignment="1">
      <alignment horizontal="center" vertical="center" wrapText="1"/>
    </xf>
    <xf numFmtId="0" fontId="45" fillId="0" borderId="27" xfId="0" applyFont="1" applyBorder="1" applyAlignment="1">
      <alignment horizontal="center" wrapText="1"/>
    </xf>
    <xf numFmtId="0" fontId="45" fillId="0" borderId="34" xfId="0" applyFont="1" applyBorder="1" applyAlignment="1">
      <alignment horizontal="center" vertical="center"/>
    </xf>
    <xf numFmtId="0" fontId="45" fillId="0" borderId="34" xfId="0" applyFont="1" applyBorder="1" applyAlignment="1">
      <alignment horizontal="center" wrapText="1"/>
    </xf>
    <xf numFmtId="0" fontId="17" fillId="0" borderId="0" xfId="0" applyFont="1" applyFill="1" applyBorder="1" applyAlignment="1">
      <alignment wrapText="1"/>
    </xf>
    <xf numFmtId="0" fontId="0" fillId="0" borderId="6" xfId="0" applyBorder="1" applyAlignment="1">
      <alignment horizontal="center"/>
    </xf>
    <xf numFmtId="0" fontId="0" fillId="0" borderId="12" xfId="0" applyBorder="1" applyAlignment="1">
      <alignment horizontal="center"/>
    </xf>
    <xf numFmtId="0" fontId="46" fillId="0" borderId="8" xfId="0" applyFont="1" applyBorder="1" applyAlignment="1">
      <alignment horizontal="center"/>
    </xf>
    <xf numFmtId="0" fontId="46" fillId="0" borderId="9" xfId="0" applyFont="1" applyBorder="1" applyAlignment="1">
      <alignment horizontal="center"/>
    </xf>
    <xf numFmtId="0" fontId="47" fillId="0" borderId="0" xfId="1" applyBorder="1" applyAlignment="1">
      <alignment textRotation="180"/>
    </xf>
    <xf numFmtId="0" fontId="46" fillId="0" borderId="0" xfId="0" applyFont="1" applyBorder="1"/>
    <xf numFmtId="0" fontId="0" fillId="0" borderId="19" xfId="0" applyBorder="1" applyAlignment="1">
      <alignment horizontal="center"/>
    </xf>
    <xf numFmtId="0" fontId="3" fillId="4" borderId="6" xfId="0" applyFont="1" applyFill="1" applyBorder="1" applyAlignment="1">
      <alignment horizontal="center"/>
    </xf>
    <xf numFmtId="0" fontId="48" fillId="0" borderId="6" xfId="0" applyFont="1" applyBorder="1" applyAlignment="1">
      <alignment horizontal="center"/>
    </xf>
    <xf numFmtId="0" fontId="46" fillId="0" borderId="6" xfId="0" applyFont="1" applyBorder="1" applyAlignment="1">
      <alignment horizontal="center"/>
    </xf>
    <xf numFmtId="0" fontId="49" fillId="0" borderId="6" xfId="0" applyFont="1" applyFill="1" applyBorder="1" applyAlignment="1">
      <alignment horizontal="center"/>
    </xf>
    <xf numFmtId="0" fontId="46" fillId="0" borderId="12" xfId="0" applyFont="1" applyBorder="1" applyAlignment="1">
      <alignment horizontal="center"/>
    </xf>
    <xf numFmtId="0" fontId="50" fillId="0" borderId="8" xfId="0" quotePrefix="1" applyFont="1" applyBorder="1" applyAlignment="1">
      <alignment horizontal="center"/>
    </xf>
    <xf numFmtId="0" fontId="47" fillId="4" borderId="6" xfId="1" applyFill="1" applyBorder="1"/>
    <xf numFmtId="0" fontId="47" fillId="4" borderId="13" xfId="1" applyFill="1" applyBorder="1"/>
    <xf numFmtId="3" fontId="0" fillId="4" borderId="8" xfId="0" applyNumberFormat="1" applyFill="1" applyBorder="1"/>
    <xf numFmtId="0" fontId="0" fillId="4" borderId="6" xfId="0" applyFill="1" applyBorder="1" applyAlignment="1">
      <alignment horizontal="center"/>
    </xf>
    <xf numFmtId="0" fontId="0" fillId="4" borderId="13" xfId="0" applyFill="1" applyBorder="1" applyAlignment="1">
      <alignment horizontal="center"/>
    </xf>
    <xf numFmtId="0" fontId="0" fillId="4" borderId="9" xfId="0" applyFill="1" applyBorder="1" applyAlignment="1">
      <alignment horizontal="center"/>
    </xf>
    <xf numFmtId="0" fontId="0" fillId="4" borderId="8" xfId="0" applyFill="1" applyBorder="1" applyAlignment="1">
      <alignment horizontal="center"/>
    </xf>
    <xf numFmtId="0" fontId="0" fillId="0" borderId="8" xfId="0" applyBorder="1" applyAlignment="1">
      <alignment horizontal="right"/>
    </xf>
    <xf numFmtId="0" fontId="44" fillId="9" borderId="6" xfId="0" applyFont="1" applyFill="1" applyBorder="1" applyAlignment="1"/>
    <xf numFmtId="0" fontId="17" fillId="4" borderId="8" xfId="0" applyFont="1" applyFill="1" applyBorder="1" applyAlignment="1">
      <alignment horizontal="center"/>
    </xf>
    <xf numFmtId="0" fontId="17" fillId="4" borderId="16" xfId="0" applyFont="1" applyFill="1" applyBorder="1" applyAlignment="1">
      <alignment horizontal="center"/>
    </xf>
    <xf numFmtId="0" fontId="17" fillId="4" borderId="6" xfId="0" applyFont="1" applyFill="1" applyBorder="1"/>
    <xf numFmtId="0" fontId="19" fillId="0" borderId="0" xfId="0" applyFont="1" applyFill="1" applyBorder="1" applyAlignment="1">
      <alignment horizontal="center"/>
    </xf>
    <xf numFmtId="0" fontId="16" fillId="9" borderId="12" xfId="0" applyFont="1" applyFill="1" applyBorder="1" applyAlignment="1"/>
    <xf numFmtId="0" fontId="0" fillId="0" borderId="27" xfId="0" applyBorder="1"/>
    <xf numFmtId="0" fontId="28" fillId="0" borderId="34" xfId="0" applyFont="1" applyBorder="1" applyAlignment="1">
      <alignment horizontal="center" vertical="center"/>
    </xf>
    <xf numFmtId="166" fontId="28" fillId="0" borderId="34" xfId="0" applyNumberFormat="1" applyFont="1" applyBorder="1" applyAlignment="1">
      <alignment horizontal="center" vertical="center"/>
    </xf>
    <xf numFmtId="0" fontId="45" fillId="0" borderId="34" xfId="0" applyFont="1" applyBorder="1" applyAlignment="1">
      <alignment horizontal="center" vertical="center" wrapText="1"/>
    </xf>
    <xf numFmtId="0" fontId="53" fillId="0" borderId="27" xfId="0" applyFont="1" applyBorder="1" applyAlignment="1">
      <alignment horizontal="center" vertical="center"/>
    </xf>
    <xf numFmtId="0" fontId="54" fillId="0" borderId="0" xfId="0" applyFont="1"/>
    <xf numFmtId="0" fontId="55" fillId="0" borderId="0" xfId="0" applyFont="1"/>
    <xf numFmtId="9" fontId="54" fillId="0" borderId="0" xfId="0" applyNumberFormat="1" applyFont="1"/>
    <xf numFmtId="0" fontId="55" fillId="0" borderId="0" xfId="0" quotePrefix="1" applyFont="1"/>
    <xf numFmtId="9" fontId="55" fillId="0" borderId="0" xfId="0" applyNumberFormat="1" applyFont="1"/>
    <xf numFmtId="0" fontId="56" fillId="10" borderId="0" xfId="0" applyFont="1" applyFill="1"/>
    <xf numFmtId="0" fontId="35" fillId="8" borderId="6" xfId="0" applyFont="1" applyFill="1" applyBorder="1" applyAlignment="1">
      <alignment horizontal="center" vertical="center"/>
    </xf>
    <xf numFmtId="0" fontId="35" fillId="8" borderId="13" xfId="0" applyFont="1" applyFill="1" applyBorder="1" applyAlignment="1">
      <alignment horizontal="center" vertical="center"/>
    </xf>
    <xf numFmtId="0" fontId="35" fillId="8" borderId="12" xfId="0" applyFont="1" applyFill="1" applyBorder="1" applyAlignment="1">
      <alignment horizontal="center" vertical="center"/>
    </xf>
    <xf numFmtId="0" fontId="0" fillId="4" borderId="17" xfId="0" applyFill="1" applyBorder="1"/>
    <xf numFmtId="0" fontId="0" fillId="4" borderId="17" xfId="0" applyFill="1" applyBorder="1" applyAlignment="1">
      <alignment vertical="top"/>
    </xf>
    <xf numFmtId="0" fontId="0" fillId="4" borderId="12" xfId="0" applyFill="1" applyBorder="1" applyAlignment="1">
      <alignment vertical="top"/>
    </xf>
    <xf numFmtId="0" fontId="0" fillId="4" borderId="15" xfId="0" applyFill="1" applyBorder="1" applyAlignment="1">
      <alignment vertical="top"/>
    </xf>
    <xf numFmtId="3" fontId="57" fillId="8" borderId="6" xfId="0" applyNumberFormat="1" applyFont="1" applyFill="1" applyBorder="1" applyAlignment="1">
      <alignment horizontal="center" vertical="center"/>
    </xf>
    <xf numFmtId="3" fontId="57" fillId="8" borderId="35" xfId="0" applyNumberFormat="1" applyFont="1" applyFill="1" applyBorder="1" applyAlignment="1">
      <alignment horizontal="center" vertical="center"/>
    </xf>
    <xf numFmtId="0" fontId="58" fillId="8" borderId="6" xfId="0" applyFont="1" applyFill="1" applyBorder="1" applyAlignment="1">
      <alignment horizontal="center" vertical="center"/>
    </xf>
    <xf numFmtId="3" fontId="58" fillId="8" borderId="6" xfId="0" applyNumberFormat="1" applyFont="1" applyFill="1" applyBorder="1" applyAlignment="1">
      <alignment horizontal="center" vertical="center"/>
    </xf>
    <xf numFmtId="3" fontId="58" fillId="8" borderId="12" xfId="0" applyNumberFormat="1" applyFont="1" applyFill="1" applyBorder="1" applyAlignment="1">
      <alignment horizontal="center" vertical="center"/>
    </xf>
    <xf numFmtId="0" fontId="59" fillId="8" borderId="12" xfId="0" applyFont="1" applyFill="1" applyBorder="1" applyAlignment="1">
      <alignment horizontal="center"/>
    </xf>
    <xf numFmtId="0" fontId="59" fillId="8" borderId="17" xfId="0" applyFont="1" applyFill="1" applyBorder="1" applyAlignment="1">
      <alignment horizontal="center"/>
    </xf>
    <xf numFmtId="3" fontId="59" fillId="8" borderId="17" xfId="0" applyNumberFormat="1" applyFont="1" applyFill="1" applyBorder="1" applyAlignment="1">
      <alignment horizontal="center"/>
    </xf>
    <xf numFmtId="0" fontId="59" fillId="8" borderId="8" xfId="0" applyFont="1" applyFill="1" applyBorder="1" applyAlignment="1">
      <alignment horizontal="center"/>
    </xf>
    <xf numFmtId="0" fontId="59" fillId="0" borderId="0" xfId="0" applyFont="1"/>
    <xf numFmtId="0" fontId="59" fillId="8" borderId="13" xfId="0" applyFont="1" applyFill="1" applyBorder="1" applyAlignment="1">
      <alignment horizontal="center"/>
    </xf>
    <xf numFmtId="3" fontId="52" fillId="0" borderId="8" xfId="0" applyNumberFormat="1" applyFont="1" applyBorder="1" applyAlignment="1">
      <alignment horizontal="center" vertical="center"/>
    </xf>
    <xf numFmtId="3" fontId="61" fillId="0" borderId="8" xfId="0" applyNumberFormat="1" applyFont="1" applyBorder="1" applyAlignment="1">
      <alignment horizontal="center" vertical="center"/>
    </xf>
    <xf numFmtId="0" fontId="61" fillId="0" borderId="8" xfId="0" applyFont="1" applyBorder="1" applyAlignment="1">
      <alignment horizontal="center" vertical="center"/>
    </xf>
    <xf numFmtId="0" fontId="62" fillId="0" borderId="6" xfId="0" applyFont="1" applyBorder="1" applyAlignment="1">
      <alignment horizontal="center" vertical="center"/>
    </xf>
    <xf numFmtId="3" fontId="52" fillId="0" borderId="6" xfId="0" applyNumberFormat="1" applyFont="1" applyBorder="1" applyAlignment="1">
      <alignment horizontal="center" vertical="center"/>
    </xf>
    <xf numFmtId="3" fontId="61" fillId="0" borderId="6" xfId="0" applyNumberFormat="1" applyFont="1" applyBorder="1" applyAlignment="1">
      <alignment horizontal="center" vertical="center"/>
    </xf>
    <xf numFmtId="0" fontId="61" fillId="0" borderId="6" xfId="0" applyFont="1" applyBorder="1" applyAlignment="1">
      <alignment horizontal="center" vertical="center"/>
    </xf>
    <xf numFmtId="3" fontId="63" fillId="8" borderId="6" xfId="0" applyNumberFormat="1" applyFont="1" applyFill="1" applyBorder="1" applyAlignment="1">
      <alignment horizontal="center" vertical="center"/>
    </xf>
    <xf numFmtId="3" fontId="63" fillId="8" borderId="8" xfId="0" applyNumberFormat="1" applyFont="1" applyFill="1" applyBorder="1" applyAlignment="1">
      <alignment horizontal="center" vertical="center"/>
    </xf>
    <xf numFmtId="0" fontId="59" fillId="8" borderId="17" xfId="0" applyFont="1" applyFill="1" applyBorder="1" applyAlignment="1">
      <alignment vertical="top"/>
    </xf>
    <xf numFmtId="0" fontId="17" fillId="0" borderId="6" xfId="0" applyFont="1" applyFill="1" applyBorder="1" applyAlignment="1"/>
    <xf numFmtId="0" fontId="17" fillId="0" borderId="13" xfId="0" applyFont="1" applyFill="1" applyBorder="1" applyAlignment="1"/>
    <xf numFmtId="0" fontId="17" fillId="0" borderId="12" xfId="0" applyFont="1" applyFill="1" applyBorder="1" applyAlignment="1"/>
    <xf numFmtId="0" fontId="17" fillId="0" borderId="16" xfId="0" applyFont="1" applyFill="1" applyBorder="1" applyAlignment="1"/>
    <xf numFmtId="0" fontId="17" fillId="0" borderId="8" xfId="0" applyFont="1" applyFill="1" applyBorder="1" applyAlignment="1"/>
    <xf numFmtId="0" fontId="17" fillId="0" borderId="17" xfId="0" applyFont="1" applyFill="1" applyBorder="1" applyAlignment="1"/>
    <xf numFmtId="0" fontId="17" fillId="11" borderId="14" xfId="0" applyFont="1" applyFill="1" applyBorder="1" applyAlignment="1"/>
    <xf numFmtId="0" fontId="17" fillId="11" borderId="9" xfId="0" applyFont="1" applyFill="1" applyBorder="1" applyAlignment="1"/>
    <xf numFmtId="0" fontId="17" fillId="11" borderId="15" xfId="0" applyFont="1" applyFill="1" applyBorder="1" applyAlignment="1"/>
    <xf numFmtId="0" fontId="25" fillId="0" borderId="25" xfId="0" applyFont="1" applyBorder="1"/>
    <xf numFmtId="0" fontId="28" fillId="0" borderId="27" xfId="0" applyFont="1" applyBorder="1"/>
    <xf numFmtId="166" fontId="28" fillId="0" borderId="27" xfId="0" applyNumberFormat="1" applyFont="1" applyBorder="1"/>
    <xf numFmtId="0" fontId="45" fillId="0" borderId="0" xfId="0" applyFont="1" applyAlignment="1">
      <alignment horizontal="center"/>
    </xf>
    <xf numFmtId="0" fontId="67" fillId="0" borderId="43" xfId="0" applyFont="1" applyBorder="1"/>
    <xf numFmtId="0" fontId="67" fillId="0" borderId="39" xfId="0" applyFont="1" applyBorder="1"/>
    <xf numFmtId="0" fontId="67" fillId="0" borderId="48" xfId="0" applyFont="1" applyBorder="1"/>
    <xf numFmtId="0" fontId="66" fillId="0" borderId="39" xfId="0" applyFont="1" applyBorder="1"/>
    <xf numFmtId="0" fontId="0" fillId="0" borderId="48" xfId="0" applyBorder="1"/>
    <xf numFmtId="0" fontId="67" fillId="0" borderId="0" xfId="0" applyFont="1"/>
    <xf numFmtId="0" fontId="71" fillId="0" borderId="0" xfId="0" applyFont="1"/>
    <xf numFmtId="0" fontId="47" fillId="0" borderId="0" xfId="1"/>
    <xf numFmtId="0" fontId="59" fillId="0" borderId="0" xfId="0" applyFont="1" applyAlignment="1">
      <alignment horizontal="center"/>
    </xf>
    <xf numFmtId="0" fontId="59" fillId="8" borderId="6" xfId="0" applyFont="1" applyFill="1" applyBorder="1"/>
    <xf numFmtId="3" fontId="0" fillId="6" borderId="6" xfId="0" applyNumberFormat="1" applyFill="1" applyBorder="1" applyAlignment="1">
      <alignment wrapText="1"/>
    </xf>
    <xf numFmtId="0" fontId="0" fillId="6" borderId="6" xfId="0" applyFill="1" applyBorder="1"/>
    <xf numFmtId="0" fontId="0" fillId="0" borderId="6" xfId="0" applyBorder="1" applyAlignment="1">
      <alignment wrapText="1"/>
    </xf>
    <xf numFmtId="0" fontId="0" fillId="0" borderId="6" xfId="0" applyBorder="1" applyAlignment="1">
      <alignment vertical="center"/>
    </xf>
    <xf numFmtId="0" fontId="0" fillId="6" borderId="6" xfId="0" applyFill="1" applyBorder="1" applyAlignment="1">
      <alignment wrapText="1"/>
    </xf>
    <xf numFmtId="3" fontId="0" fillId="6" borderId="6" xfId="0" applyNumberFormat="1" applyFill="1" applyBorder="1"/>
    <xf numFmtId="3" fontId="0" fillId="0" borderId="6" xfId="0" applyNumberFormat="1" applyBorder="1"/>
    <xf numFmtId="0" fontId="73" fillId="0" borderId="0" xfId="0" applyFont="1"/>
    <xf numFmtId="0" fontId="19" fillId="0" borderId="0" xfId="0" applyFont="1" applyAlignment="1">
      <alignment horizontal="center"/>
    </xf>
    <xf numFmtId="0" fontId="0" fillId="4" borderId="18" xfId="0" applyFill="1" applyBorder="1"/>
    <xf numFmtId="0" fontId="0" fillId="4" borderId="13" xfId="0" applyFill="1" applyBorder="1"/>
    <xf numFmtId="0" fontId="0" fillId="4" borderId="16" xfId="0" applyFill="1" applyBorder="1"/>
    <xf numFmtId="0" fontId="0" fillId="4" borderId="8" xfId="0" applyFill="1" applyBorder="1"/>
    <xf numFmtId="0" fontId="0" fillId="11" borderId="14" xfId="0" applyFont="1" applyFill="1" applyBorder="1"/>
    <xf numFmtId="0" fontId="0" fillId="11" borderId="9" xfId="0" applyFont="1" applyFill="1" applyBorder="1"/>
    <xf numFmtId="9" fontId="9" fillId="0" borderId="0" xfId="0" applyNumberFormat="1" applyFont="1" applyAlignment="1">
      <alignment horizontal="center"/>
    </xf>
    <xf numFmtId="0" fontId="9" fillId="0" borderId="0" xfId="0" quotePrefix="1" applyFont="1" applyAlignment="1">
      <alignment horizontal="center"/>
    </xf>
    <xf numFmtId="0" fontId="73" fillId="0" borderId="0" xfId="0" applyFont="1" applyAlignment="1">
      <alignment wrapText="1"/>
    </xf>
    <xf numFmtId="0" fontId="30" fillId="0" borderId="30" xfId="0" applyFont="1" applyFill="1" applyBorder="1" applyAlignment="1">
      <alignment horizontal="center" wrapText="1"/>
    </xf>
    <xf numFmtId="0" fontId="30" fillId="0" borderId="31" xfId="0" applyFont="1" applyFill="1" applyBorder="1" applyAlignment="1">
      <alignment horizontal="center" wrapText="1"/>
    </xf>
    <xf numFmtId="0" fontId="30" fillId="0" borderId="31" xfId="0" applyFont="1" applyFill="1" applyBorder="1" applyAlignment="1">
      <alignment horizontal="center"/>
    </xf>
    <xf numFmtId="0" fontId="30" fillId="0" borderId="32" xfId="0" applyFont="1" applyFill="1" applyBorder="1" applyAlignment="1">
      <alignment horizontal="center" wrapText="1"/>
    </xf>
    <xf numFmtId="0" fontId="75" fillId="0" borderId="6" xfId="0" applyFont="1" applyBorder="1"/>
    <xf numFmtId="0" fontId="75" fillId="0" borderId="6" xfId="0" applyFont="1" applyBorder="1" applyAlignment="1">
      <alignment horizontal="center"/>
    </xf>
    <xf numFmtId="0" fontId="75" fillId="0" borderId="6" xfId="0" applyFont="1" applyBorder="1" applyAlignment="1">
      <alignment horizontal="center" vertical="center"/>
    </xf>
    <xf numFmtId="0" fontId="75" fillId="0" borderId="9" xfId="0" applyFont="1" applyBorder="1" applyAlignment="1">
      <alignment vertical="center"/>
    </xf>
    <xf numFmtId="0" fontId="78" fillId="0" borderId="0" xfId="0" applyFont="1"/>
    <xf numFmtId="0" fontId="79" fillId="0" borderId="0" xfId="0" applyFont="1" applyAlignment="1">
      <alignment wrapText="1"/>
    </xf>
    <xf numFmtId="0" fontId="40" fillId="0" borderId="0" xfId="0" applyFont="1"/>
    <xf numFmtId="0" fontId="74" fillId="0" borderId="0" xfId="0" applyFont="1" applyBorder="1" applyAlignment="1">
      <alignment horizontal="center"/>
    </xf>
    <xf numFmtId="0" fontId="9" fillId="0" borderId="0" xfId="0" applyFont="1" applyBorder="1" applyAlignment="1">
      <alignment horizontal="center"/>
    </xf>
    <xf numFmtId="0" fontId="9" fillId="0" borderId="7" xfId="0" applyFont="1" applyBorder="1" applyAlignment="1">
      <alignment horizontal="center"/>
    </xf>
    <xf numFmtId="0" fontId="9" fillId="0" borderId="7" xfId="0" quotePrefix="1" applyFont="1" applyBorder="1" applyAlignment="1">
      <alignment horizontal="center"/>
    </xf>
    <xf numFmtId="0" fontId="80" fillId="0" borderId="0" xfId="0" applyFont="1" applyAlignment="1">
      <alignment horizontal="center"/>
    </xf>
    <xf numFmtId="0" fontId="81" fillId="0" borderId="0" xfId="0" applyFont="1" applyAlignment="1">
      <alignment horizontal="center"/>
    </xf>
    <xf numFmtId="3" fontId="81" fillId="0" borderId="0" xfId="0" applyNumberFormat="1" applyFont="1" applyAlignment="1">
      <alignment horizontal="center"/>
    </xf>
    <xf numFmtId="0" fontId="82" fillId="0" borderId="0" xfId="0" applyFont="1" applyFill="1" applyBorder="1" applyAlignment="1">
      <alignment horizontal="center"/>
    </xf>
    <xf numFmtId="16" fontId="82" fillId="0" borderId="0" xfId="0" applyNumberFormat="1" applyFont="1" applyFill="1" applyBorder="1" applyAlignment="1">
      <alignment horizontal="center"/>
    </xf>
    <xf numFmtId="0" fontId="80" fillId="0" borderId="0" xfId="0" applyFont="1" applyAlignment="1">
      <alignment horizontal="left"/>
    </xf>
    <xf numFmtId="0" fontId="82" fillId="0" borderId="0" xfId="0" applyFont="1"/>
    <xf numFmtId="0" fontId="83" fillId="0" borderId="0" xfId="0" applyFont="1" applyAlignment="1">
      <alignment horizontal="center"/>
    </xf>
    <xf numFmtId="0" fontId="83" fillId="0" borderId="30" xfId="0" applyFont="1" applyFill="1" applyBorder="1" applyAlignment="1">
      <alignment horizontal="center"/>
    </xf>
    <xf numFmtId="0" fontId="6" fillId="0" borderId="30" xfId="0" applyFont="1" applyFill="1" applyBorder="1" applyAlignment="1">
      <alignment horizontal="center"/>
    </xf>
    <xf numFmtId="0" fontId="7" fillId="0" borderId="0" xfId="0" applyFont="1" applyFill="1" applyBorder="1" applyAlignment="1">
      <alignment horizontal="center"/>
    </xf>
    <xf numFmtId="0" fontId="80" fillId="0" borderId="0" xfId="0" applyFont="1"/>
    <xf numFmtId="0" fontId="81" fillId="0" borderId="0" xfId="0" applyFont="1"/>
    <xf numFmtId="0" fontId="83" fillId="0" borderId="0" xfId="0" applyFont="1"/>
    <xf numFmtId="0" fontId="85" fillId="0" borderId="6" xfId="0" applyFont="1" applyBorder="1" applyAlignment="1">
      <alignment horizontal="center" vertical="center"/>
    </xf>
    <xf numFmtId="0" fontId="85" fillId="0" borderId="6" xfId="0" applyFont="1" applyBorder="1" applyAlignment="1">
      <alignment horizontal="center" vertical="center" wrapText="1"/>
    </xf>
    <xf numFmtId="0" fontId="45" fillId="0" borderId="6" xfId="0" applyFont="1" applyBorder="1" applyAlignment="1">
      <alignment horizontal="center" vertical="center"/>
    </xf>
    <xf numFmtId="0" fontId="45" fillId="0" borderId="6" xfId="0" applyFont="1" applyBorder="1" applyAlignment="1">
      <alignment horizontal="center" vertical="center" wrapText="1"/>
    </xf>
    <xf numFmtId="0" fontId="25" fillId="0" borderId="25" xfId="0" applyFont="1" applyBorder="1" applyAlignment="1">
      <alignment horizontal="center" vertical="center" wrapText="1"/>
    </xf>
    <xf numFmtId="0" fontId="45" fillId="0" borderId="29" xfId="0" applyFont="1" applyBorder="1" applyAlignment="1">
      <alignment horizontal="center"/>
    </xf>
    <xf numFmtId="0" fontId="25" fillId="0" borderId="26" xfId="0" applyFont="1" applyBorder="1" applyAlignment="1">
      <alignment horizontal="center" vertical="center" wrapText="1"/>
    </xf>
    <xf numFmtId="0" fontId="25" fillId="0" borderId="24" xfId="0" applyFont="1" applyBorder="1" applyAlignment="1">
      <alignment horizontal="center" vertical="center" wrapText="1"/>
    </xf>
    <xf numFmtId="0" fontId="25" fillId="0" borderId="27" xfId="0" applyFont="1" applyBorder="1" applyAlignment="1">
      <alignment horizontal="center" vertical="center" wrapText="1"/>
    </xf>
    <xf numFmtId="0" fontId="25" fillId="0" borderId="34" xfId="0" applyFont="1" applyBorder="1" applyAlignment="1">
      <alignment horizontal="center" vertical="center" wrapText="1"/>
    </xf>
    <xf numFmtId="0" fontId="0" fillId="0" borderId="27" xfId="0" applyBorder="1" applyAlignment="1">
      <alignment horizontal="center" vertical="center" wrapText="1"/>
    </xf>
    <xf numFmtId="0" fontId="0" fillId="0" borderId="27" xfId="0" applyBorder="1" applyAlignment="1">
      <alignment horizontal="center" vertical="center"/>
    </xf>
    <xf numFmtId="0" fontId="91" fillId="0" borderId="27" xfId="0" applyFont="1" applyBorder="1" applyAlignment="1">
      <alignment horizontal="center" vertical="center"/>
    </xf>
    <xf numFmtId="0" fontId="91" fillId="0" borderId="27" xfId="0" applyFont="1" applyBorder="1" applyAlignment="1">
      <alignment horizontal="center" vertical="center" wrapText="1"/>
    </xf>
    <xf numFmtId="0" fontId="92" fillId="0" borderId="0" xfId="0" applyFont="1" applyAlignment="1">
      <alignment wrapText="1"/>
    </xf>
    <xf numFmtId="0" fontId="95" fillId="0" borderId="0" xfId="0" applyFont="1"/>
    <xf numFmtId="0" fontId="97" fillId="0" borderId="0" xfId="0" applyFont="1"/>
    <xf numFmtId="0" fontId="98" fillId="0" borderId="0" xfId="0" applyFont="1"/>
    <xf numFmtId="0" fontId="95" fillId="0" borderId="57" xfId="0" applyFont="1" applyBorder="1"/>
    <xf numFmtId="0" fontId="95" fillId="0" borderId="59" xfId="0" applyFont="1" applyBorder="1"/>
    <xf numFmtId="0" fontId="103" fillId="0" borderId="0" xfId="0" applyFont="1"/>
    <xf numFmtId="0" fontId="97" fillId="0" borderId="0" xfId="0" applyFont="1" applyAlignment="1">
      <alignment horizontal="center"/>
    </xf>
    <xf numFmtId="0" fontId="104" fillId="0" borderId="0" xfId="0" applyFont="1"/>
    <xf numFmtId="0" fontId="105" fillId="13" borderId="22" xfId="0" applyFont="1" applyFill="1" applyBorder="1"/>
    <xf numFmtId="0" fontId="107" fillId="0" borderId="0" xfId="0" applyFont="1" applyAlignment="1">
      <alignment vertical="center"/>
    </xf>
    <xf numFmtId="0" fontId="95" fillId="0" borderId="65" xfId="0" applyFont="1" applyBorder="1"/>
    <xf numFmtId="168" fontId="95" fillId="0" borderId="15" xfId="0" applyNumberFormat="1" applyFont="1" applyBorder="1" applyAlignment="1">
      <alignment horizontal="center" vertical="center"/>
    </xf>
    <xf numFmtId="0" fontId="95" fillId="0" borderId="12" xfId="0" applyFont="1" applyBorder="1"/>
    <xf numFmtId="0" fontId="95" fillId="0" borderId="68" xfId="0" applyFont="1" applyBorder="1"/>
    <xf numFmtId="0" fontId="95" fillId="0" borderId="6" xfId="0" applyFont="1" applyBorder="1"/>
    <xf numFmtId="0" fontId="95" fillId="0" borderId="11" xfId="0" applyFont="1" applyBorder="1"/>
    <xf numFmtId="0" fontId="95" fillId="0" borderId="70" xfId="0" applyFont="1" applyBorder="1"/>
    <xf numFmtId="169" fontId="95" fillId="0" borderId="71" xfId="0" applyNumberFormat="1" applyFont="1" applyBorder="1" applyAlignment="1">
      <alignment horizontal="center"/>
    </xf>
    <xf numFmtId="0" fontId="95" fillId="0" borderId="17" xfId="0" applyFont="1" applyBorder="1"/>
    <xf numFmtId="0" fontId="95" fillId="0" borderId="71" xfId="0" applyFont="1" applyBorder="1"/>
    <xf numFmtId="0" fontId="95" fillId="0" borderId="75" xfId="0" applyFont="1" applyBorder="1"/>
    <xf numFmtId="0" fontId="95" fillId="0" borderId="76" xfId="0" applyFont="1" applyBorder="1"/>
    <xf numFmtId="0" fontId="95" fillId="0" borderId="77" xfId="0" applyFont="1" applyBorder="1"/>
    <xf numFmtId="0" fontId="97" fillId="0" borderId="78" xfId="0" applyFont="1" applyBorder="1"/>
    <xf numFmtId="169" fontId="97" fillId="0" borderId="71" xfId="0" applyNumberFormat="1" applyFont="1" applyBorder="1" applyAlignment="1">
      <alignment horizontal="center"/>
    </xf>
    <xf numFmtId="0" fontId="97" fillId="0" borderId="60" xfId="0" applyFont="1" applyBorder="1"/>
    <xf numFmtId="0" fontId="97" fillId="0" borderId="12" xfId="0" applyFont="1" applyBorder="1"/>
    <xf numFmtId="0" fontId="97" fillId="0" borderId="82" xfId="0" applyFont="1" applyBorder="1"/>
    <xf numFmtId="0" fontId="97" fillId="0" borderId="75" xfId="0" applyFont="1" applyBorder="1"/>
    <xf numFmtId="0" fontId="95" fillId="0" borderId="84" xfId="0" applyFont="1" applyBorder="1"/>
    <xf numFmtId="170" fontId="95" fillId="0" borderId="85" xfId="0" applyNumberFormat="1" applyFont="1" applyBorder="1" applyAlignment="1">
      <alignment horizontal="center"/>
    </xf>
    <xf numFmtId="0" fontId="95" fillId="0" borderId="86" xfId="0" applyFont="1" applyBorder="1"/>
    <xf numFmtId="0" fontId="95" fillId="0" borderId="35" xfId="0" applyFont="1" applyBorder="1"/>
    <xf numFmtId="0" fontId="95" fillId="0" borderId="87" xfId="0" applyFont="1" applyBorder="1"/>
    <xf numFmtId="0" fontId="95" fillId="0" borderId="88" xfId="0" applyFont="1" applyBorder="1"/>
    <xf numFmtId="170" fontId="95" fillId="0" borderId="71" xfId="0" applyNumberFormat="1" applyFont="1" applyBorder="1" applyAlignment="1">
      <alignment horizontal="center"/>
    </xf>
    <xf numFmtId="0" fontId="95" fillId="0" borderId="60" xfId="0" applyFont="1" applyBorder="1"/>
    <xf numFmtId="0" fontId="95" fillId="0" borderId="89" xfId="0" applyFont="1" applyBorder="1"/>
    <xf numFmtId="0" fontId="95" fillId="0" borderId="92" xfId="0" applyFont="1" applyBorder="1"/>
    <xf numFmtId="0" fontId="95" fillId="0" borderId="78" xfId="0" applyFont="1" applyBorder="1"/>
    <xf numFmtId="164" fontId="95" fillId="0" borderId="71" xfId="0" applyNumberFormat="1" applyFont="1" applyBorder="1" applyAlignment="1">
      <alignment horizontal="center" vertical="center"/>
    </xf>
    <xf numFmtId="2" fontId="95" fillId="0" borderId="71" xfId="0" applyNumberFormat="1" applyFont="1" applyBorder="1" applyAlignment="1">
      <alignment horizontal="center"/>
    </xf>
    <xf numFmtId="0" fontId="97" fillId="0" borderId="71" xfId="0" applyFont="1" applyBorder="1" applyAlignment="1">
      <alignment horizontal="center"/>
    </xf>
    <xf numFmtId="0" fontId="95" fillId="0" borderId="71" xfId="0" applyFont="1" applyBorder="1" applyAlignment="1">
      <alignment horizontal="center"/>
    </xf>
    <xf numFmtId="0" fontId="95" fillId="0" borderId="82" xfId="0" applyFont="1" applyBorder="1"/>
    <xf numFmtId="0" fontId="95" fillId="0" borderId="0" xfId="0" applyFont="1" applyBorder="1"/>
    <xf numFmtId="164" fontId="98" fillId="0" borderId="0" xfId="0" applyNumberFormat="1" applyFont="1" applyBorder="1"/>
    <xf numFmtId="164" fontId="99" fillId="0" borderId="0" xfId="0" applyNumberFormat="1" applyFont="1" applyBorder="1" applyAlignment="1">
      <alignment horizontal="center"/>
    </xf>
    <xf numFmtId="0" fontId="99" fillId="0" borderId="0" xfId="0" applyFont="1" applyBorder="1" applyAlignment="1">
      <alignment vertical="center"/>
    </xf>
    <xf numFmtId="164" fontId="98" fillId="0" borderId="6" xfId="0" applyNumberFormat="1" applyFont="1" applyBorder="1"/>
    <xf numFmtId="0" fontId="101" fillId="13" borderId="22" xfId="0" applyFont="1" applyFill="1" applyBorder="1" applyAlignment="1">
      <alignment vertical="center"/>
    </xf>
    <xf numFmtId="0" fontId="98" fillId="0" borderId="35" xfId="0" applyFont="1" applyBorder="1" applyAlignment="1">
      <alignment horizontal="right"/>
    </xf>
    <xf numFmtId="0" fontId="101" fillId="13" borderId="66" xfId="0" applyFont="1" applyFill="1" applyBorder="1" applyAlignment="1">
      <alignment vertical="center"/>
    </xf>
    <xf numFmtId="0" fontId="117" fillId="0" borderId="35" xfId="0" applyFont="1" applyBorder="1"/>
    <xf numFmtId="0" fontId="102" fillId="13" borderId="56" xfId="0" applyFont="1" applyFill="1" applyBorder="1"/>
    <xf numFmtId="0" fontId="101" fillId="13" borderId="56" xfId="0" applyFont="1" applyFill="1" applyBorder="1" applyAlignment="1">
      <alignment vertical="center" wrapText="1"/>
    </xf>
    <xf numFmtId="0" fontId="118" fillId="0" borderId="0" xfId="0" applyFont="1"/>
    <xf numFmtId="0" fontId="15" fillId="0" borderId="0" xfId="0" applyFont="1" applyAlignment="1">
      <alignment wrapText="1"/>
    </xf>
    <xf numFmtId="0" fontId="17" fillId="4" borderId="0" xfId="0" applyFont="1" applyFill="1" applyBorder="1" applyAlignment="1"/>
    <xf numFmtId="0" fontId="16" fillId="4" borderId="0" xfId="0" applyFont="1" applyFill="1" applyBorder="1" applyAlignment="1"/>
    <xf numFmtId="0" fontId="0" fillId="4" borderId="0" xfId="0" applyFill="1" applyBorder="1"/>
    <xf numFmtId="0" fontId="19" fillId="4" borderId="0" xfId="0" applyFont="1" applyFill="1" applyBorder="1" applyAlignment="1">
      <alignment horizontal="center"/>
    </xf>
    <xf numFmtId="0" fontId="122" fillId="0" borderId="7" xfId="0" applyFont="1" applyFill="1" applyBorder="1" applyAlignment="1">
      <alignment horizontal="center" wrapText="1"/>
    </xf>
    <xf numFmtId="0" fontId="122" fillId="0" borderId="0" xfId="0" applyFont="1" applyFill="1" applyBorder="1" applyAlignment="1"/>
    <xf numFmtId="0" fontId="0" fillId="4" borderId="8" xfId="0" applyFill="1" applyBorder="1" applyAlignment="1">
      <alignment horizontal="right"/>
    </xf>
    <xf numFmtId="0" fontId="47" fillId="4" borderId="16" xfId="1" applyFill="1" applyBorder="1" applyAlignment="1"/>
    <xf numFmtId="0" fontId="0" fillId="4" borderId="0" xfId="0" applyFill="1" applyBorder="1" applyAlignment="1">
      <alignment horizontal="right"/>
    </xf>
    <xf numFmtId="0" fontId="47" fillId="4" borderId="0" xfId="1" applyFill="1" applyBorder="1" applyAlignment="1"/>
    <xf numFmtId="0" fontId="0" fillId="4" borderId="0" xfId="0" applyFont="1" applyFill="1" applyBorder="1"/>
    <xf numFmtId="0" fontId="16" fillId="9" borderId="6" xfId="0" applyFont="1" applyFill="1" applyBorder="1" applyAlignment="1"/>
    <xf numFmtId="0" fontId="0" fillId="11" borderId="6" xfId="0" applyFont="1" applyFill="1" applyBorder="1"/>
    <xf numFmtId="0" fontId="0" fillId="11" borderId="9" xfId="0" applyFont="1" applyFill="1" applyBorder="1" applyAlignment="1">
      <alignment wrapText="1"/>
    </xf>
    <xf numFmtId="3" fontId="0" fillId="4" borderId="6" xfId="0" applyNumberFormat="1" applyFill="1" applyBorder="1"/>
    <xf numFmtId="3" fontId="0" fillId="0" borderId="0" xfId="0" applyNumberFormat="1"/>
    <xf numFmtId="3" fontId="0" fillId="0" borderId="6" xfId="0" applyNumberFormat="1" applyFont="1" applyBorder="1"/>
    <xf numFmtId="0" fontId="0" fillId="4" borderId="19" xfId="0" applyFill="1" applyBorder="1"/>
    <xf numFmtId="0" fontId="124" fillId="15" borderId="6" xfId="0" applyFont="1" applyFill="1" applyBorder="1" applyAlignment="1"/>
    <xf numFmtId="0" fontId="0" fillId="8" borderId="17" xfId="0" applyFill="1" applyBorder="1" applyAlignment="1">
      <alignment horizontal="center" vertical="center"/>
    </xf>
    <xf numFmtId="0" fontId="127" fillId="0" borderId="0" xfId="0" applyFont="1" applyAlignment="1">
      <alignment vertical="top" wrapText="1"/>
    </xf>
    <xf numFmtId="0" fontId="0" fillId="0" borderId="0" xfId="0" applyAlignment="1">
      <alignment vertical="top"/>
    </xf>
    <xf numFmtId="0" fontId="0" fillId="0" borderId="0" xfId="0" applyAlignment="1">
      <alignment vertical="top" wrapText="1"/>
    </xf>
    <xf numFmtId="0" fontId="2" fillId="0" borderId="0" xfId="0" applyFont="1" applyFill="1" applyBorder="1" applyAlignment="1">
      <alignment horizontal="center"/>
    </xf>
    <xf numFmtId="0" fontId="134" fillId="0" borderId="0" xfId="0" applyFont="1"/>
    <xf numFmtId="0" fontId="134" fillId="0" borderId="0" xfId="0" applyFont="1" applyAlignment="1">
      <alignment wrapText="1"/>
    </xf>
    <xf numFmtId="3" fontId="134" fillId="0" borderId="0" xfId="0" applyNumberFormat="1" applyFont="1" applyAlignment="1">
      <alignment wrapText="1"/>
    </xf>
    <xf numFmtId="0" fontId="133" fillId="16" borderId="0" xfId="0" applyFont="1" applyFill="1"/>
    <xf numFmtId="0" fontId="133" fillId="16" borderId="0" xfId="0" applyFont="1" applyFill="1" applyAlignment="1">
      <alignment wrapText="1"/>
    </xf>
    <xf numFmtId="0" fontId="14" fillId="0" borderId="0" xfId="0" applyFont="1" applyFill="1" applyBorder="1" applyAlignment="1">
      <alignment horizontal="left" wrapText="1"/>
    </xf>
    <xf numFmtId="0" fontId="1" fillId="0" borderId="0" xfId="0" applyFont="1" applyFill="1" applyBorder="1" applyAlignment="1">
      <alignment horizontal="left"/>
    </xf>
    <xf numFmtId="0" fontId="2" fillId="0" borderId="0" xfId="0" applyFont="1" applyFill="1" applyBorder="1" applyAlignment="1">
      <alignment horizontal="left"/>
    </xf>
    <xf numFmtId="0" fontId="8" fillId="0" borderId="0" xfId="0" applyFont="1" applyFill="1" applyBorder="1" applyAlignment="1">
      <alignment horizontal="left"/>
    </xf>
    <xf numFmtId="0" fontId="11" fillId="0" borderId="0" xfId="0" applyFont="1" applyFill="1" applyBorder="1" applyAlignment="1">
      <alignment horizontal="left"/>
    </xf>
    <xf numFmtId="0" fontId="2" fillId="0" borderId="0" xfId="0" applyFont="1" applyFill="1" applyBorder="1" applyAlignment="1">
      <alignment horizontal="left" wrapText="1"/>
    </xf>
    <xf numFmtId="0" fontId="2" fillId="2" borderId="0" xfId="0" applyFont="1" applyFill="1" applyBorder="1" applyAlignment="1">
      <alignment horizontal="left" wrapText="1"/>
    </xf>
    <xf numFmtId="0" fontId="1" fillId="0" borderId="3" xfId="0" applyFont="1" applyFill="1" applyBorder="1" applyAlignment="1">
      <alignment horizontal="left" wrapText="1"/>
    </xf>
    <xf numFmtId="0" fontId="1" fillId="0" borderId="4" xfId="0" applyFont="1" applyFill="1" applyBorder="1" applyAlignment="1">
      <alignment horizontal="left" wrapText="1"/>
    </xf>
    <xf numFmtId="0" fontId="64" fillId="0" borderId="0" xfId="0" applyFont="1" applyFill="1" applyBorder="1" applyAlignment="1">
      <alignment horizontal="left"/>
    </xf>
    <xf numFmtId="0" fontId="2" fillId="0" borderId="3" xfId="0" applyFont="1" applyFill="1" applyBorder="1" applyAlignment="1">
      <alignment horizontal="left" wrapText="1"/>
    </xf>
    <xf numFmtId="0" fontId="2" fillId="0" borderId="4" xfId="0" applyFont="1" applyFill="1" applyBorder="1" applyAlignment="1">
      <alignment horizontal="left" wrapText="1"/>
    </xf>
    <xf numFmtId="0" fontId="135" fillId="0" borderId="1" xfId="0" applyFont="1" applyBorder="1" applyAlignment="1">
      <alignment horizontal="left"/>
    </xf>
    <xf numFmtId="0" fontId="136" fillId="3" borderId="1" xfId="0" applyFont="1" applyFill="1" applyBorder="1" applyAlignment="1">
      <alignment horizontal="left"/>
    </xf>
    <xf numFmtId="3" fontId="137" fillId="3" borderId="1" xfId="0" applyNumberFormat="1" applyFont="1" applyFill="1" applyBorder="1" applyAlignment="1">
      <alignment horizontal="left"/>
    </xf>
    <xf numFmtId="0" fontId="137" fillId="3" borderId="1" xfId="0" applyFont="1" applyFill="1" applyBorder="1" applyAlignment="1">
      <alignment horizontal="left"/>
    </xf>
    <xf numFmtId="0" fontId="137" fillId="2" borderId="1" xfId="0" applyFont="1" applyFill="1" applyBorder="1" applyAlignment="1">
      <alignment horizontal="left"/>
    </xf>
    <xf numFmtId="3" fontId="138" fillId="0" borderId="1" xfId="0" applyNumberFormat="1" applyFont="1" applyBorder="1" applyAlignment="1">
      <alignment horizontal="left"/>
    </xf>
    <xf numFmtId="0" fontId="138" fillId="0" borderId="1" xfId="0" applyFont="1" applyBorder="1" applyAlignment="1">
      <alignment horizontal="left"/>
    </xf>
    <xf numFmtId="0" fontId="137" fillId="2" borderId="37" xfId="0" applyFont="1" applyFill="1" applyBorder="1" applyAlignment="1">
      <alignment horizontal="left"/>
    </xf>
    <xf numFmtId="0" fontId="137" fillId="0" borderId="37" xfId="0" applyFont="1" applyFill="1" applyBorder="1" applyAlignment="1">
      <alignment horizontal="left"/>
    </xf>
    <xf numFmtId="0" fontId="5" fillId="0" borderId="0" xfId="0" applyFont="1" applyFill="1" applyBorder="1" applyAlignment="1">
      <alignment horizontal="left" wrapText="1"/>
    </xf>
    <xf numFmtId="0" fontId="13" fillId="0" borderId="0" xfId="0" applyFont="1" applyFill="1" applyBorder="1" applyAlignment="1">
      <alignment horizontal="left"/>
    </xf>
    <xf numFmtId="0" fontId="139" fillId="0" borderId="0" xfId="0" applyFont="1"/>
    <xf numFmtId="0" fontId="140" fillId="0" borderId="0" xfId="0" applyFont="1"/>
    <xf numFmtId="0" fontId="140" fillId="0" borderId="0" xfId="0" applyFont="1" applyAlignment="1">
      <alignment horizontal="center"/>
    </xf>
    <xf numFmtId="0" fontId="143" fillId="0" borderId="0" xfId="0" applyFont="1"/>
    <xf numFmtId="0" fontId="144" fillId="0" borderId="0" xfId="1" quotePrefix="1" applyFont="1"/>
    <xf numFmtId="0" fontId="140" fillId="0" borderId="0" xfId="0" quotePrefix="1" applyFont="1"/>
    <xf numFmtId="0" fontId="145" fillId="0" borderId="0" xfId="0" applyFont="1"/>
    <xf numFmtId="0" fontId="11" fillId="0" borderId="0" xfId="0" applyFont="1"/>
    <xf numFmtId="0" fontId="66" fillId="0" borderId="0" xfId="0" applyFont="1"/>
    <xf numFmtId="0" fontId="141" fillId="0" borderId="0" xfId="0" applyFont="1" applyAlignment="1">
      <alignment horizontal="center"/>
    </xf>
    <xf numFmtId="0" fontId="66" fillId="0" borderId="30" xfId="0" applyFont="1" applyBorder="1" applyAlignment="1">
      <alignment horizontal="left"/>
    </xf>
    <xf numFmtId="0" fontId="140" fillId="0" borderId="30" xfId="0" applyFont="1" applyBorder="1" applyAlignment="1">
      <alignment horizontal="left"/>
    </xf>
    <xf numFmtId="0" fontId="66" fillId="0" borderId="0" xfId="0" applyFont="1" applyBorder="1" applyAlignment="1">
      <alignment horizontal="left"/>
    </xf>
    <xf numFmtId="0" fontId="140" fillId="0" borderId="0" xfId="0" applyFont="1" applyBorder="1" applyAlignment="1">
      <alignment horizontal="left"/>
    </xf>
    <xf numFmtId="0" fontId="11" fillId="0" borderId="0" xfId="0" applyFont="1" applyBorder="1"/>
    <xf numFmtId="0" fontId="66" fillId="0" borderId="106" xfId="0" applyFont="1" applyBorder="1" applyAlignment="1">
      <alignment horizontal="left"/>
    </xf>
    <xf numFmtId="0" fontId="45" fillId="0" borderId="113" xfId="0" applyFont="1" applyBorder="1"/>
    <xf numFmtId="0" fontId="45" fillId="0" borderId="107" xfId="0" applyFont="1" applyBorder="1"/>
    <xf numFmtId="0" fontId="45" fillId="0" borderId="112" xfId="0" applyFont="1" applyBorder="1"/>
    <xf numFmtId="0" fontId="45" fillId="0" borderId="110" xfId="0" applyFont="1" applyBorder="1"/>
    <xf numFmtId="3" fontId="45" fillId="0" borderId="112" xfId="0" applyNumberFormat="1" applyFont="1" applyBorder="1"/>
    <xf numFmtId="0" fontId="45" fillId="0" borderId="111" xfId="0" applyFont="1" applyBorder="1"/>
    <xf numFmtId="0" fontId="45" fillId="0" borderId="114" xfId="0" applyFont="1" applyBorder="1"/>
    <xf numFmtId="0" fontId="45" fillId="0" borderId="109" xfId="0" applyFont="1" applyBorder="1"/>
    <xf numFmtId="0" fontId="45" fillId="0" borderId="0" xfId="0" applyFont="1" applyBorder="1"/>
    <xf numFmtId="0" fontId="31" fillId="0" borderId="107" xfId="0" applyFont="1" applyBorder="1"/>
    <xf numFmtId="0" fontId="31" fillId="0" borderId="113" xfId="0" applyFont="1" applyBorder="1"/>
    <xf numFmtId="0" fontId="31" fillId="0" borderId="112" xfId="0" applyFont="1" applyBorder="1"/>
    <xf numFmtId="0" fontId="75" fillId="0" borderId="107" xfId="0" applyFont="1" applyBorder="1" applyAlignment="1">
      <alignment wrapText="1"/>
    </xf>
    <xf numFmtId="0" fontId="75" fillId="0" borderId="107" xfId="0" applyFont="1" applyBorder="1"/>
    <xf numFmtId="0" fontId="75" fillId="0" borderId="103" xfId="0" applyFont="1" applyBorder="1"/>
    <xf numFmtId="0" fontId="146" fillId="0" borderId="115" xfId="0" applyFont="1" applyBorder="1"/>
    <xf numFmtId="0" fontId="65" fillId="0" borderId="107" xfId="0" applyFont="1" applyBorder="1"/>
    <xf numFmtId="0" fontId="65" fillId="0" borderId="113" xfId="0" applyFont="1" applyBorder="1"/>
    <xf numFmtId="0" fontId="45" fillId="0" borderId="112" xfId="0" applyFont="1" applyBorder="1" applyAlignment="1">
      <alignment horizontal="center" vertical="center"/>
    </xf>
    <xf numFmtId="0" fontId="45" fillId="0" borderId="113" xfId="0" applyFont="1" applyBorder="1" applyAlignment="1">
      <alignment horizontal="center" vertical="center" wrapText="1"/>
    </xf>
    <xf numFmtId="0" fontId="36" fillId="4" borderId="8" xfId="0" applyFont="1" applyFill="1" applyBorder="1" applyAlignment="1">
      <alignment horizontal="center" vertical="center"/>
    </xf>
    <xf numFmtId="0" fontId="0" fillId="0" borderId="0" xfId="0" applyAlignment="1">
      <alignment horizontal="center"/>
    </xf>
    <xf numFmtId="0" fontId="0" fillId="0" borderId="13" xfId="0" applyBorder="1" applyAlignment="1">
      <alignment horizontal="center" wrapText="1"/>
    </xf>
    <xf numFmtId="0" fontId="32" fillId="0" borderId="26" xfId="0" applyFont="1" applyBorder="1" applyAlignment="1">
      <alignment horizontal="center" vertical="center"/>
    </xf>
    <xf numFmtId="0" fontId="32" fillId="0" borderId="36" xfId="0" applyFont="1" applyBorder="1" applyAlignment="1">
      <alignment horizontal="center" vertical="center"/>
    </xf>
    <xf numFmtId="0" fontId="1" fillId="0" borderId="5" xfId="0" applyFont="1" applyFill="1" applyBorder="1" applyAlignment="1">
      <alignment horizontal="left"/>
    </xf>
    <xf numFmtId="0" fontId="0" fillId="0" borderId="0" xfId="0" applyAlignment="1">
      <alignment horizontal="left"/>
    </xf>
    <xf numFmtId="0" fontId="14" fillId="0" borderId="0" xfId="0" applyFont="1" applyFill="1" applyBorder="1" applyAlignment="1">
      <alignment horizontal="left"/>
    </xf>
    <xf numFmtId="0" fontId="73" fillId="0" borderId="0" xfId="0" applyFont="1" applyAlignment="1"/>
    <xf numFmtId="0" fontId="74" fillId="0" borderId="0" xfId="0" applyFont="1" applyAlignment="1">
      <alignment horizontal="center"/>
    </xf>
    <xf numFmtId="0" fontId="9" fillId="0" borderId="0" xfId="0" applyFont="1" applyAlignment="1">
      <alignment horizontal="center"/>
    </xf>
    <xf numFmtId="0" fontId="97" fillId="0" borderId="94" xfId="0" applyFont="1" applyBorder="1" applyAlignment="1">
      <alignment horizontal="center" vertical="center"/>
    </xf>
    <xf numFmtId="0" fontId="97" fillId="0" borderId="81" xfId="0" applyFont="1" applyBorder="1" applyAlignment="1">
      <alignment horizontal="center" vertical="center"/>
    </xf>
    <xf numFmtId="0" fontId="97" fillId="0" borderId="93" xfId="0" applyFont="1" applyBorder="1" applyAlignment="1">
      <alignment horizontal="center" vertical="center"/>
    </xf>
    <xf numFmtId="0" fontId="95" fillId="0" borderId="79" xfId="0" applyFont="1" applyBorder="1" applyAlignment="1">
      <alignment horizontal="center" vertical="center"/>
    </xf>
    <xf numFmtId="0" fontId="95" fillId="0" borderId="81" xfId="0" applyFont="1" applyBorder="1" applyAlignment="1">
      <alignment horizontal="center" vertical="center"/>
    </xf>
    <xf numFmtId="0" fontId="95" fillId="0" borderId="83" xfId="0" applyFont="1" applyBorder="1" applyAlignment="1">
      <alignment horizontal="center" vertical="center"/>
    </xf>
    <xf numFmtId="0" fontId="97" fillId="0" borderId="79" xfId="0" applyFont="1" applyBorder="1" applyAlignment="1">
      <alignment horizontal="center"/>
    </xf>
    <xf numFmtId="0" fontId="97" fillId="0" borderId="81" xfId="0" applyFont="1" applyBorder="1" applyAlignment="1">
      <alignment horizontal="center"/>
    </xf>
    <xf numFmtId="0" fontId="97" fillId="0" borderId="93" xfId="0" applyFont="1" applyBorder="1" applyAlignment="1">
      <alignment horizontal="center"/>
    </xf>
    <xf numFmtId="0" fontId="95" fillId="0" borderId="80" xfId="0" applyFont="1" applyBorder="1" applyAlignment="1">
      <alignment horizontal="center" vertical="center" wrapText="1"/>
    </xf>
    <xf numFmtId="0" fontId="95" fillId="0" borderId="34" xfId="0" applyFont="1" applyBorder="1" applyAlignment="1">
      <alignment horizontal="center" vertical="center" wrapText="1"/>
    </xf>
    <xf numFmtId="0" fontId="97" fillId="0" borderId="90" xfId="0" applyFont="1" applyBorder="1" applyAlignment="1">
      <alignment horizontal="center" vertical="center"/>
    </xf>
    <xf numFmtId="0" fontId="97" fillId="0" borderId="18" xfId="0" applyFont="1" applyBorder="1" applyAlignment="1">
      <alignment horizontal="center" vertical="center"/>
    </xf>
    <xf numFmtId="0" fontId="97" fillId="0" borderId="91" xfId="0" applyFont="1" applyBorder="1" applyAlignment="1">
      <alignment horizontal="center" vertical="center"/>
    </xf>
    <xf numFmtId="0" fontId="97" fillId="0" borderId="79" xfId="0" applyFont="1" applyBorder="1" applyAlignment="1">
      <alignment horizontal="center" vertical="center"/>
    </xf>
    <xf numFmtId="0" fontId="95" fillId="0" borderId="34" xfId="0" applyFont="1" applyBorder="1" applyAlignment="1">
      <alignment horizontal="center" vertical="center"/>
    </xf>
    <xf numFmtId="0" fontId="95" fillId="0" borderId="80" xfId="0" applyFont="1" applyBorder="1" applyAlignment="1">
      <alignment horizontal="center" vertical="center"/>
    </xf>
    <xf numFmtId="0" fontId="95" fillId="0" borderId="29" xfId="0" applyFont="1" applyBorder="1" applyAlignment="1">
      <alignment horizontal="center" vertical="center"/>
    </xf>
    <xf numFmtId="0" fontId="95" fillId="0" borderId="101" xfId="0" applyFont="1" applyBorder="1" applyAlignment="1">
      <alignment horizontal="center" vertical="center"/>
    </xf>
    <xf numFmtId="0" fontId="95" fillId="0" borderId="54" xfId="0" applyFont="1" applyBorder="1" applyAlignment="1">
      <alignment horizontal="center" vertical="center"/>
    </xf>
    <xf numFmtId="0" fontId="95" fillId="0" borderId="102" xfId="0" applyFont="1" applyBorder="1" applyAlignment="1">
      <alignment horizontal="center" vertical="center"/>
    </xf>
    <xf numFmtId="0" fontId="95" fillId="0" borderId="29" xfId="0" applyFont="1" applyBorder="1" applyAlignment="1">
      <alignment horizontal="center" vertical="center" wrapText="1"/>
    </xf>
    <xf numFmtId="0" fontId="114" fillId="0" borderId="0" xfId="0" applyFont="1" applyAlignment="1">
      <alignment horizontal="center" vertical="center"/>
    </xf>
    <xf numFmtId="0" fontId="115" fillId="13" borderId="99" xfId="0" applyFont="1" applyFill="1" applyBorder="1" applyAlignment="1">
      <alignment horizontal="center" vertical="center" textRotation="90"/>
    </xf>
    <xf numFmtId="0" fontId="115" fillId="13" borderId="100" xfId="0" applyFont="1" applyFill="1" applyBorder="1" applyAlignment="1">
      <alignment horizontal="center" vertical="center" textRotation="90"/>
    </xf>
    <xf numFmtId="0" fontId="116" fillId="0" borderId="95" xfId="0" applyFont="1" applyBorder="1" applyAlignment="1">
      <alignment horizontal="center" vertical="center" textRotation="45"/>
    </xf>
    <xf numFmtId="0" fontId="116" fillId="0" borderId="19" xfId="0" applyFont="1" applyBorder="1" applyAlignment="1">
      <alignment horizontal="center" vertical="center" textRotation="45"/>
    </xf>
    <xf numFmtId="0" fontId="116" fillId="0" borderId="96" xfId="0" applyFont="1" applyBorder="1" applyAlignment="1">
      <alignment horizontal="center" vertical="center" textRotation="45"/>
    </xf>
    <xf numFmtId="0" fontId="97" fillId="0" borderId="72" xfId="0" applyFont="1" applyBorder="1" applyAlignment="1">
      <alignment horizontal="center" vertical="center"/>
    </xf>
    <xf numFmtId="0" fontId="97" fillId="0" borderId="73" xfId="0" applyFont="1" applyBorder="1" applyAlignment="1">
      <alignment horizontal="center" vertical="center"/>
    </xf>
    <xf numFmtId="0" fontId="97" fillId="0" borderId="74" xfId="0" applyFont="1" applyBorder="1" applyAlignment="1">
      <alignment horizontal="center" vertical="center"/>
    </xf>
    <xf numFmtId="0" fontId="95" fillId="0" borderId="72" xfId="0" applyFont="1" applyBorder="1" applyAlignment="1">
      <alignment vertical="center"/>
    </xf>
    <xf numFmtId="0" fontId="95" fillId="0" borderId="73" xfId="0" applyFont="1" applyBorder="1" applyAlignment="1">
      <alignment vertical="center"/>
    </xf>
    <xf numFmtId="0" fontId="95" fillId="0" borderId="74" xfId="0" applyFont="1" applyBorder="1" applyAlignment="1">
      <alignment vertical="center"/>
    </xf>
    <xf numFmtId="0" fontId="115" fillId="13" borderId="63" xfId="0" applyFont="1" applyFill="1" applyBorder="1" applyAlignment="1">
      <alignment horizontal="center" vertical="center" textRotation="90"/>
    </xf>
    <xf numFmtId="0" fontId="115" fillId="13" borderId="66" xfId="0" applyFont="1" applyFill="1" applyBorder="1" applyAlignment="1">
      <alignment horizontal="center" vertical="center" textRotation="90"/>
    </xf>
    <xf numFmtId="0" fontId="95" fillId="0" borderId="64" xfId="0" applyFont="1" applyBorder="1" applyAlignment="1">
      <alignment horizontal="center" vertical="center" wrapText="1"/>
    </xf>
    <xf numFmtId="0" fontId="95" fillId="0" borderId="67" xfId="0" applyFont="1" applyBorder="1" applyAlignment="1">
      <alignment horizontal="center" vertical="center" wrapText="1"/>
    </xf>
    <xf numFmtId="0" fontId="95" fillId="0" borderId="27" xfId="0" applyFont="1" applyBorder="1" applyAlignment="1">
      <alignment horizontal="center" vertical="center"/>
    </xf>
    <xf numFmtId="0" fontId="116" fillId="0" borderId="97" xfId="0" applyFont="1" applyBorder="1" applyAlignment="1">
      <alignment horizontal="center" vertical="center" textRotation="90"/>
    </xf>
    <xf numFmtId="0" fontId="116" fillId="0" borderId="19" xfId="0" applyFont="1" applyBorder="1" applyAlignment="1">
      <alignment horizontal="center" vertical="center" textRotation="90"/>
    </xf>
    <xf numFmtId="0" fontId="116" fillId="0" borderId="96" xfId="0" applyFont="1" applyBorder="1" applyAlignment="1">
      <alignment horizontal="center" vertical="center" textRotation="90"/>
    </xf>
    <xf numFmtId="0" fontId="95" fillId="0" borderId="68" xfId="0" applyFont="1" applyBorder="1" applyAlignment="1">
      <alignment horizontal="center" vertical="center"/>
    </xf>
    <xf numFmtId="0" fontId="95" fillId="0" borderId="69" xfId="0" applyFont="1" applyBorder="1" applyAlignment="1">
      <alignment horizontal="center" vertical="center"/>
    </xf>
    <xf numFmtId="0" fontId="95" fillId="0" borderId="67" xfId="0" applyFont="1" applyBorder="1" applyAlignment="1">
      <alignment horizontal="center" vertical="center"/>
    </xf>
    <xf numFmtId="0" fontId="108" fillId="14" borderId="56" xfId="0" applyFont="1" applyFill="1" applyBorder="1" applyAlignment="1">
      <alignment horizontal="center"/>
    </xf>
    <xf numFmtId="0" fontId="109" fillId="0" borderId="6" xfId="0" applyFont="1" applyBorder="1" applyAlignment="1">
      <alignment horizontal="center"/>
    </xf>
    <xf numFmtId="0" fontId="112" fillId="0" borderId="0" xfId="0" applyFont="1" applyAlignment="1">
      <alignment horizontal="center"/>
    </xf>
    <xf numFmtId="0" fontId="95" fillId="0" borderId="0" xfId="0" applyFont="1" applyBorder="1" applyAlignment="1">
      <alignment horizontal="center"/>
    </xf>
    <xf numFmtId="0" fontId="113" fillId="0" borderId="0" xfId="0" applyFont="1" applyAlignment="1">
      <alignment horizontal="center"/>
    </xf>
    <xf numFmtId="0" fontId="107" fillId="13" borderId="56" xfId="0" applyFont="1" applyFill="1" applyBorder="1" applyAlignment="1">
      <alignment horizontal="center" vertical="center"/>
    </xf>
    <xf numFmtId="0" fontId="107" fillId="13" borderId="98" xfId="0" applyFont="1" applyFill="1" applyBorder="1" applyAlignment="1">
      <alignment horizontal="center" vertical="center"/>
    </xf>
    <xf numFmtId="0" fontId="107" fillId="13" borderId="62" xfId="0" applyFont="1" applyFill="1" applyBorder="1" applyAlignment="1">
      <alignment horizontal="center" vertical="center"/>
    </xf>
    <xf numFmtId="0" fontId="107" fillId="13" borderId="63" xfId="0" applyFont="1" applyFill="1" applyBorder="1" applyAlignment="1">
      <alignment horizontal="center" vertical="center"/>
    </xf>
    <xf numFmtId="0" fontId="111" fillId="0" borderId="12" xfId="0" applyFont="1" applyBorder="1" applyAlignment="1">
      <alignment horizontal="center"/>
    </xf>
    <xf numFmtId="0" fontId="111" fillId="0" borderId="6" xfId="0" applyFont="1" applyBorder="1" applyAlignment="1">
      <alignment horizontal="center"/>
    </xf>
    <xf numFmtId="0" fontId="109" fillId="0" borderId="12" xfId="0" applyFont="1" applyBorder="1" applyAlignment="1">
      <alignment horizontal="center" wrapText="1"/>
    </xf>
    <xf numFmtId="0" fontId="109" fillId="0" borderId="6" xfId="0" applyFont="1" applyBorder="1" applyAlignment="1">
      <alignment horizontal="center" wrapText="1"/>
    </xf>
    <xf numFmtId="0" fontId="108" fillId="14" borderId="10" xfId="0" applyFont="1" applyFill="1" applyBorder="1" applyAlignment="1">
      <alignment horizontal="center"/>
    </xf>
    <xf numFmtId="0" fontId="109" fillId="0" borderId="12" xfId="0" applyFont="1" applyBorder="1" applyAlignment="1">
      <alignment horizontal="center"/>
    </xf>
    <xf numFmtId="0" fontId="110" fillId="0" borderId="35" xfId="0" applyFont="1" applyBorder="1" applyAlignment="1">
      <alignment horizontal="center"/>
    </xf>
    <xf numFmtId="0" fontId="110" fillId="0" borderId="13" xfId="0" applyFont="1" applyBorder="1" applyAlignment="1">
      <alignment horizontal="center"/>
    </xf>
    <xf numFmtId="0" fontId="108" fillId="14" borderId="22" xfId="0" applyFont="1" applyFill="1" applyBorder="1" applyAlignment="1">
      <alignment horizontal="center"/>
    </xf>
    <xf numFmtId="0" fontId="96" fillId="13" borderId="0" xfId="0" applyFont="1" applyFill="1" applyAlignment="1">
      <alignment horizontal="center" vertical="center"/>
    </xf>
    <xf numFmtId="0" fontId="21" fillId="12" borderId="0" xfId="0" applyFont="1" applyFill="1" applyAlignment="1"/>
    <xf numFmtId="0" fontId="22" fillId="0" borderId="20" xfId="0" applyFont="1" applyBorder="1" applyAlignment="1"/>
    <xf numFmtId="0" fontId="22" fillId="0" borderId="21" xfId="0" applyFont="1" applyBorder="1" applyAlignment="1"/>
    <xf numFmtId="0" fontId="23" fillId="13" borderId="22" xfId="0" applyFont="1" applyFill="1" applyBorder="1" applyAlignment="1">
      <alignment horizontal="center"/>
    </xf>
    <xf numFmtId="0" fontId="23" fillId="13" borderId="23" xfId="0" applyFont="1" applyFill="1" applyBorder="1" applyAlignment="1">
      <alignment horizontal="center"/>
    </xf>
    <xf numFmtId="167" fontId="99" fillId="0" borderId="0" xfId="0" applyNumberFormat="1" applyFont="1" applyAlignment="1">
      <alignment vertical="center"/>
    </xf>
    <xf numFmtId="0" fontId="100" fillId="13" borderId="12" xfId="0" applyFont="1" applyFill="1" applyBorder="1" applyAlignment="1">
      <alignment horizontal="center" vertical="center"/>
    </xf>
    <xf numFmtId="0" fontId="100" fillId="13" borderId="6" xfId="0" applyFont="1" applyFill="1" applyBorder="1" applyAlignment="1">
      <alignment horizontal="center" vertical="center"/>
    </xf>
    <xf numFmtId="0" fontId="100" fillId="4" borderId="0" xfId="0" applyFont="1" applyFill="1" applyBorder="1" applyAlignment="1">
      <alignment horizontal="center" vertical="center"/>
    </xf>
    <xf numFmtId="0" fontId="106" fillId="4" borderId="6" xfId="0" applyFont="1" applyFill="1" applyBorder="1" applyAlignment="1">
      <alignment horizontal="center" vertical="center"/>
    </xf>
    <xf numFmtId="0" fontId="107" fillId="14" borderId="6" xfId="0" applyFont="1" applyFill="1" applyBorder="1" applyAlignment="1">
      <alignment horizontal="center" vertical="center"/>
    </xf>
    <xf numFmtId="0" fontId="97" fillId="0" borderId="0" xfId="0" applyFont="1" applyBorder="1" applyAlignment="1">
      <alignment horizontal="center"/>
    </xf>
    <xf numFmtId="0" fontId="97" fillId="0" borderId="0" xfId="0" applyFont="1" applyBorder="1" applyAlignment="1">
      <alignment horizontal="right"/>
    </xf>
    <xf numFmtId="0" fontId="97" fillId="0" borderId="58" xfId="0" applyFont="1" applyBorder="1" applyAlignment="1">
      <alignment horizontal="center"/>
    </xf>
    <xf numFmtId="0" fontId="97" fillId="0" borderId="59" xfId="0" applyFont="1" applyBorder="1" applyAlignment="1">
      <alignment horizontal="center"/>
    </xf>
    <xf numFmtId="0" fontId="97" fillId="0" borderId="60" xfId="0" applyFont="1" applyBorder="1" applyAlignment="1">
      <alignment horizontal="center"/>
    </xf>
    <xf numFmtId="0" fontId="97" fillId="0" borderId="61" xfId="0" applyFont="1" applyBorder="1" applyAlignment="1">
      <alignment horizontal="center"/>
    </xf>
    <xf numFmtId="0" fontId="74" fillId="6" borderId="113" xfId="0" applyFont="1" applyFill="1" applyBorder="1" applyAlignment="1">
      <alignment horizontal="center"/>
    </xf>
    <xf numFmtId="0" fontId="74" fillId="6" borderId="108" xfId="0" applyFont="1" applyFill="1" applyBorder="1" applyAlignment="1">
      <alignment horizontal="center"/>
    </xf>
    <xf numFmtId="0" fontId="74" fillId="6" borderId="109" xfId="0" applyFont="1" applyFill="1" applyBorder="1" applyAlignment="1">
      <alignment horizontal="center"/>
    </xf>
    <xf numFmtId="0" fontId="41" fillId="6" borderId="107" xfId="0" applyFont="1" applyFill="1" applyBorder="1" applyAlignment="1">
      <alignment horizontal="center" vertical="center"/>
    </xf>
    <xf numFmtId="0" fontId="0" fillId="6" borderId="108" xfId="0" applyFill="1" applyBorder="1" applyAlignment="1">
      <alignment horizontal="center" vertical="center"/>
    </xf>
    <xf numFmtId="0" fontId="0" fillId="6" borderId="109" xfId="0" applyFill="1" applyBorder="1" applyAlignment="1">
      <alignment horizontal="center" vertical="center"/>
    </xf>
    <xf numFmtId="0" fontId="31" fillId="6" borderId="107" xfId="0" applyFont="1" applyFill="1" applyBorder="1" applyAlignment="1">
      <alignment horizontal="center" wrapText="1"/>
    </xf>
    <xf numFmtId="0" fontId="31" fillId="6" borderId="108" xfId="0" applyFont="1" applyFill="1" applyBorder="1" applyAlignment="1">
      <alignment horizontal="center" wrapText="1"/>
    </xf>
    <xf numFmtId="0" fontId="31" fillId="6" borderId="109" xfId="0" applyFont="1" applyFill="1" applyBorder="1" applyAlignment="1">
      <alignment horizontal="center" wrapText="1"/>
    </xf>
    <xf numFmtId="0" fontId="47" fillId="4" borderId="92" xfId="1" applyFill="1" applyBorder="1" applyAlignment="1">
      <alignment horizontal="left" vertical="top"/>
    </xf>
    <xf numFmtId="0" fontId="47" fillId="4" borderId="105" xfId="1" applyFill="1" applyBorder="1" applyAlignment="1">
      <alignment horizontal="left" vertical="top"/>
    </xf>
    <xf numFmtId="0" fontId="47" fillId="4" borderId="0" xfId="1" applyFill="1" applyBorder="1" applyAlignment="1">
      <alignment horizontal="left" vertical="top"/>
    </xf>
    <xf numFmtId="0" fontId="47" fillId="4" borderId="104" xfId="1" applyFill="1" applyBorder="1" applyAlignment="1">
      <alignment horizontal="left" vertical="top"/>
    </xf>
    <xf numFmtId="0" fontId="131" fillId="0" borderId="0" xfId="0" applyFont="1" applyBorder="1" applyAlignment="1">
      <alignment horizontal="left" vertical="top" wrapText="1"/>
    </xf>
    <xf numFmtId="0" fontId="0" fillId="0" borderId="0" xfId="0" applyBorder="1" applyAlignment="1">
      <alignment horizontal="left" vertical="top"/>
    </xf>
    <xf numFmtId="0" fontId="0" fillId="0" borderId="104" xfId="0" applyBorder="1" applyAlignment="1">
      <alignment horizontal="left" vertical="top"/>
    </xf>
    <xf numFmtId="0" fontId="131" fillId="4" borderId="0" xfId="0" applyFont="1" applyFill="1" applyBorder="1" applyAlignment="1">
      <alignment horizontal="left" vertical="top"/>
    </xf>
    <xf numFmtId="0" fontId="0" fillId="4" borderId="0" xfId="0" applyFill="1" applyBorder="1" applyAlignment="1">
      <alignment horizontal="left" vertical="top"/>
    </xf>
    <xf numFmtId="0" fontId="0" fillId="4" borderId="104" xfId="0" applyFill="1" applyBorder="1" applyAlignment="1">
      <alignment horizontal="left" vertical="top"/>
    </xf>
    <xf numFmtId="0" fontId="131" fillId="0" borderId="0" xfId="0" applyFont="1" applyBorder="1" applyAlignment="1">
      <alignment horizontal="left" vertical="top"/>
    </xf>
    <xf numFmtId="0" fontId="0" fillId="0" borderId="0" xfId="0" applyBorder="1" applyAlignment="1">
      <alignment horizontal="left" vertical="top" wrapText="1"/>
    </xf>
    <xf numFmtId="0" fontId="0" fillId="0" borderId="104" xfId="0" applyBorder="1" applyAlignment="1">
      <alignment horizontal="left" vertical="top" wrapText="1"/>
    </xf>
    <xf numFmtId="0" fontId="0" fillId="6" borderId="8" xfId="0" applyFill="1" applyBorder="1" applyAlignment="1">
      <alignment horizontal="center" vertical="center"/>
    </xf>
    <xf numFmtId="0" fontId="0" fillId="6" borderId="9" xfId="0" applyFill="1" applyBorder="1" applyAlignment="1">
      <alignment horizontal="center" vertical="center"/>
    </xf>
    <xf numFmtId="0" fontId="0" fillId="0" borderId="0" xfId="0" applyAlignment="1">
      <alignment horizontal="center"/>
    </xf>
    <xf numFmtId="0" fontId="0" fillId="0" borderId="12" xfId="0" applyBorder="1" applyAlignment="1">
      <alignment horizontal="center" vertical="top" wrapText="1"/>
    </xf>
    <xf numFmtId="0" fontId="0" fillId="0" borderId="35" xfId="0" applyBorder="1" applyAlignment="1">
      <alignment horizontal="center" vertical="top" wrapText="1"/>
    </xf>
    <xf numFmtId="0" fontId="0" fillId="0" borderId="13" xfId="0" applyBorder="1" applyAlignment="1">
      <alignment horizontal="center" vertical="top" wrapText="1"/>
    </xf>
    <xf numFmtId="0" fontId="41" fillId="6" borderId="7" xfId="0" applyFont="1" applyFill="1" applyBorder="1" applyAlignment="1">
      <alignment horizontal="center"/>
    </xf>
    <xf numFmtId="0" fontId="41" fillId="6" borderId="12" xfId="0" applyFont="1" applyFill="1" applyBorder="1" applyAlignment="1">
      <alignment horizontal="center"/>
    </xf>
    <xf numFmtId="0" fontId="41" fillId="6" borderId="35" xfId="0" applyFont="1" applyFill="1" applyBorder="1" applyAlignment="1">
      <alignment horizontal="center"/>
    </xf>
    <xf numFmtId="0" fontId="41" fillId="6" borderId="13" xfId="0" applyFont="1" applyFill="1" applyBorder="1" applyAlignment="1">
      <alignment horizontal="center"/>
    </xf>
    <xf numFmtId="0" fontId="0" fillId="8" borderId="12" xfId="0" applyFill="1" applyBorder="1" applyAlignment="1">
      <alignment horizontal="center" vertical="center"/>
    </xf>
    <xf numFmtId="0" fontId="0" fillId="8" borderId="35" xfId="0" applyFill="1" applyBorder="1" applyAlignment="1">
      <alignment horizontal="center" vertical="center"/>
    </xf>
    <xf numFmtId="0" fontId="0" fillId="8" borderId="13" xfId="0" applyFill="1" applyBorder="1" applyAlignment="1">
      <alignment horizontal="center" vertical="center"/>
    </xf>
    <xf numFmtId="0" fontId="0" fillId="0" borderId="12" xfId="0" applyBorder="1" applyAlignment="1">
      <alignment horizontal="center" wrapText="1"/>
    </xf>
    <xf numFmtId="0" fontId="0" fillId="0" borderId="35" xfId="0" applyBorder="1" applyAlignment="1">
      <alignment horizontal="center" wrapText="1"/>
    </xf>
    <xf numFmtId="0" fontId="0" fillId="0" borderId="13" xfId="0" applyBorder="1" applyAlignment="1">
      <alignment horizontal="center" wrapText="1"/>
    </xf>
    <xf numFmtId="0" fontId="59" fillId="8" borderId="12" xfId="0" applyFont="1" applyFill="1" applyBorder="1" applyAlignment="1">
      <alignment horizontal="center" vertical="top" wrapText="1"/>
    </xf>
    <xf numFmtId="0" fontId="59" fillId="8" borderId="35" xfId="0" applyFont="1" applyFill="1" applyBorder="1" applyAlignment="1">
      <alignment horizontal="center" vertical="top" wrapText="1"/>
    </xf>
    <xf numFmtId="0" fontId="59" fillId="8" borderId="13" xfId="0" applyFont="1" applyFill="1" applyBorder="1" applyAlignment="1">
      <alignment horizontal="center" vertical="top" wrapText="1"/>
    </xf>
    <xf numFmtId="0" fontId="0" fillId="0" borderId="0" xfId="0" applyAlignment="1">
      <alignment horizontal="center" vertical="center"/>
    </xf>
    <xf numFmtId="0" fontId="125" fillId="6" borderId="7" xfId="0" applyFont="1" applyFill="1" applyBorder="1" applyAlignment="1">
      <alignment horizontal="center"/>
    </xf>
    <xf numFmtId="0" fontId="41" fillId="6" borderId="0" xfId="0" applyFont="1" applyFill="1" applyAlignment="1">
      <alignment horizontal="center" vertical="center"/>
    </xf>
    <xf numFmtId="0" fontId="41" fillId="6" borderId="7" xfId="0" applyFont="1" applyFill="1" applyBorder="1" applyAlignment="1">
      <alignment horizontal="center" vertical="center"/>
    </xf>
    <xf numFmtId="0" fontId="34" fillId="6" borderId="7" xfId="0" applyFont="1" applyFill="1" applyBorder="1" applyAlignment="1">
      <alignment horizontal="center"/>
    </xf>
    <xf numFmtId="0" fontId="36" fillId="4" borderId="8" xfId="0" applyFont="1" applyFill="1" applyBorder="1" applyAlignment="1">
      <alignment horizontal="center" vertical="center"/>
    </xf>
    <xf numFmtId="0" fontId="36" fillId="4" borderId="19" xfId="0" applyFont="1" applyFill="1" applyBorder="1" applyAlignment="1">
      <alignment horizontal="center" vertical="center"/>
    </xf>
    <xf numFmtId="0" fontId="36" fillId="4" borderId="9" xfId="0" applyFont="1" applyFill="1" applyBorder="1" applyAlignment="1">
      <alignment horizontal="center" vertical="center"/>
    </xf>
    <xf numFmtId="0" fontId="58" fillId="8" borderId="8" xfId="0" applyFont="1" applyFill="1" applyBorder="1" applyAlignment="1">
      <alignment horizontal="center" vertical="center"/>
    </xf>
    <xf numFmtId="0" fontId="58" fillId="8" borderId="19" xfId="0" applyFont="1" applyFill="1" applyBorder="1" applyAlignment="1">
      <alignment horizontal="center" vertical="center"/>
    </xf>
    <xf numFmtId="0" fontId="58" fillId="8" borderId="9" xfId="0" applyFont="1" applyFill="1" applyBorder="1" applyAlignment="1">
      <alignment horizontal="center" vertical="center"/>
    </xf>
    <xf numFmtId="0" fontId="38" fillId="7" borderId="0" xfId="0" applyFont="1" applyFill="1" applyAlignment="1"/>
    <xf numFmtId="0" fontId="65" fillId="0" borderId="0" xfId="0" applyFont="1" applyAlignment="1">
      <alignment horizontal="center" vertical="center"/>
    </xf>
    <xf numFmtId="0" fontId="60" fillId="0" borderId="35" xfId="0" applyFont="1" applyBorder="1" applyAlignment="1">
      <alignment horizontal="center" vertical="center"/>
    </xf>
    <xf numFmtId="0" fontId="34" fillId="6" borderId="7" xfId="0" applyFont="1" applyFill="1" applyBorder="1" applyAlignment="1">
      <alignment horizontal="center" vertical="center"/>
    </xf>
    <xf numFmtId="0" fontId="0" fillId="0" borderId="8" xfId="0" applyBorder="1" applyAlignment="1">
      <alignment horizontal="center" vertical="center"/>
    </xf>
    <xf numFmtId="0" fontId="0" fillId="0" borderId="19" xfId="0" applyBorder="1" applyAlignment="1">
      <alignment horizontal="center" vertical="center"/>
    </xf>
    <xf numFmtId="0" fontId="0" fillId="0" borderId="9" xfId="0" applyBorder="1" applyAlignment="1">
      <alignment horizontal="center" vertical="center"/>
    </xf>
    <xf numFmtId="0" fontId="126" fillId="6" borderId="7" xfId="0" applyFont="1" applyFill="1" applyBorder="1" applyAlignment="1">
      <alignment horizontal="center" vertical="center"/>
    </xf>
    <xf numFmtId="0" fontId="47" fillId="4" borderId="0" xfId="1" applyFill="1" applyBorder="1" applyAlignment="1">
      <alignment horizontal="left" vertical="top" wrapText="1"/>
    </xf>
    <xf numFmtId="0" fontId="47" fillId="4" borderId="104" xfId="1" applyFill="1" applyBorder="1" applyAlignment="1">
      <alignment horizontal="left" vertical="top" wrapText="1"/>
    </xf>
    <xf numFmtId="0" fontId="131" fillId="0" borderId="103" xfId="0" applyFont="1" applyBorder="1" applyAlignment="1">
      <alignment horizontal="left" vertical="top" wrapText="1"/>
    </xf>
    <xf numFmtId="0" fontId="131" fillId="0" borderId="104" xfId="0" applyFont="1" applyBorder="1" applyAlignment="1">
      <alignment horizontal="left" vertical="top" wrapText="1"/>
    </xf>
    <xf numFmtId="0" fontId="128" fillId="4" borderId="0" xfId="1" applyFont="1" applyFill="1" applyBorder="1" applyAlignment="1">
      <alignment horizontal="left" vertical="top" wrapText="1"/>
    </xf>
    <xf numFmtId="0" fontId="128" fillId="4" borderId="104" xfId="1" applyFont="1" applyFill="1" applyBorder="1" applyAlignment="1">
      <alignment horizontal="left" vertical="top" wrapText="1"/>
    </xf>
    <xf numFmtId="0" fontId="132" fillId="0" borderId="103" xfId="0" applyFont="1" applyBorder="1" applyAlignment="1">
      <alignment horizontal="left" vertical="top" wrapText="1"/>
    </xf>
    <xf numFmtId="0" fontId="90" fillId="0" borderId="0" xfId="0" applyFont="1" applyBorder="1" applyAlignment="1">
      <alignment horizontal="left" vertical="top" wrapText="1"/>
    </xf>
    <xf numFmtId="0" fontId="90" fillId="0" borderId="104" xfId="0" applyFont="1" applyBorder="1" applyAlignment="1">
      <alignment horizontal="left" vertical="top" wrapText="1"/>
    </xf>
    <xf numFmtId="0" fontId="129" fillId="6" borderId="26" xfId="0" applyFont="1" applyFill="1" applyBorder="1" applyAlignment="1">
      <alignment horizontal="center"/>
    </xf>
    <xf numFmtId="0" fontId="129" fillId="6" borderId="28" xfId="0" applyFont="1" applyFill="1" applyBorder="1" applyAlignment="1">
      <alignment horizontal="center"/>
    </xf>
    <xf numFmtId="0" fontId="129" fillId="6" borderId="36" xfId="0" applyFont="1" applyFill="1" applyBorder="1" applyAlignment="1">
      <alignment horizontal="center"/>
    </xf>
    <xf numFmtId="0" fontId="130" fillId="4" borderId="0" xfId="0" applyFont="1" applyFill="1" applyBorder="1" applyAlignment="1">
      <alignment horizontal="center" vertical="top"/>
    </xf>
    <xf numFmtId="0" fontId="72" fillId="4" borderId="0" xfId="0" applyFont="1" applyFill="1" applyBorder="1" applyAlignment="1">
      <alignment horizontal="center" vertical="top"/>
    </xf>
    <xf numFmtId="0" fontId="72" fillId="4" borderId="104" xfId="0" applyFont="1" applyFill="1" applyBorder="1" applyAlignment="1">
      <alignment horizontal="center" vertical="top"/>
    </xf>
    <xf numFmtId="0" fontId="31" fillId="0" borderId="0" xfId="0" applyFont="1" applyBorder="1" applyAlignment="1">
      <alignment horizontal="left" vertical="top" wrapText="1"/>
    </xf>
    <xf numFmtId="0" fontId="31" fillId="0" borderId="104" xfId="0" applyFont="1" applyBorder="1" applyAlignment="1">
      <alignment horizontal="left" vertical="top" wrapText="1"/>
    </xf>
    <xf numFmtId="0" fontId="32" fillId="0" borderId="24" xfId="0" applyFont="1" applyBorder="1" applyAlignment="1">
      <alignment horizontal="center" vertical="center"/>
    </xf>
    <xf numFmtId="0" fontId="32" fillId="0" borderId="52" xfId="0" applyFont="1" applyBorder="1" applyAlignment="1">
      <alignment horizontal="center" vertical="center"/>
    </xf>
    <xf numFmtId="0" fontId="32" fillId="0" borderId="53" xfId="0" applyFont="1" applyBorder="1" applyAlignment="1">
      <alignment horizontal="center" vertical="center"/>
    </xf>
    <xf numFmtId="0" fontId="85" fillId="0" borderId="26" xfId="0" applyFont="1" applyBorder="1" applyAlignment="1">
      <alignment horizontal="center"/>
    </xf>
    <xf numFmtId="0" fontId="85" fillId="0" borderId="28" xfId="0" applyFont="1" applyBorder="1" applyAlignment="1">
      <alignment horizontal="center"/>
    </xf>
    <xf numFmtId="0" fontId="85" fillId="0" borderId="36" xfId="0" applyFont="1" applyBorder="1" applyAlignment="1">
      <alignment horizontal="center"/>
    </xf>
    <xf numFmtId="0" fontId="85" fillId="0" borderId="6" xfId="0" applyFont="1" applyBorder="1" applyAlignment="1">
      <alignment horizontal="center"/>
    </xf>
    <xf numFmtId="0" fontId="26" fillId="0" borderId="26" xfId="0" applyFont="1" applyBorder="1" applyAlignment="1">
      <alignment horizontal="center"/>
    </xf>
    <xf numFmtId="0" fontId="26" fillId="0" borderId="28" xfId="0" applyFont="1" applyBorder="1" applyAlignment="1">
      <alignment horizontal="center"/>
    </xf>
    <xf numFmtId="0" fontId="26" fillId="0" borderId="36" xfId="0" applyFont="1" applyBorder="1" applyAlignment="1">
      <alignment horizontal="center"/>
    </xf>
    <xf numFmtId="0" fontId="27" fillId="0" borderId="26" xfId="0" applyFont="1" applyBorder="1" applyAlignment="1">
      <alignment horizontal="center"/>
    </xf>
    <xf numFmtId="0" fontId="27" fillId="0" borderId="28" xfId="0" applyFont="1" applyBorder="1" applyAlignment="1">
      <alignment horizontal="center"/>
    </xf>
    <xf numFmtId="0" fontId="27" fillId="0" borderId="36" xfId="0" applyFont="1" applyBorder="1" applyAlignment="1">
      <alignment horizontal="center"/>
    </xf>
    <xf numFmtId="0" fontId="32" fillId="0" borderId="26" xfId="0" applyFont="1" applyBorder="1" applyAlignment="1">
      <alignment horizontal="center"/>
    </xf>
    <xf numFmtId="0" fontId="32" fillId="0" borderId="28" xfId="0" applyFont="1" applyBorder="1" applyAlignment="1">
      <alignment horizontal="center"/>
    </xf>
    <xf numFmtId="0" fontId="32" fillId="0" borderId="36" xfId="0" applyFont="1" applyBorder="1" applyAlignment="1">
      <alignment horizontal="center"/>
    </xf>
    <xf numFmtId="0" fontId="86" fillId="0" borderId="24" xfId="0" applyFont="1" applyBorder="1" applyAlignment="1">
      <alignment horizontal="center" vertical="center"/>
    </xf>
    <xf numFmtId="0" fontId="86" fillId="0" borderId="54" xfId="0" applyFont="1" applyBorder="1" applyAlignment="1">
      <alignment horizontal="center" vertical="center"/>
    </xf>
    <xf numFmtId="0" fontId="89" fillId="0" borderId="24" xfId="0" applyFont="1" applyBorder="1" applyAlignment="1">
      <alignment horizontal="center" vertical="center"/>
    </xf>
    <xf numFmtId="0" fontId="28" fillId="0" borderId="54" xfId="0" applyFont="1" applyBorder="1" applyAlignment="1">
      <alignment horizontal="center" vertical="center"/>
    </xf>
    <xf numFmtId="0" fontId="87" fillId="0" borderId="24" xfId="0" applyFont="1" applyBorder="1" applyAlignment="1">
      <alignment horizontal="center" vertical="center"/>
    </xf>
    <xf numFmtId="0" fontId="88" fillId="0" borderId="54" xfId="0" applyFont="1" applyBorder="1" applyAlignment="1">
      <alignment horizontal="center" vertical="center"/>
    </xf>
    <xf numFmtId="0" fontId="88" fillId="0" borderId="25" xfId="0" applyFont="1" applyBorder="1" applyAlignment="1">
      <alignment horizontal="center" vertical="center"/>
    </xf>
    <xf numFmtId="0" fontId="32" fillId="0" borderId="54" xfId="0" applyFont="1" applyBorder="1" applyAlignment="1">
      <alignment horizontal="center" vertical="center"/>
    </xf>
    <xf numFmtId="0" fontId="32" fillId="0" borderId="0" xfId="0" applyFont="1" applyBorder="1" applyAlignment="1">
      <alignment horizontal="center" vertical="center"/>
    </xf>
    <xf numFmtId="0" fontId="32" fillId="0" borderId="55" xfId="0" applyFont="1" applyBorder="1" applyAlignment="1">
      <alignment horizontal="center" vertical="center"/>
    </xf>
    <xf numFmtId="0" fontId="90" fillId="0" borderId="24" xfId="0" applyFont="1" applyBorder="1" applyAlignment="1">
      <alignment horizontal="center" vertical="center"/>
    </xf>
    <xf numFmtId="0" fontId="90" fillId="0" borderId="54" xfId="0" applyFont="1" applyBorder="1" applyAlignment="1">
      <alignment horizontal="center" vertical="center"/>
    </xf>
    <xf numFmtId="0" fontId="90" fillId="0" borderId="25" xfId="0" applyFont="1" applyBorder="1" applyAlignment="1">
      <alignment horizontal="center" vertical="center"/>
    </xf>
    <xf numFmtId="0" fontId="64" fillId="0" borderId="2" xfId="0" applyFont="1" applyFill="1" applyBorder="1" applyAlignment="1">
      <alignment horizontal="left"/>
    </xf>
    <xf numFmtId="0" fontId="1" fillId="0" borderId="2" xfId="0" applyFont="1" applyFill="1" applyBorder="1" applyAlignment="1">
      <alignment horizontal="left"/>
    </xf>
    <xf numFmtId="0" fontId="64" fillId="0" borderId="5" xfId="0" applyFont="1" applyFill="1" applyBorder="1" applyAlignment="1">
      <alignment horizontal="left"/>
    </xf>
    <xf numFmtId="0" fontId="1" fillId="0" borderId="5" xfId="0" applyFont="1" applyFill="1" applyBorder="1" applyAlignment="1">
      <alignment horizontal="left"/>
    </xf>
    <xf numFmtId="0" fontId="4" fillId="0" borderId="0" xfId="0" applyFont="1" applyAlignment="1">
      <alignment horizontal="left"/>
    </xf>
    <xf numFmtId="0" fontId="0" fillId="0" borderId="0" xfId="0" applyAlignment="1">
      <alignment horizontal="left"/>
    </xf>
    <xf numFmtId="0" fontId="14" fillId="0" borderId="0" xfId="0" applyFont="1" applyFill="1" applyBorder="1" applyAlignment="1">
      <alignment horizontal="left"/>
    </xf>
    <xf numFmtId="0" fontId="6" fillId="0" borderId="0" xfId="0" applyFont="1" applyFill="1" applyBorder="1" applyAlignment="1">
      <alignment horizontal="left"/>
    </xf>
    <xf numFmtId="0" fontId="20" fillId="13" borderId="7" xfId="0" applyFont="1" applyFill="1" applyBorder="1" applyAlignment="1">
      <alignment horizontal="center" wrapText="1"/>
    </xf>
    <xf numFmtId="0" fontId="123" fillId="13" borderId="7" xfId="0" applyFont="1" applyFill="1" applyBorder="1" applyAlignment="1">
      <alignment horizontal="center" wrapText="1"/>
    </xf>
    <xf numFmtId="0" fontId="20" fillId="4" borderId="0" xfId="0" applyFont="1" applyFill="1" applyBorder="1" applyAlignment="1">
      <alignment horizontal="center" wrapText="1"/>
    </xf>
    <xf numFmtId="0" fontId="123" fillId="4" borderId="0" xfId="0" applyFont="1" applyFill="1" applyBorder="1" applyAlignment="1">
      <alignment horizontal="center" wrapText="1"/>
    </xf>
    <xf numFmtId="0" fontId="20" fillId="13" borderId="0" xfId="0" applyFont="1" applyFill="1" applyAlignment="1">
      <alignment horizontal="center"/>
    </xf>
    <xf numFmtId="0" fontId="21" fillId="13" borderId="0" xfId="0" applyFont="1" applyFill="1" applyAlignment="1"/>
    <xf numFmtId="0" fontId="24" fillId="0" borderId="0" xfId="0" applyFont="1" applyAlignment="1">
      <alignment horizontal="center"/>
    </xf>
    <xf numFmtId="0" fontId="123" fillId="13" borderId="12" xfId="0" applyFont="1" applyFill="1" applyBorder="1" applyAlignment="1">
      <alignment horizontal="center"/>
    </xf>
    <xf numFmtId="0" fontId="123" fillId="13" borderId="35" xfId="0" applyFont="1" applyFill="1" applyBorder="1" applyAlignment="1">
      <alignment horizontal="center"/>
    </xf>
    <xf numFmtId="0" fontId="123" fillId="13" borderId="13" xfId="0" applyFont="1" applyFill="1" applyBorder="1" applyAlignment="1">
      <alignment horizontal="center"/>
    </xf>
    <xf numFmtId="0" fontId="51" fillId="0" borderId="8" xfId="0" applyFont="1" applyBorder="1" applyAlignment="1">
      <alignment horizontal="center"/>
    </xf>
    <xf numFmtId="0" fontId="51" fillId="0" borderId="9" xfId="0" applyFont="1" applyBorder="1" applyAlignment="1">
      <alignment horizontal="center"/>
    </xf>
    <xf numFmtId="0" fontId="16" fillId="0" borderId="8" xfId="0" applyFont="1" applyFill="1" applyBorder="1" applyAlignment="1">
      <alignment horizontal="center"/>
    </xf>
    <xf numFmtId="0" fontId="16" fillId="0" borderId="9" xfId="0" applyFont="1" applyFill="1" applyBorder="1" applyAlignment="1">
      <alignment horizontal="center"/>
    </xf>
    <xf numFmtId="0" fontId="16" fillId="0" borderId="19" xfId="0" applyFont="1" applyFill="1" applyBorder="1" applyAlignment="1">
      <alignment horizontal="center"/>
    </xf>
    <xf numFmtId="0" fontId="15" fillId="0" borderId="12" xfId="0" applyFont="1" applyBorder="1" applyAlignment="1">
      <alignment horizontal="center"/>
    </xf>
    <xf numFmtId="0" fontId="15" fillId="0" borderId="13" xfId="0" applyFont="1" applyBorder="1" applyAlignment="1">
      <alignment horizontal="center"/>
    </xf>
    <xf numFmtId="0" fontId="15" fillId="0" borderId="8" xfId="0" applyFont="1" applyBorder="1" applyAlignment="1">
      <alignment horizontal="center"/>
    </xf>
    <xf numFmtId="0" fontId="15" fillId="0" borderId="9" xfId="0" applyFont="1" applyBorder="1" applyAlignment="1">
      <alignment horizontal="center"/>
    </xf>
    <xf numFmtId="0" fontId="121" fillId="13" borderId="0" xfId="0" applyFont="1" applyFill="1" applyAlignment="1">
      <alignment horizontal="center"/>
    </xf>
    <xf numFmtId="0" fontId="121" fillId="13" borderId="7" xfId="0" applyFont="1" applyFill="1" applyBorder="1" applyAlignment="1">
      <alignment horizontal="center"/>
    </xf>
    <xf numFmtId="0" fontId="47" fillId="0" borderId="8" xfId="1" applyBorder="1" applyAlignment="1">
      <alignment horizontal="center" textRotation="180"/>
    </xf>
    <xf numFmtId="0" fontId="47" fillId="0" borderId="19" xfId="1" applyBorder="1" applyAlignment="1">
      <alignment horizontal="center" textRotation="180"/>
    </xf>
    <xf numFmtId="0" fontId="47" fillId="0" borderId="9" xfId="1" applyBorder="1" applyAlignment="1">
      <alignment horizontal="center" textRotation="180"/>
    </xf>
    <xf numFmtId="0" fontId="119" fillId="13" borderId="0" xfId="0" applyFont="1" applyFill="1" applyAlignment="1">
      <alignment horizontal="center"/>
    </xf>
    <xf numFmtId="0" fontId="120" fillId="13" borderId="0" xfId="0" applyFont="1" applyFill="1" applyAlignment="1">
      <alignment horizontal="center"/>
    </xf>
    <xf numFmtId="0" fontId="20" fillId="13" borderId="0" xfId="0" applyFont="1" applyFill="1" applyBorder="1" applyAlignment="1">
      <alignment horizontal="center" wrapText="1"/>
    </xf>
    <xf numFmtId="0" fontId="94" fillId="0" borderId="0" xfId="0" applyFont="1" applyAlignment="1">
      <alignment wrapText="1"/>
    </xf>
    <xf numFmtId="0" fontId="73" fillId="0" borderId="0" xfId="0" applyFont="1" applyAlignment="1"/>
    <xf numFmtId="0" fontId="74" fillId="0" borderId="0" xfId="0" applyFont="1" applyAlignment="1">
      <alignment horizontal="center"/>
    </xf>
    <xf numFmtId="0" fontId="9" fillId="0" borderId="0" xfId="0" applyFont="1" applyAlignment="1">
      <alignment horizontal="center"/>
    </xf>
    <xf numFmtId="0" fontId="76" fillId="0" borderId="0" xfId="0" applyFont="1" applyAlignment="1">
      <alignment horizontal="left" wrapText="1"/>
    </xf>
    <xf numFmtId="0" fontId="74" fillId="0" borderId="0" xfId="0" applyFont="1" applyAlignment="1">
      <alignment horizontal="left" wrapText="1"/>
    </xf>
    <xf numFmtId="0" fontId="84" fillId="0" borderId="0" xfId="0" applyFont="1" applyAlignment="1">
      <alignment horizontal="center"/>
    </xf>
    <xf numFmtId="0" fontId="40" fillId="0" borderId="0" xfId="0" applyFont="1" applyAlignment="1">
      <alignment horizontal="left" wrapText="1"/>
    </xf>
    <xf numFmtId="0" fontId="66" fillId="0" borderId="39" xfId="0" applyFont="1" applyBorder="1" applyAlignment="1">
      <alignment horizontal="center" vertical="center"/>
    </xf>
    <xf numFmtId="0" fontId="66" fillId="0" borderId="44" xfId="0" applyFont="1" applyBorder="1" applyAlignment="1">
      <alignment horizontal="center" vertical="center"/>
    </xf>
    <xf numFmtId="0" fontId="66" fillId="0" borderId="38" xfId="0" applyFont="1" applyBorder="1" applyAlignment="1">
      <alignment horizontal="center" vertical="center" wrapText="1"/>
    </xf>
    <xf numFmtId="0" fontId="66" fillId="0" borderId="40" xfId="0" applyFont="1" applyBorder="1" applyAlignment="1">
      <alignment horizontal="center" vertical="center" wrapText="1"/>
    </xf>
    <xf numFmtId="0" fontId="66" fillId="0" borderId="41" xfId="0" applyFont="1" applyBorder="1" applyAlignment="1">
      <alignment horizontal="center" vertical="center" wrapText="1"/>
    </xf>
    <xf numFmtId="0" fontId="66" fillId="0" borderId="42" xfId="0" applyFont="1" applyBorder="1" applyAlignment="1">
      <alignment horizontal="center" vertical="center" wrapText="1"/>
    </xf>
    <xf numFmtId="0" fontId="66" fillId="0" borderId="45" xfId="0" applyFont="1" applyBorder="1" applyAlignment="1">
      <alignment horizontal="center" vertical="center" wrapText="1"/>
    </xf>
    <xf numFmtId="0" fontId="66" fillId="0" borderId="46" xfId="0" applyFont="1" applyBorder="1" applyAlignment="1">
      <alignment horizontal="center" vertical="center" wrapText="1"/>
    </xf>
    <xf numFmtId="0" fontId="67" fillId="0" borderId="43" xfId="0" applyFont="1" applyBorder="1" applyAlignment="1">
      <alignment horizontal="center"/>
    </xf>
    <xf numFmtId="0" fontId="67" fillId="0" borderId="47" xfId="0" applyFont="1" applyBorder="1" applyAlignment="1">
      <alignment horizontal="center"/>
    </xf>
    <xf numFmtId="0" fontId="67" fillId="0" borderId="48" xfId="0" applyFont="1" applyBorder="1" applyAlignment="1">
      <alignment horizontal="center" wrapText="1"/>
    </xf>
    <xf numFmtId="0" fontId="67" fillId="0" borderId="48" xfId="0" applyFont="1" applyBorder="1" applyAlignment="1">
      <alignment horizontal="left" wrapText="1"/>
    </xf>
    <xf numFmtId="0" fontId="0" fillId="0" borderId="43" xfId="0" applyBorder="1" applyAlignment="1">
      <alignment horizontal="center"/>
    </xf>
    <xf numFmtId="0" fontId="0" fillId="0" borderId="42" xfId="0" applyBorder="1" applyAlignment="1">
      <alignment horizontal="center"/>
    </xf>
    <xf numFmtId="0" fontId="0" fillId="0" borderId="45" xfId="0" applyBorder="1" applyAlignment="1">
      <alignment horizontal="center"/>
    </xf>
    <xf numFmtId="0" fontId="68" fillId="0" borderId="39" xfId="0" applyFont="1" applyBorder="1" applyAlignment="1">
      <alignment horizontal="left" wrapText="1"/>
    </xf>
    <xf numFmtId="0" fontId="68" fillId="0" borderId="48" xfId="0" applyFont="1" applyBorder="1" applyAlignment="1">
      <alignment horizontal="left" wrapText="1"/>
    </xf>
    <xf numFmtId="0" fontId="67" fillId="0" borderId="38" xfId="0" applyFont="1" applyBorder="1" applyAlignment="1">
      <alignment horizontal="center" wrapText="1"/>
    </xf>
    <xf numFmtId="0" fontId="67" fillId="0" borderId="40" xfId="0" applyFont="1" applyBorder="1" applyAlignment="1">
      <alignment horizontal="center" wrapText="1"/>
    </xf>
    <xf numFmtId="0" fontId="67" fillId="0" borderId="41" xfId="0" applyFont="1" applyBorder="1" applyAlignment="1">
      <alignment horizontal="center" wrapText="1"/>
    </xf>
    <xf numFmtId="0" fontId="67" fillId="0" borderId="43" xfId="0" applyFont="1" applyBorder="1" applyAlignment="1">
      <alignment horizontal="center" wrapText="1"/>
    </xf>
    <xf numFmtId="0" fontId="67" fillId="0" borderId="0" xfId="0" applyFont="1" applyAlignment="1">
      <alignment horizontal="center" wrapText="1"/>
    </xf>
    <xf numFmtId="0" fontId="67" fillId="0" borderId="47" xfId="0" applyFont="1" applyBorder="1" applyAlignment="1">
      <alignment horizontal="center" wrapText="1"/>
    </xf>
    <xf numFmtId="0" fontId="68" fillId="0" borderId="38" xfId="0" applyFont="1" applyBorder="1" applyAlignment="1">
      <alignment horizontal="center"/>
    </xf>
    <xf numFmtId="0" fontId="67" fillId="0" borderId="41" xfId="0" applyFont="1" applyBorder="1" applyAlignment="1">
      <alignment horizontal="center"/>
    </xf>
    <xf numFmtId="0" fontId="66" fillId="0" borderId="49" xfId="0" applyFont="1" applyBorder="1" applyAlignment="1">
      <alignment horizontal="center"/>
    </xf>
    <xf numFmtId="0" fontId="66" fillId="0" borderId="50" xfId="0" applyFont="1" applyBorder="1" applyAlignment="1">
      <alignment horizontal="center"/>
    </xf>
    <xf numFmtId="0" fontId="66" fillId="0" borderId="51" xfId="0" applyFont="1" applyBorder="1" applyAlignment="1">
      <alignment horizontal="center"/>
    </xf>
    <xf numFmtId="0" fontId="0" fillId="0" borderId="47" xfId="0" applyBorder="1" applyAlignment="1">
      <alignment horizontal="center"/>
    </xf>
    <xf numFmtId="0" fontId="0" fillId="0" borderId="48" xfId="0" applyBorder="1" applyAlignment="1">
      <alignment horizontal="center" wrapText="1"/>
    </xf>
    <xf numFmtId="0" fontId="0" fillId="0" borderId="46" xfId="0" applyBorder="1" applyAlignment="1">
      <alignment horizontal="center"/>
    </xf>
    <xf numFmtId="0" fontId="70" fillId="0" borderId="0" xfId="0" applyFont="1" applyAlignment="1">
      <alignment horizontal="center"/>
    </xf>
    <xf numFmtId="0" fontId="69" fillId="0" borderId="0" xfId="0" applyFont="1" applyAlignment="1">
      <alignment horizontal="center"/>
    </xf>
    <xf numFmtId="0" fontId="67" fillId="0" borderId="43" xfId="0" applyFont="1" applyBorder="1" applyAlignment="1">
      <alignment horizontal="left"/>
    </xf>
    <xf numFmtId="0" fontId="67" fillId="0" borderId="47" xfId="0" applyFont="1" applyBorder="1" applyAlignment="1">
      <alignment horizontal="left"/>
    </xf>
    <xf numFmtId="0" fontId="67" fillId="0" borderId="0" xfId="0" applyFont="1" applyAlignment="1">
      <alignment horizontal="left"/>
    </xf>
    <xf numFmtId="0" fontId="67" fillId="0" borderId="38" xfId="0" applyFont="1" applyBorder="1" applyAlignment="1">
      <alignment horizontal="left"/>
    </xf>
    <xf numFmtId="0" fontId="67" fillId="0" borderId="41" xfId="0" applyFont="1" applyBorder="1" applyAlignment="1">
      <alignment horizontal="left"/>
    </xf>
    <xf numFmtId="0" fontId="67" fillId="0" borderId="40" xfId="0" applyFont="1" applyBorder="1" applyAlignment="1">
      <alignment horizontal="left"/>
    </xf>
  </cellXfs>
  <cellStyles count="2">
    <cellStyle name="Hyperlink" xfId="1" xr:uid="{00000000-000B-0000-0000-000008000000}"/>
    <cellStyle name="Normal" xfId="0" builtinId="0"/>
  </cellStyles>
  <dxfs count="99">
    <dxf>
      <font>
        <b/>
        <i val="0"/>
        <strike val="0"/>
        <condense val="0"/>
        <extend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dxf>
    <dxf>
      <font>
        <b/>
        <i val="0"/>
        <strike val="0"/>
        <condense val="0"/>
        <extend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dxf>
    <dxf>
      <font>
        <b val="0"/>
        <i val="0"/>
        <strike val="0"/>
        <condense val="0"/>
        <extend val="0"/>
        <outline val="0"/>
        <shadow val="0"/>
        <u val="none"/>
        <vertAlign val="baseline"/>
        <sz val="9"/>
        <color theme="0"/>
        <name val="Aptos Narrow"/>
        <family val="2"/>
        <scheme val="minor"/>
      </font>
      <fill>
        <patternFill patternType="solid">
          <fgColor indexed="64"/>
          <bgColor theme="3"/>
        </patternFill>
      </fill>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right style="thin">
          <color rgb="FF000000"/>
        </right>
        <top style="thin">
          <color rgb="FF000000"/>
        </top>
        <bottom/>
        <vertical/>
        <horizontal/>
      </border>
    </dxf>
    <dxf>
      <fill>
        <patternFill patternType="solid">
          <fgColor indexed="64"/>
          <bgColor theme="0"/>
        </patternFill>
      </fill>
      <border diagonalUp="0" diagonalDown="0">
        <left/>
        <right style="thin">
          <color rgb="FF000000"/>
        </right>
        <top/>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dxf>
    <dxf>
      <font>
        <color theme="1"/>
      </font>
      <fill>
        <patternFill patternType="solid">
          <fgColor indexed="64"/>
          <bgColor theme="2" tint="-9.9978637043366805E-2"/>
        </patternFill>
      </fill>
      <border diagonalUp="0" diagonalDown="0">
        <left style="thin">
          <color rgb="FF000000"/>
        </left>
        <right style="thin">
          <color rgb="FF000000"/>
        </right>
        <top/>
        <bottom/>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style="thin">
          <color rgb="FF000000"/>
        </left>
        <right style="thin">
          <color rgb="FF000000"/>
        </right>
        <top style="thin">
          <color rgb="FF000000"/>
        </top>
        <bottom/>
        <vertical/>
        <horizontal/>
      </border>
    </dxf>
    <dxf>
      <fill>
        <patternFill patternType="solid">
          <fgColor indexed="64"/>
          <bgColor theme="0"/>
        </patternFill>
      </fill>
      <border diagonalUp="0" diagonalDown="0">
        <left/>
        <right style="thin">
          <color rgb="FF000000"/>
        </right>
        <top style="thin">
          <color rgb="FF000000"/>
        </top>
        <bottom/>
        <vertical/>
        <horizontal/>
      </border>
    </dxf>
    <dxf>
      <fill>
        <patternFill patternType="solid">
          <fgColor indexed="64"/>
          <bgColor theme="0"/>
        </patternFill>
      </fill>
      <border diagonalUp="0" diagonalDown="0">
        <left/>
        <right style="thin">
          <color rgb="FF000000"/>
        </right>
        <top/>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dxf>
    <dxf>
      <font>
        <color theme="1"/>
      </font>
      <fill>
        <patternFill patternType="solid">
          <fgColor indexed="64"/>
          <bgColor theme="2" tint="-9.9978637043366805E-2"/>
        </patternFill>
      </fill>
      <border diagonalUp="0" diagonalDown="0">
        <left style="thin">
          <color rgb="FF000000"/>
        </left>
        <right style="thin">
          <color rgb="FF000000"/>
        </right>
        <top/>
        <bottom/>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charset val="134"/>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charset val="134"/>
        <scheme val="none"/>
      </font>
      <fill>
        <patternFill patternType="solid">
          <fgColor indexed="64"/>
          <bgColor theme="2" tint="-9.9978637043366805E-2"/>
        </patternFill>
      </fill>
      <alignment horizontal="general" vertical="bottom"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numFmt numFmtId="0" formatCode="General"/>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dxf>
    <dxf>
      <font>
        <b/>
        <i val="0"/>
        <strike val="0"/>
        <condense val="0"/>
        <extend val="0"/>
        <outline val="0"/>
        <shadow val="0"/>
        <u val="none"/>
        <vertAlign val="baseline"/>
        <sz val="11"/>
        <color rgb="FF000000"/>
        <name val="Calibri"/>
        <charset val="134"/>
        <scheme val="none"/>
      </font>
      <fill>
        <patternFill patternType="solid">
          <fgColor indexed="64"/>
          <bgColor theme="0" tint="-0.14999847407452621"/>
        </patternFill>
      </fill>
      <alignment horizontal="general" vertical="bottom"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right style="thin">
          <color rgb="FF000000"/>
        </right>
        <top style="thin">
          <color rgb="FF000000"/>
        </top>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dxf>
    <dxf>
      <font>
        <b/>
        <i val="0"/>
        <strike val="0"/>
        <condense val="0"/>
        <extend val="0"/>
        <outline val="0"/>
        <shadow val="0"/>
        <u val="none"/>
        <vertAlign val="baseline"/>
        <sz val="11"/>
        <color theme="1" tint="4.9989318521683403E-2"/>
        <name val="Calibri"/>
        <charset val="134"/>
        <scheme val="none"/>
      </font>
      <fill>
        <patternFill patternType="solid">
          <fgColor indexed="64"/>
          <bgColor theme="0" tint="-0.14999847407452621"/>
        </patternFill>
      </fill>
      <alignment horizontal="general" vertical="bottom" textRotation="0" wrapText="0" indent="0" justifyLastLine="0" shrinkToFit="0" readingOrder="0"/>
      <border diagonalUp="0" diagonalDown="0">
        <left style="thin">
          <color rgb="FF000000"/>
        </left>
        <right style="thin">
          <color rgb="FF000000"/>
        </right>
        <top/>
        <bottom/>
      </border>
    </dxf>
    <dxf>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charset val="134"/>
        <scheme val="none"/>
      </font>
      <fill>
        <patternFill patternType="solid">
          <fgColor indexed="64"/>
          <bgColor theme="0"/>
        </patternFill>
      </fill>
      <alignment horizontal="general"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dxf>
    <dxf>
      <font>
        <b/>
        <i val="0"/>
        <strike val="0"/>
        <condense val="0"/>
        <extend val="0"/>
        <outline val="0"/>
        <shadow val="0"/>
        <u val="none"/>
        <vertAlign val="baseline"/>
        <sz val="11"/>
        <color rgb="FF000000"/>
        <name val="Calibri"/>
        <charset val="134"/>
        <scheme val="none"/>
      </font>
      <fill>
        <patternFill patternType="solid">
          <fgColor indexed="64"/>
          <bgColor theme="0" tint="-0.14999847407452621"/>
        </patternFill>
      </fill>
      <alignment horizontal="general" vertical="bottom" textRotation="0" wrapText="0" indent="0" justifyLastLine="0" shrinkToFit="0" readingOrder="0"/>
      <border diagonalUp="0" diagonalDown="0">
        <left style="thin">
          <color rgb="FF000000"/>
        </left>
        <right style="thin">
          <color rgb="FF000000"/>
        </right>
        <top/>
        <bottom/>
      </border>
    </dxf>
    <dxf>
      <font>
        <sz val="14"/>
      </font>
    </dxf>
    <dxf>
      <font>
        <sz val="14"/>
      </font>
    </dxf>
    <dxf>
      <font>
        <sz val="14"/>
      </font>
    </dxf>
    <dxf>
      <border outline="0">
        <left style="thick">
          <color rgb="FF000000"/>
        </left>
        <right style="thick">
          <color rgb="FF000000"/>
        </right>
        <bottom style="thick">
          <color rgb="FF000000"/>
        </bottom>
      </border>
    </dxf>
    <dxf>
      <font>
        <sz val="14"/>
      </font>
    </dxf>
    <dxf>
      <font>
        <sz val="14"/>
      </font>
    </dxf>
  </dxfs>
  <tableStyles count="0" defaultTableStyle="TableStyleMedium2" defaultPivotStyle="PivotStyleMedium9"/>
  <colors>
    <mruColors>
      <color rgb="FF078276"/>
      <color rgb="FF07524C"/>
      <color rgb="FF1B6B4B"/>
      <color rgb="FF369971"/>
      <color rgb="FF277A59"/>
      <color rgb="FF526E5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2" Type="http://schemas.openxmlformats.org/officeDocument/2006/relationships/image" Target="../media/image6.jpeg"/><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4</xdr:col>
      <xdr:colOff>38100</xdr:colOff>
      <xdr:row>18</xdr:row>
      <xdr:rowOff>38100</xdr:rowOff>
    </xdr:from>
    <xdr:to>
      <xdr:col>4</xdr:col>
      <xdr:colOff>1323975</xdr:colOff>
      <xdr:row>18</xdr:row>
      <xdr:rowOff>42863</xdr:rowOff>
    </xdr:to>
    <xdr:cxnSp macro="">
      <xdr:nvCxnSpPr>
        <xdr:cNvPr id="7" name="Straight Connector 6">
          <a:extLst>
            <a:ext uri="{FF2B5EF4-FFF2-40B4-BE49-F238E27FC236}">
              <a16:creationId xmlns:a16="http://schemas.microsoft.com/office/drawing/2014/main" id="{A74A0A9F-C5E8-1626-1588-F02044197761}"/>
            </a:ext>
            <a:ext uri="{147F2762-F138-4A5C-976F-8EAC2B608ADB}">
              <a16:predDERef xmlns:a16="http://schemas.microsoft.com/office/drawing/2014/main" pred="{8FE05CA6-9CF2-9066-ED7C-F1C780BBFC47}"/>
            </a:ext>
          </a:extLst>
        </xdr:cNvPr>
        <xdr:cNvCxnSpPr>
          <a:cxnSpLocks/>
          <a:endCxn id="2" idx="1"/>
          <a:extLst>
            <a:ext uri="{5F17804C-33F3-41E3-A699-7DCFA2EF7971}">
              <a16:cxnDERefs xmlns:a16="http://schemas.microsoft.com/office/drawing/2014/main" st="{00000000-0000-0000-0000-000000000000}" end="{67FC669F-2F56-6BEB-E993-2FDAD4094250}"/>
            </a:ext>
          </a:extLst>
        </xdr:cNvCxnSpPr>
      </xdr:nvCxnSpPr>
      <xdr:spPr>
        <a:xfrm>
          <a:off x="7686675" y="4591050"/>
          <a:ext cx="1285875" cy="4763"/>
        </a:xfrm>
        <a:prstGeom prst="line">
          <a:avLst/>
        </a:prstGeom>
        <a:ln w="57150">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3</xdr:col>
      <xdr:colOff>1257300</xdr:colOff>
      <xdr:row>0</xdr:row>
      <xdr:rowOff>180975</xdr:rowOff>
    </xdr:from>
    <xdr:to>
      <xdr:col>6</xdr:col>
      <xdr:colOff>1019175</xdr:colOff>
      <xdr:row>4</xdr:row>
      <xdr:rowOff>285750</xdr:rowOff>
    </xdr:to>
    <xdr:pic>
      <xdr:nvPicPr>
        <xdr:cNvPr id="17" name="Picture 5">
          <a:extLst>
            <a:ext uri="{FF2B5EF4-FFF2-40B4-BE49-F238E27FC236}">
              <a16:creationId xmlns:a16="http://schemas.microsoft.com/office/drawing/2014/main" id="{FCC15AE6-C7B4-291B-6E02-7CC1F83E7512}"/>
            </a:ext>
            <a:ext uri="{147F2762-F138-4A5C-976F-8EAC2B608ADB}">
              <a16:predDERef xmlns:a16="http://schemas.microsoft.com/office/drawing/2014/main" pred="{67FC669F-2F56-6BEB-E993-2FDAD4094250}"/>
            </a:ext>
          </a:extLst>
        </xdr:cNvPr>
        <xdr:cNvPicPr>
          <a:picLocks noChangeAspect="1"/>
        </xdr:cNvPicPr>
      </xdr:nvPicPr>
      <xdr:blipFill>
        <a:blip xmlns:r="http://schemas.openxmlformats.org/officeDocument/2006/relationships" r:embed="rId1"/>
        <a:stretch>
          <a:fillRect/>
        </a:stretch>
      </xdr:blipFill>
      <xdr:spPr>
        <a:xfrm>
          <a:off x="7543800" y="180975"/>
          <a:ext cx="4572000" cy="1552575"/>
        </a:xfrm>
        <a:prstGeom prst="rect">
          <a:avLst/>
        </a:prstGeom>
      </xdr:spPr>
    </xdr:pic>
    <xdr:clientData/>
  </xdr:twoCellAnchor>
  <xdr:twoCellAnchor editAs="oneCell">
    <xdr:from>
      <xdr:col>4</xdr:col>
      <xdr:colOff>1323975</xdr:colOff>
      <xdr:row>10</xdr:row>
      <xdr:rowOff>190500</xdr:rowOff>
    </xdr:from>
    <xdr:to>
      <xdr:col>8</xdr:col>
      <xdr:colOff>790575</xdr:colOff>
      <xdr:row>25</xdr:row>
      <xdr:rowOff>142875</xdr:rowOff>
    </xdr:to>
    <xdr:pic>
      <xdr:nvPicPr>
        <xdr:cNvPr id="2" name="Picture 1">
          <a:extLst>
            <a:ext uri="{FF2B5EF4-FFF2-40B4-BE49-F238E27FC236}">
              <a16:creationId xmlns:a16="http://schemas.microsoft.com/office/drawing/2014/main" id="{67FC669F-2F56-6BEB-E993-2FDAD4094250}"/>
            </a:ext>
          </a:extLst>
        </xdr:cNvPr>
        <xdr:cNvPicPr>
          <a:picLocks noChangeAspect="1"/>
        </xdr:cNvPicPr>
      </xdr:nvPicPr>
      <xdr:blipFill>
        <a:blip xmlns:r="http://schemas.openxmlformats.org/officeDocument/2006/relationships" r:embed="rId2"/>
        <a:stretch>
          <a:fillRect/>
        </a:stretch>
      </xdr:blipFill>
      <xdr:spPr>
        <a:xfrm>
          <a:off x="8972550" y="2152650"/>
          <a:ext cx="6638925" cy="2867025"/>
        </a:xfrm>
        <a:prstGeom prst="rect">
          <a:avLst/>
        </a:prstGeom>
      </xdr:spPr>
    </xdr:pic>
    <xdr:clientData/>
  </xdr:twoCellAnchor>
  <xdr:twoCellAnchor editAs="oneCell">
    <xdr:from>
      <xdr:col>12</xdr:col>
      <xdr:colOff>9525</xdr:colOff>
      <xdr:row>27</xdr:row>
      <xdr:rowOff>28575</xdr:rowOff>
    </xdr:from>
    <xdr:to>
      <xdr:col>17</xdr:col>
      <xdr:colOff>485775</xdr:colOff>
      <xdr:row>35</xdr:row>
      <xdr:rowOff>104775</xdr:rowOff>
    </xdr:to>
    <xdr:pic>
      <xdr:nvPicPr>
        <xdr:cNvPr id="5" name="Picture 4">
          <a:extLst>
            <a:ext uri="{FF2B5EF4-FFF2-40B4-BE49-F238E27FC236}">
              <a16:creationId xmlns:a16="http://schemas.microsoft.com/office/drawing/2014/main" id="{53A2F64E-1DD4-2EF5-E175-4457BD4CE061}"/>
            </a:ext>
            <a:ext uri="{147F2762-F138-4A5C-976F-8EAC2B608ADB}">
              <a16:predDERef xmlns:a16="http://schemas.microsoft.com/office/drawing/2014/main" pred="{F75442AF-5C18-6985-03E6-E7D10757957B}"/>
            </a:ext>
          </a:extLst>
        </xdr:cNvPr>
        <xdr:cNvPicPr>
          <a:picLocks noChangeAspect="1"/>
        </xdr:cNvPicPr>
      </xdr:nvPicPr>
      <xdr:blipFill>
        <a:blip xmlns:r="http://schemas.openxmlformats.org/officeDocument/2006/relationships" r:embed="rId3"/>
        <a:stretch>
          <a:fillRect/>
        </a:stretch>
      </xdr:blipFill>
      <xdr:spPr>
        <a:xfrm>
          <a:off x="19611975" y="6305550"/>
          <a:ext cx="3524250" cy="2305050"/>
        </a:xfrm>
        <a:prstGeom prst="rect">
          <a:avLst/>
        </a:prstGeom>
      </xdr:spPr>
    </xdr:pic>
    <xdr:clientData/>
  </xdr:twoCellAnchor>
  <xdr:twoCellAnchor>
    <xdr:from>
      <xdr:col>10</xdr:col>
      <xdr:colOff>1304925</xdr:colOff>
      <xdr:row>31</xdr:row>
      <xdr:rowOff>104775</xdr:rowOff>
    </xdr:from>
    <xdr:to>
      <xdr:col>11</xdr:col>
      <xdr:colOff>1571625</xdr:colOff>
      <xdr:row>31</xdr:row>
      <xdr:rowOff>114300</xdr:rowOff>
    </xdr:to>
    <xdr:cxnSp macro="">
      <xdr:nvCxnSpPr>
        <xdr:cNvPr id="6" name="Straight Connector 5">
          <a:extLst>
            <a:ext uri="{FF2B5EF4-FFF2-40B4-BE49-F238E27FC236}">
              <a16:creationId xmlns:a16="http://schemas.microsoft.com/office/drawing/2014/main" id="{9249D13D-58C2-53E8-5C02-CAE7E080AC42}"/>
            </a:ext>
            <a:ext uri="{147F2762-F138-4A5C-976F-8EAC2B608ADB}">
              <a16:predDERef xmlns:a16="http://schemas.microsoft.com/office/drawing/2014/main" pred="{53A2F64E-1DD4-2EF5-E175-4457BD4CE061}"/>
            </a:ext>
          </a:extLst>
        </xdr:cNvPr>
        <xdr:cNvCxnSpPr>
          <a:cxnSpLocks/>
          <a:extLst>
            <a:ext uri="{5F17804C-33F3-41E3-A699-7DCFA2EF7971}">
              <a16:cxnDERefs xmlns:a16="http://schemas.microsoft.com/office/drawing/2014/main" st="{00000000-0000-0000-0000-000000000000}" end="{53A2F64E-1DD4-2EF5-E175-4457BD4CE061}"/>
            </a:ext>
          </a:extLst>
        </xdr:cNvCxnSpPr>
      </xdr:nvCxnSpPr>
      <xdr:spPr>
        <a:xfrm flipV="1">
          <a:off x="17954625" y="7458075"/>
          <a:ext cx="1600200" cy="9525"/>
        </a:xfrm>
        <a:prstGeom prst="line">
          <a:avLst/>
        </a:prstGeom>
        <a:ln w="57150">
          <a:tailEnd type="triangle"/>
        </a:ln>
      </xdr:spPr>
      <xdr:style>
        <a:lnRef idx="3">
          <a:schemeClr val="accent1"/>
        </a:lnRef>
        <a:fillRef idx="0">
          <a:schemeClr val="accent1"/>
        </a:fillRef>
        <a:effectRef idx="2">
          <a:schemeClr val="accent1"/>
        </a:effectRef>
        <a:fontRef idx="minor">
          <a:schemeClr val="tx1"/>
        </a:fontRef>
      </xdr:style>
    </xdr:cxnSp>
    <xdr:clientData/>
  </xdr:twoCellAnchor>
  <xdr:twoCellAnchor editAs="oneCell">
    <xdr:from>
      <xdr:col>3</xdr:col>
      <xdr:colOff>1343025</xdr:colOff>
      <xdr:row>30</xdr:row>
      <xdr:rowOff>47625</xdr:rowOff>
    </xdr:from>
    <xdr:to>
      <xdr:col>6</xdr:col>
      <xdr:colOff>0</xdr:colOff>
      <xdr:row>37</xdr:row>
      <xdr:rowOff>123825</xdr:rowOff>
    </xdr:to>
    <xdr:pic>
      <xdr:nvPicPr>
        <xdr:cNvPr id="9" name="Picture 8">
          <a:extLst>
            <a:ext uri="{FF2B5EF4-FFF2-40B4-BE49-F238E27FC236}">
              <a16:creationId xmlns:a16="http://schemas.microsoft.com/office/drawing/2014/main" id="{FEC17ADC-5046-EE26-611E-B722A2E33AEF}"/>
            </a:ext>
            <a:ext uri="{147F2762-F138-4A5C-976F-8EAC2B608ADB}">
              <a16:predDERef xmlns:a16="http://schemas.microsoft.com/office/drawing/2014/main" pred="{9249D13D-58C2-53E8-5C02-CAE7E080AC42}"/>
            </a:ext>
          </a:extLst>
        </xdr:cNvPr>
        <xdr:cNvPicPr>
          <a:picLocks noChangeAspect="1"/>
        </xdr:cNvPicPr>
      </xdr:nvPicPr>
      <xdr:blipFill>
        <a:blip xmlns:r="http://schemas.openxmlformats.org/officeDocument/2006/relationships" r:embed="rId4"/>
        <a:stretch>
          <a:fillRect/>
        </a:stretch>
      </xdr:blipFill>
      <xdr:spPr>
        <a:xfrm>
          <a:off x="7629525" y="6972300"/>
          <a:ext cx="3467100" cy="2190750"/>
        </a:xfrm>
        <a:prstGeom prst="rect">
          <a:avLst/>
        </a:prstGeom>
      </xdr:spPr>
    </xdr:pic>
    <xdr:clientData/>
  </xdr:twoCellAnchor>
  <xdr:twoCellAnchor>
    <xdr:from>
      <xdr:col>3</xdr:col>
      <xdr:colOff>9525</xdr:colOff>
      <xdr:row>33</xdr:row>
      <xdr:rowOff>219075</xdr:rowOff>
    </xdr:from>
    <xdr:to>
      <xdr:col>4</xdr:col>
      <xdr:colOff>0</xdr:colOff>
      <xdr:row>33</xdr:row>
      <xdr:rowOff>228600</xdr:rowOff>
    </xdr:to>
    <xdr:cxnSp macro="">
      <xdr:nvCxnSpPr>
        <xdr:cNvPr id="10" name="Straight Connector 9">
          <a:extLst>
            <a:ext uri="{FF2B5EF4-FFF2-40B4-BE49-F238E27FC236}">
              <a16:creationId xmlns:a16="http://schemas.microsoft.com/office/drawing/2014/main" id="{624A476F-A5DE-4438-8CFC-955EC0DAE6A0}"/>
            </a:ext>
            <a:ext uri="{147F2762-F138-4A5C-976F-8EAC2B608ADB}">
              <a16:predDERef xmlns:a16="http://schemas.microsoft.com/office/drawing/2014/main" pred="{FEC17ADC-5046-EE26-611E-B722A2E33AEF}"/>
            </a:ext>
          </a:extLst>
        </xdr:cNvPr>
        <xdr:cNvCxnSpPr>
          <a:cxnSpLocks/>
        </xdr:cNvCxnSpPr>
      </xdr:nvCxnSpPr>
      <xdr:spPr>
        <a:xfrm flipV="1">
          <a:off x="6296025" y="8162925"/>
          <a:ext cx="1352550" cy="9525"/>
        </a:xfrm>
        <a:prstGeom prst="line">
          <a:avLst/>
        </a:prstGeom>
        <a:ln w="57150">
          <a:tailEnd type="triangle"/>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3</xdr:col>
      <xdr:colOff>0</xdr:colOff>
      <xdr:row>2</xdr:row>
      <xdr:rowOff>161925</xdr:rowOff>
    </xdr:from>
    <xdr:to>
      <xdr:col>3</xdr:col>
      <xdr:colOff>1266825</xdr:colOff>
      <xdr:row>2</xdr:row>
      <xdr:rowOff>171450</xdr:rowOff>
    </xdr:to>
    <xdr:cxnSp macro="">
      <xdr:nvCxnSpPr>
        <xdr:cNvPr id="4" name="Straight Connector 3">
          <a:extLst>
            <a:ext uri="{FF2B5EF4-FFF2-40B4-BE49-F238E27FC236}">
              <a16:creationId xmlns:a16="http://schemas.microsoft.com/office/drawing/2014/main" id="{8FE05CA6-9CF2-9066-ED7C-F1C780BBFC47}"/>
            </a:ext>
            <a:ext uri="{147F2762-F138-4A5C-976F-8EAC2B608ADB}">
              <a16:predDERef xmlns:a16="http://schemas.microsoft.com/office/drawing/2014/main" pred="{17B3640B-AA3E-4455-B4AF-F82D6991A79C}"/>
            </a:ext>
          </a:extLst>
        </xdr:cNvPr>
        <xdr:cNvCxnSpPr>
          <a:cxnSpLocks/>
          <a:endCxn id="17" idx="1"/>
          <a:extLst>
            <a:ext uri="{5F17804C-33F3-41E3-A699-7DCFA2EF7971}">
              <a16:cxnDERefs xmlns:a16="http://schemas.microsoft.com/office/drawing/2014/main" st="{00000000-0000-0000-0000-000000000000}" end="{FCC15AE6-C7B4-291B-6E02-7CC1F83E7512}"/>
            </a:ext>
          </a:extLst>
        </xdr:cNvCxnSpPr>
      </xdr:nvCxnSpPr>
      <xdr:spPr>
        <a:xfrm>
          <a:off x="6286500" y="952500"/>
          <a:ext cx="1266825" cy="9525"/>
        </a:xfrm>
        <a:prstGeom prst="line">
          <a:avLst/>
        </a:prstGeom>
        <a:ln w="57150">
          <a:tailEnd type="triangle"/>
        </a:ln>
      </xdr:spPr>
      <xdr:style>
        <a:lnRef idx="3">
          <a:schemeClr val="accent1"/>
        </a:lnRef>
        <a:fillRef idx="0">
          <a:schemeClr val="accent1"/>
        </a:fillRef>
        <a:effectRef idx="2">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10</xdr:col>
      <xdr:colOff>0</xdr:colOff>
      <xdr:row>7</xdr:row>
      <xdr:rowOff>0</xdr:rowOff>
    </xdr:from>
    <xdr:to>
      <xdr:col>10</xdr:col>
      <xdr:colOff>1238250</xdr:colOff>
      <xdr:row>8</xdr:row>
      <xdr:rowOff>133350</xdr:rowOff>
    </xdr:to>
    <xdr:pic>
      <xdr:nvPicPr>
        <xdr:cNvPr id="3" name="Picture 1">
          <a:extLst>
            <a:ext uri="{FF2B5EF4-FFF2-40B4-BE49-F238E27FC236}">
              <a16:creationId xmlns:a16="http://schemas.microsoft.com/office/drawing/2014/main" id="{A7640084-5AA8-7F7E-E2B9-C45878E3C1ED}"/>
            </a:ext>
          </a:extLst>
        </xdr:cNvPr>
        <xdr:cNvPicPr>
          <a:picLocks noChangeAspect="1"/>
        </xdr:cNvPicPr>
      </xdr:nvPicPr>
      <xdr:blipFill>
        <a:blip xmlns:r="http://schemas.openxmlformats.org/officeDocument/2006/relationships" r:embed="rId1"/>
        <a:stretch>
          <a:fillRect/>
        </a:stretch>
      </xdr:blipFill>
      <xdr:spPr>
        <a:xfrm>
          <a:off x="19335750" y="1943100"/>
          <a:ext cx="1238250" cy="361950"/>
        </a:xfrm>
        <a:prstGeom prst="rect">
          <a:avLst/>
        </a:prstGeom>
      </xdr:spPr>
    </xdr:pic>
    <xdr:clientData/>
  </xdr:twoCellAnchor>
  <xdr:twoCellAnchor editAs="oneCell">
    <xdr:from>
      <xdr:col>6</xdr:col>
      <xdr:colOff>1790700</xdr:colOff>
      <xdr:row>10</xdr:row>
      <xdr:rowOff>28575</xdr:rowOff>
    </xdr:from>
    <xdr:to>
      <xdr:col>9</xdr:col>
      <xdr:colOff>1352550</xdr:colOff>
      <xdr:row>13</xdr:row>
      <xdr:rowOff>190500</xdr:rowOff>
    </xdr:to>
    <xdr:pic>
      <xdr:nvPicPr>
        <xdr:cNvPr id="2" name="Image 1">
          <a:extLst>
            <a:ext uri="{FF2B5EF4-FFF2-40B4-BE49-F238E27FC236}">
              <a16:creationId xmlns:a16="http://schemas.microsoft.com/office/drawing/2014/main" id="{57968365-EC3A-45DF-B037-B0FA86AE8C3F}"/>
            </a:ext>
            <a:ext uri="{147F2762-F138-4A5C-976F-8EAC2B608ADB}">
              <a16:predDERef xmlns:a16="http://schemas.microsoft.com/office/drawing/2014/main" pred="{A7640084-5AA8-7F7E-E2B9-C45878E3C1ED}"/>
            </a:ext>
          </a:extLst>
        </xdr:cNvPr>
        <xdr:cNvPicPr>
          <a:picLocks noChangeAspect="1"/>
        </xdr:cNvPicPr>
      </xdr:nvPicPr>
      <xdr:blipFill>
        <a:blip xmlns:r="http://schemas.openxmlformats.org/officeDocument/2006/relationships" r:embed="rId2"/>
        <a:srcRect b="53644"/>
        <a:stretch>
          <a:fillRect/>
        </a:stretch>
      </xdr:blipFill>
      <xdr:spPr>
        <a:xfrm>
          <a:off x="13411200" y="2638425"/>
          <a:ext cx="5867400" cy="73342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Guest User" id="{02E52B62-B1FB-48C7-92A0-239BF5515333}" userId="" providerId="Windows Live"/>
  <person displayName="Utilisateur invité" id="{4D9BE69F-A665-4781-85A1-D80CE12975BE}" userId="" providerId="Windows Live"/>
  <person displayName="Bénéwendé Arcus Marie ZOUNGRANA" id="{8B06D484-4323-44DE-8D2D-5F7F6535D9C7}" userId="647fc5cb643b48aa"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34CCCF9-88C6-4910-A0A0-DC5DDAD29876}" name="Table3" displayName="Table3" ref="G74:I76" totalsRowShown="0" headerRowDxfId="98" dataDxfId="97" tableBorderDxfId="96">
  <autoFilter ref="G74:I76" xr:uid="{C34CCCF9-88C6-4910-A0A0-DC5DDAD29876}"/>
  <tableColumns count="3">
    <tableColumn id="1" xr3:uid="{A11526A1-20BF-4057-B5EF-B05BA449FF99}" name="Average Weight (kg)" dataDxfId="95"/>
    <tableColumn id="2" xr3:uid="{6F6EE069-8FCE-4BE4-A8B8-7E5D69122C4E}" name="Number of Mangoes/year" dataDxfId="94">
      <calculatedColumnFormula>G66/G75</calculatedColumnFormula>
    </tableColumn>
    <tableColumn id="3" xr3:uid="{EA79AD40-0937-474A-B1D0-3EC19DBFC230}" name="Cost per Mango" dataDxfId="93">
      <calculatedColumnFormula>I61/H75</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673D65F-1692-4B6F-ACBD-B970F0C9618C}" name="Tableau1" displayName="Tableau1" ref="B15:F25" totalsRowShown="0" headerRowDxfId="92" dataDxfId="91" headerRowBorderDxfId="89" tableBorderDxfId="90" totalsRowBorderDxfId="88">
  <autoFilter ref="B15:F25" xr:uid="{F673D65F-1692-4B6F-ACBD-B970F0C9618C}"/>
  <tableColumns count="5">
    <tableColumn id="1" xr3:uid="{8BE80457-E83F-48BD-9CCA-34F89394B9F3}" name="Parameter" dataDxfId="87"/>
    <tableColumn id="2" xr3:uid="{1C3528C0-5FF9-45DC-BE8A-C51F967902CD}" name="Value" dataDxfId="86"/>
    <tableColumn id="3" xr3:uid="{F8A23DD8-6CC6-48B4-91D8-32BCDCBCB300}" name="Unit / Note" dataDxfId="85"/>
    <tableColumn id="4" xr3:uid="{4FFF6FA0-9254-4565-ADB5-4FEA8A1F385B}" name="Value (€)" dataDxfId="84"/>
    <tableColumn id="5" xr3:uid="{188E651A-9D49-4753-99B7-CBE8099DB3D4}" name="Source" dataDxfId="8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0DF9247-C442-4008-8C9C-B601C1DA7993}" name="Tableau6" displayName="Tableau6" ref="B33:H35" totalsRowShown="0" headerRowDxfId="82" dataDxfId="81" headerRowBorderDxfId="79" tableBorderDxfId="80" totalsRowBorderDxfId="78">
  <autoFilter ref="B33:H35" xr:uid="{20DF9247-C442-4008-8C9C-B601C1DA7993}"/>
  <tableColumns count="7">
    <tableColumn id="1" xr3:uid="{68047206-80E5-4650-A565-023A495C2360}" name="add_fan_power_kW" dataDxfId="77"/>
    <tableColumn id="2" xr3:uid="{01AC007E-9C18-46F4-A22C-F0F8FF294ED8}" name="sensor_cost_per_dryer_FCFA" dataDxfId="76"/>
    <tableColumn id="3" xr3:uid="{CC363441-85DE-48C5-A4AC-B5B61230797E}" name="gateway_cost_per_site_FCFA" dataDxfId="75"/>
    <tableColumn id="4" xr3:uid="{01A3C2E3-1051-4E37-A3D9-D1F8530640E2}" name="connectivity_monthly_per_dryer_FCFA" dataDxfId="74"/>
    <tableColumn id="5" xr3:uid="{32173AEA-A092-416F-9DD4-EF90A9AA4676}" name="cloud_subscription_annual_FCFA" dataDxfId="73"/>
    <tableColumn id="6" xr3:uid="{1034937C-A786-40F2-B881-1412CC9A8D4F}" name="installation_cost_per_dryer_FCFA" dataDxfId="72"/>
    <tableColumn id="7" xr3:uid="{AE40C67E-1259-473A-BA99-234FEE4AC873}" name="iot_capex_lifetime_years" dataDxfId="7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AA4CC51-54F7-442A-A21D-8A7B36E49483}" name="Tableau210" displayName="Tableau210" ref="B83:O93" totalsRowShown="0" headerRowDxfId="70" dataDxfId="69" headerRowBorderDxfId="67" tableBorderDxfId="68" totalsRowBorderDxfId="66">
  <autoFilter ref="B83:O93" xr:uid="{0AA4CC51-54F7-442A-A21D-8A7B36E49483}"/>
  <tableColumns count="14">
    <tableColumn id="1" xr3:uid="{6B046B57-04B0-4B5A-9EFC-103B6BA839C5}" name="Scenario_ha" dataDxfId="65"/>
    <tableColumn id="2" xr3:uid="{86A0A0E6-8229-44DB-ABAD-D1D0A9D9A2A9}" name="Year" dataDxfId="64"/>
    <tableColumn id="3" xr3:uid="{5E2FB477-0BC1-4590-A954-0716F4656978}" name="Usable_fresh_kg" dataDxfId="63">
      <calculatedColumnFormula>Tableau210[[#This Row],[Scenario_ha]]*D49</calculatedColumnFormula>
    </tableColumn>
    <tableColumn id="4" xr3:uid="{C7555D94-4A7A-4D4F-8011-FCB092DF0515}" name="Dried_kg" dataDxfId="62">
      <calculatedColumnFormula>Tableau210[[#This Row],[Usable_fresh_kg]]*0.1</calculatedColumnFormula>
    </tableColumn>
    <tableColumn id="5" xr3:uid="{DEDEA4C1-8DAC-46E1-87A4-6584CBEC443B}" name="Export_price_FCFA" dataDxfId="61">
      <calculatedColumnFormula>Tableau210[[#This Row],[Dried_kg]]*C20</calculatedColumnFormula>
    </tableColumn>
    <tableColumn id="6" xr3:uid="{63D57143-1A8E-420D-A85B-A5667DB2BB80}" name="Unit_cost_FCFA_per_kg" dataDxfId="60"/>
    <tableColumn id="7" xr3:uid="{704A430D-0C19-4B24-9957-2C5429A2A0E5}" name="Cost_yearly_dried_mango_FCFA" dataDxfId="59">
      <calculatedColumnFormula>Tableau210[[#This Row],[Unit_cost_FCFA_per_kg]]*Tableau210[[#This Row],[Dried_kg]]</calculatedColumnFormula>
    </tableColumn>
    <tableColumn id="9" xr3:uid="{4604DA90-B0A9-46F3-8605-DE5512622481}" name="Cycles" dataDxfId="58"/>
    <tableColumn id="10" xr3:uid="{ABCA85B1-5C10-4F1A-ADB5-DE25B8379F48}" name="Energy_cost_FCFA" dataDxfId="57"/>
    <tableColumn id="12" xr3:uid="{53FC41C9-0086-46F6-BBC7-E87F58D0C0ED}" name="Maintenance_FCFA" dataDxfId="56"/>
    <tableColumn id="13" xr3:uid="{4B90BEBA-E9FC-49C9-9744-6704DB7343F6}" name="Total_costs_all_FCFA" dataDxfId="55">
      <calculatedColumnFormula>Tableau210[[#This Row],[Cost_yearly_dried_mango_FCFA]]+Tableau210[[#This Row],[Export_price_FCFA]]</calculatedColumnFormula>
    </tableColumn>
    <tableColumn id="15" xr3:uid="{8ECDB81B-1D61-43F2-9E9C-FC376D5B400E}" name="Net_profit_FCFA" dataDxfId="54">
      <calculatedColumnFormula>Tableau210[[#This Row],[Cost_yearly_dried_mango_FCFA]]-Tableau210[[#This Row],[Energy_cost_FCFA]]-Tableau210[[#This Row],[Maintenance_FCFA]]</calculatedColumnFormula>
    </tableColumn>
    <tableColumn id="21" xr3:uid="{AD74E8CA-D2AE-4366-8389-F6A24D274722}" name="Inventory_turnover_per_year" dataDxfId="53"/>
    <tableColumn id="24" xr3:uid="{21E1736F-0FA3-4EA4-8252-8FDBD2E802BD}" name="Dryers_used" dataDxfId="5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1C1784E-340C-4088-A06B-03B844656FC0}" name="Tableau13" displayName="Tableau13" ref="B108:O118" totalsRowShown="0" headerRowDxfId="51" dataDxfId="50" headerRowBorderDxfId="48" tableBorderDxfId="49" totalsRowBorderDxfId="47">
  <autoFilter ref="B108:O118" xr:uid="{E1C1784E-340C-4088-A06B-03B844656FC0}"/>
  <tableColumns count="14">
    <tableColumn id="1" xr3:uid="{90307E68-6720-4CE6-96CF-397A98E0CA46}" name="Scenario_ha" dataDxfId="46"/>
    <tableColumn id="2" xr3:uid="{37E8A9D0-3AA7-4A37-9E90-8894566A45EA}" name="Year" dataDxfId="45"/>
    <tableColumn id="3" xr3:uid="{BB923A19-5827-4E92-9AEC-940A594E87A6}" name="Usable_fresh_kg" dataDxfId="44"/>
    <tableColumn id="4" xr3:uid="{CC1078E9-D65A-40A0-9E1B-586F9F95B31F}" name="Dried_kg" dataDxfId="43"/>
    <tableColumn id="5" xr3:uid="{B37C0443-F78C-40E5-AB55-3F419EA1AB23}" name="Export_price_FCFA" dataDxfId="42"/>
    <tableColumn id="6" xr3:uid="{6B40B19C-324A-4554-B8B1-0DB6282D67AA}" name="Unit_cost_FCFA_per_kg" dataDxfId="41"/>
    <tableColumn id="7" xr3:uid="{D46D2F1E-17AD-48C6-9CCE-AEDE25FF5CB4}" name="Cost_yearly_dried_mango_FCFA" dataDxfId="40"/>
    <tableColumn id="8" xr3:uid="{2DCF04B8-8381-433F-AC1E-8BE92D02DD1C}" name="Cycles" dataDxfId="39"/>
    <tableColumn id="9" xr3:uid="{82E94664-5B99-4972-8C82-60FED7483246}" name="Energy_cost_FCFA" dataDxfId="38"/>
    <tableColumn id="10" xr3:uid="{17E49F4E-DCE1-4414-9F57-4DCD2CD6C06D}" name="Maintenance_FCFA" dataDxfId="37"/>
    <tableColumn id="11" xr3:uid="{F6200267-58BF-45D5-8F58-94AC1BCC970D}" name="Total_costs_all_FCFA" dataDxfId="36"/>
    <tableColumn id="12" xr3:uid="{A68265A8-4D25-4863-AE4B-17C0991C1498}" name="Net_profit_FCFA" dataDxfId="35"/>
    <tableColumn id="13" xr3:uid="{09E2A683-AE9B-4DA2-8DC2-98A0A3A48E31}" name="Inventory_turnover_per_year" dataDxfId="34"/>
    <tableColumn id="14" xr3:uid="{3A271590-BBA6-4A0D-AF81-2197407690EB}" name="Dryers_used" dataDxfId="33"/>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7A24E90-4B35-4172-8714-BE48970D73EB}" name="Table173" displayName="Table173" ref="B44:I46" insertRowShift="1" totalsRowShown="0" headerRowDxfId="32" dataDxfId="31" headerRowBorderDxfId="29" tableBorderDxfId="30" totalsRowBorderDxfId="28">
  <autoFilter ref="B44:I46" xr:uid="{B7A24E90-4B35-4172-8714-BE48970D73EB}"/>
  <tableColumns count="8">
    <tableColumn id="1" xr3:uid="{EF0FF7BE-557D-4793-8106-1DFF55DAEE01}" name="Scenario_ha" dataDxfId="27"/>
    <tableColumn id="2" xr3:uid="{6EF02711-EA12-4987-BA22-A4682733E8E9}" name="Weekly_dried_avg_kg" dataDxfId="26"/>
    <tableColumn id="3" xr3:uid="{5BF7E88B-A234-4E2A-ACFB-F21FEB0DFCF3}" name="Weekly_revenue_avg_FCFA" dataDxfId="25"/>
    <tableColumn id="4" xr3:uid="{E00E4333-BDF7-4FB2-A6F7-70B8BE59F811}" name="Weekly_prod_cost_avg_FCFA" dataDxfId="24"/>
    <tableColumn id="5" xr3:uid="{F05D14A7-CE66-4175-9574-DE307104F9D5}" name="Weekly_energy_avg_FCFA" dataDxfId="23"/>
    <tableColumn id="6" xr3:uid="{4E5EDE94-C264-418E-870C-AF7211A9F204}" name="Weekly_maintenance_avg_FCFA" dataDxfId="22"/>
    <tableColumn id="7" xr3:uid="{7A83DA40-1778-41F3-A0CC-834D6CAB1F47}" name="Weekly_profit_avg_FCFA" dataDxfId="21"/>
    <tableColumn id="8" xr3:uid="{78D80CC9-C315-431D-B5C3-FD784E20C0DA}" name="Weekly_profit_avg_EUR" dataDxfId="2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8169AB2-5146-47F6-8327-B7C69C09CBA6}" name="Table1736" displayName="Table1736" ref="B61:I64" insertRowShift="1" totalsRowShown="0" headerRowDxfId="19" dataDxfId="18" headerRowBorderDxfId="16" tableBorderDxfId="17" totalsRowBorderDxfId="15">
  <autoFilter ref="B61:I64" xr:uid="{38169AB2-5146-47F6-8327-B7C69C09CBA6}"/>
  <tableColumns count="8">
    <tableColumn id="1" xr3:uid="{85BB3C4F-C9AA-44C6-BC68-DF86BA1F5AF2}" name="Scenario_ha" dataDxfId="14"/>
    <tableColumn id="2" xr3:uid="{D9F49386-F9B1-48FE-8192-CA6BBF19ED80}" name="Monthly_dried_avg_kg" dataDxfId="13"/>
    <tableColumn id="3" xr3:uid="{20DDA0F9-8F17-48B2-BDDF-314C26E526AE}" name="Monthly_revenue_avg_FCFA" dataDxfId="12"/>
    <tableColumn id="4" xr3:uid="{A375DEE5-B80D-41FF-8174-89E04B728411}" name="Monthly_prod_cost_avg_FCFA" dataDxfId="11"/>
    <tableColumn id="5" xr3:uid="{357FAE2B-3B7D-4147-8322-1C31D00A706F}" name="Monthly_energy_avg_FCFA" dataDxfId="10"/>
    <tableColumn id="6" xr3:uid="{4DE1BD15-312A-48F7-BC48-BE2D4B248A72}" name="Monthly_maintenance_avg_FCFA" dataDxfId="9"/>
    <tableColumn id="7" xr3:uid="{0288B66D-3C1C-473D-8CF0-24D12F6E734B}" name="Monthly_profit_avg_FCFA" dataDxfId="8"/>
    <tableColumn id="8" xr3:uid="{EE20216F-7D23-4309-9AE8-D3BB8EA6D53D}" name="Monthly_profit_avg_EUR" dataDxfId="7"/>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3EC5DC8-78D7-4929-B68B-0E8310F32671}" name="Tableau15" displayName="Tableau15" ref="B17:F23" totalsRowShown="0" headerRowDxfId="6" dataDxfId="5">
  <autoFilter ref="B17:F23" xr:uid="{B3EC5DC8-78D7-4929-B68B-0E8310F32671}"/>
  <tableColumns count="5">
    <tableColumn id="1" xr3:uid="{E2845ECC-55AD-4DAB-A5F7-17C2D93905D7}" name="Indicator" dataDxfId="4"/>
    <tableColumn id="2" xr3:uid="{4769DDBA-EA93-4910-9161-323A34C3BF12}" name="Without Voice Translation App (per year)" dataDxfId="3"/>
    <tableColumn id="3" xr3:uid="{4114FEB4-0DC0-47B8-871A-8335BA194647}" name="With Voice Translation App (per year)" dataDxfId="2"/>
    <tableColumn id="4" xr3:uid="{FC569C57-537B-4138-AE9C-575A34137988}" name="Gain due to No-Reesa App" dataDxfId="1"/>
    <tableColumn id="5" xr3:uid="{58427727-92CC-482E-9A8D-D45BF64114BD}" name="Impact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10-23T00:24:05.71" personId="{8B06D484-4323-44DE-8D2D-5F7F6535D9C7}" id="{B5CA61C2-7C5C-4BD6-B04E-23162FE0E237}">
    <text>To improve the irrigation system, we can use smart IoT control to monitor soil moisture and automate irrigation scheduling, include a remote monitoring dashboard in the system for performance tracking like PV output, water levels, etc, add water recycling and filtration units for better sustainability</text>
  </threadedComment>
  <threadedComment ref="E24" dT="2025-10-01T10:13:39.54" personId="{02E52B62-B1FB-48C7-92A0-239BF5515333}" id="{87341C9E-B9DB-46D3-A2AE-F69101F97733}">
    <text xml:space="preserve">where does 100 comes from? report, study, guess? </text>
  </threadedComment>
  <threadedComment ref="E24" dT="2025-10-01T10:19:49.17" personId="{02E52B62-B1FB-48C7-92A0-239BF5515333}" id="{22C3CF43-16EF-46A0-BEDF-D97A1B3D4DF7}" parentId="{87341C9E-B9DB-46D3-A2AE-F69101F97733}">
    <text>this depends on how big is the spacing between the trees as well. could you add this parameter to the input column</text>
  </threadedComment>
  <threadedComment ref="E24" dT="2025-10-07T10:46:43.45" personId="{8B06D484-4323-44DE-8D2D-5F7F6535D9C7}" id="{DBCEF768-585F-407B-BA3D-A57B66A6F764}" parentId="{87341C9E-B9DB-46D3-A2AE-F69101F97733}">
    <text>100 is the estimated number of trees in 1 hectare with a space of 10 m between the trees. You can see the details in the input parameters and definitions</text>
  </threadedComment>
  <threadedComment ref="F24" dT="2025-10-01T10:14:55.93" personId="{02E52B62-B1FB-48C7-92A0-239BF5515333}" id="{A2EC88CB-F0FA-4B5A-87BE-4EFA3FD8B23F}">
    <text>please make the formula easy to explain e.g. what is 1000? what is 100? you could make a separate column for  the input parameters</text>
  </threadedComment>
  <threadedComment ref="F24" dT="2025-10-07T11:55:40.96" personId="{8B06D484-4323-44DE-8D2D-5F7F6535D9C7}" id="{C8716488-349A-44CD-879A-572972ADD140}" parentId="{A2EC88CB-F0FA-4B5A-87BE-4EFA3FD8B23F}">
    <text>You can find the explanation in the input parameters and definition table</text>
  </threadedComment>
  <threadedComment ref="G24" dT="2025-10-01T10:23:03.71" personId="{02E52B62-B1FB-48C7-92A0-239BF5515333}" id="{E19C23D8-BDDB-4941-BC67-7D4382D1D427}">
    <text>does the tree age play a role? e.g. young trees vs mature trees</text>
  </threadedComment>
  <threadedComment ref="G24" dT="2025-10-01T10:24:11.26" personId="{02E52B62-B1FB-48C7-92A0-239BF5515333}" id="{3C3F22B3-02E3-4580-8582-783A00B8BE06}" parentId="{E19C23D8-BDDB-4941-BC67-7D4382D1D427}">
    <text>does this number applies to all year long and all climate conditions e.g. in rainy season the number could be low, ..etc.</text>
  </threadedComment>
  <threadedComment ref="G24" dT="2025-10-07T10:27:59.68" personId="{8B06D484-4323-44DE-8D2D-5F7F6535D9C7}" id="{86B9DC09-37FD-4C14-884E-1378A64F796B}" parentId="{E19C23D8-BDDB-4941-BC67-7D4382D1D427}">
    <text>this is for mature mango trees in dry season</text>
  </threadedComment>
  <threadedComment ref="H24" dT="2025-10-01T10:15:47.06" personId="{02E52B62-B1FB-48C7-92A0-239BF5515333}" id="{E63A8420-42E4-475E-9B92-4E143EEB8E76}">
    <text>what is 5? please explain as suggested with input column</text>
  </threadedComment>
  <threadedComment ref="H24" dT="2025-10-07T10:29:05.82" personId="{8B06D484-4323-44DE-8D2D-5F7F6535D9C7}" id="{36E63635-DF97-449D-9327-8F1F4B8850FF}" parentId="{E63A8420-42E4-475E-9B92-4E143EEB8E76}">
    <text>it represents the daily irrigation duration</text>
  </threadedComment>
  <threadedComment ref="I24" dT="2025-10-07T10:50:18.97" personId="{8B06D484-4323-44DE-8D2D-5F7F6535D9C7}" id="{19629B0B-C54E-4B3C-8465-8E35837978E0}">
    <text>60 is the number of minutes in 1 hour</text>
  </threadedComment>
  <threadedComment ref="N24" dT="2025-10-01T10:28:03.27" personId="{02E52B62-B1FB-48C7-92A0-239BF5515333}" id="{2A25DE7A-0856-4475-AD35-68E9FCF33CAC}">
    <text>does this calculation include any buffer to compensate for losses e.g. efficiency, variations ...etc.?please consider that and adjust your calculations accordingly</text>
  </threadedComment>
  <threadedComment ref="N24" dT="2025-10-07T11:08:37.68" personId="{8B06D484-4323-44DE-8D2D-5F7F6535D9C7}" id="{13B85FF6-B839-4B20-B12D-71300884BB82}" parentId="{2A25DE7A-0856-4475-AD35-68E9FCF33CAC}">
    <text>yes, it does include any buffer for compensation in case of losses</text>
  </threadedComment>
  <threadedComment ref="J28" dT="2025-10-09T09:31:36.42" personId="{8B06D484-4323-44DE-8D2D-5F7F6535D9C7}" id="{892C97E1-21AA-4D14-AE88-EC5916786E41}">
    <text>Some of the cost are local cost. For the smart add-on, drip irrigation, filtration+MPPT costs, it has been estimated basing on the international market</text>
  </threadedComment>
  <threadedComment ref="J30" dT="2025-10-01T10:28:31.27" personId="{02E52B62-B1FB-48C7-92A0-239BF5515333}" id="{4A14AA5F-08E0-4FCB-A3C9-8381563E4600}">
    <text>what is the capacity of the tank?</text>
  </threadedComment>
  <threadedComment ref="N30" dT="2025-10-01T10:29:39.91" personId="{02E52B62-B1FB-48C7-92A0-239BF5515333}" id="{CC67322F-66CC-4932-B3F8-6FFF15835BFE}">
    <text>did you consider any cheaper alternatives?</text>
  </threadedComment>
  <threadedComment ref="N30" dT="2025-10-07T11:25:23.00" personId="{8B06D484-4323-44DE-8D2D-5F7F6535D9C7}" id="{1E7D19D0-5954-4FFA-B68E-E73F5E123511}" parentId="{CC67322F-66CC-4932-B3F8-6FFF15835BFE}">
    <text>Yes I considered now</text>
  </threadedComment>
  <threadedComment ref="W30" dT="2025-10-17T09:24:45.78" personId="{8B06D484-4323-44DE-8D2D-5F7F6535D9C7}" id="{0509A75C-744A-4D34-A90C-256795441E77}">
    <text>100 represents the daily needs in terms of water per tree</text>
  </threadedComment>
  <threadedComment ref="S31" dT="2025-10-07T11:41:33.94" personId="{8B06D484-4323-44DE-8D2D-5F7F6535D9C7}" id="{73136E15-C0EE-4511-87AF-28D1D6E443C1}">
    <text>CAPEX (Capital Expenditure)</text>
  </threadedComment>
  <threadedComment ref="M32" dT="2025-10-01T10:30:02.52" personId="{02E52B62-B1FB-48C7-92A0-239BF5515333}" id="{76E52E48-D57E-45CC-8C24-B37A110B39FE}">
    <text>from which market? burkina faso, china, germany?</text>
  </threadedComment>
  <threadedComment ref="N36" dT="2025-10-01T10:31:23.38" personId="{02E52B62-B1FB-48C7-92A0-239BF5515333}" id="{1F6F246C-E630-4B82-BC73-079414E2AE0A}">
    <text>how much time do you think you can get this investment sum repaid back. payback period is short means a profitable project, if payback period is long it means less profitable project. make assumptions to calculate payback period</text>
  </threadedComment>
  <threadedComment ref="N36" dT="2025-10-09T07:52:16.74" personId="{8B06D484-4323-44DE-8D2D-5F7F6535D9C7}" id="{F64D0B68-A537-4D04-94BC-07A5811FAEBA}" parentId="{1F6F246C-E630-4B82-BC73-079414E2AE0A}">
    <text>You can see it on the calculation table</text>
  </threadedComment>
  <threadedComment ref="Q36" dT="2025-10-09T07:56:22.16" personId="{8B06D484-4323-44DE-8D2D-5F7F6535D9C7}" id="{D5590B21-3252-4B15-A613-BD2E41FDBFA8}">
    <text>replaced every 10 years; 2 replacement in total during the project lifetime</text>
  </threadedComment>
  <threadedComment ref="Q37" dT="2025-10-09T07:56:46.77" personId="{8B06D484-4323-44DE-8D2D-5F7F6535D9C7}" id="{CB6F7D8E-A003-43C3-86F6-5C1E11FFE1C1}">
    <text>replaced every 10 years; 2 replacement in total</text>
  </threadedComment>
  <threadedComment ref="Q38" dT="2025-10-09T07:57:46.32" personId="{8B06D484-4323-44DE-8D2D-5F7F6535D9C7}" id="{30737756-ECBA-4179-BDAF-FE843EB63C53}">
    <text>replaced every 10 years also; 2 replacement in total during the project lifetime</text>
  </threadedComment>
</ThreadedComments>
</file>

<file path=xl/threadedComments/threadedComment2.xml><?xml version="1.0" encoding="utf-8"?>
<ThreadedComments xmlns="http://schemas.microsoft.com/office/spreadsheetml/2018/threadedcomments" xmlns:x="http://schemas.openxmlformats.org/spreadsheetml/2006/main">
  <threadedComment ref="A2" dT="2025-10-01T16:40:23.36" personId="{02E52B62-B1FB-48C7-92A0-239BF5515333}" id="{3B5B4A5C-1540-4A5C-B265-7A9B69BF94B1}">
    <text>we might not need a ball mill for the mango but what we need are machines which can be used for cutting the mango</text>
  </threadedComment>
  <threadedComment ref="B3" dT="2025-10-01T16:12:24.43" personId="{02E52B62-B1FB-48C7-92A0-239BF5515333}" id="{55E8B360-440F-4231-87DA-16F19DBD6083}">
    <text>why are the numbers fluctuating?</text>
  </threadedComment>
  <threadedComment ref="B3" dT="2025-10-01T19:26:36.35" personId="{4D9BE69F-A665-4781-85A1-D80CE12975BE}" id="{9E348B6F-E012-4B4B-BC1F-B8327D4D5213}" parentId="{55E8B360-440F-4231-87DA-16F19DBD6083}">
    <text>The numbers rise and fall because in Burkina Faso there are periods when mango production is very high and when this period passes production also falls.</text>
  </threadedComment>
  <threadedComment ref="C3" dT="2025-10-01T16:38:11.50" personId="{02E52B62-B1FB-48C7-92A0-239BF5515333}" id="{DA61F77F-54E6-4B0E-9684-90D85F7012AC}">
    <text>how is this calculated?</text>
  </threadedComment>
  <threadedComment ref="C3" dT="2025-10-01T19:41:14.04" personId="{4D9BE69F-A665-4781-85A1-D80CE12975BE}" id="{33933C0F-616D-4969-810D-A8400C5E385E}" parentId="{DA61F77F-54E6-4B0E-9684-90D85F7012AC}">
    <text>The number is based on study showing that the waste generated is around 50% of the quantity of processed mangoes.</text>
  </threadedComment>
  <threadedComment ref="D3" dT="2025-10-01T16:38:36.75" personId="{02E52B62-B1FB-48C7-92A0-239BF5515333}" id="{5E36174B-72D2-4061-AA6B-C464FF877BA9}">
    <text>how is biogas calculated? is it assumed or based on study?</text>
  </threadedComment>
  <threadedComment ref="D3" dT="2025-10-01T19:31:15.51" personId="{4D9BE69F-A665-4781-85A1-D80CE12975BE}" id="{4AE72957-08E8-4678-9A75-1167E7647203}" parentId="{5E36174B-72D2-4061-AA6B-C464FF877BA9}">
    <text>The biogas is calculated by following this formula : 1 kg of mango waste gives 0.043 m³ of biogas. This formula is based on study from the net.</text>
  </threadedComment>
  <threadedComment ref="Q3" dT="2025-10-16T23:58:28.50" personId="{4D9BE69F-A665-4781-85A1-D80CE12975BE}" id="{825DA654-6A40-49AF-B694-1A3FC6FE8696}">
    <text>This annual output is from the plant sheet in the common excel</text>
  </threadedComment>
  <threadedComment ref="K4" dT="2025-10-01T19:31:50.07" personId="{4D9BE69F-A665-4781-85A1-D80CE12975BE}" id="{13DC0BDD-8FD5-44D4-980D-3FAC0AA6374D}">
    <text xml:space="preserve">This biogas volume was used to calculate biogas outputs for each month of the year.
</text>
  </threadedComment>
  <threadedComment ref="J10" dT="2025-11-05T18:01:55.78" personId="{4D9BE69F-A665-4781-85A1-D80CE12975BE}" id="{F175AF6E-155D-4863-833D-D392C61721FB}">
    <text>Suitable for a 2-hectare farm  
Daily average     3 kW × 5 h × 30 days     
 1 m³ ≈ 6 kWh  </text>
  </threadedComment>
  <threadedComment ref="N10" dT="2025-11-05T18:11:16.69" personId="{4D9BE69F-A665-4781-85A1-D80CE12975BE}" id="{4802152D-B483-4806-81E4-853604479D39}">
    <text>200–300 kg/hour1–2 hours/week sufficientSlicing &amp; DryingElectric/Solar Dehydrator50 kg/batch → 5 batches/weekMatches 
229 kg/week dried mango 
outputMilling to PowderHammer/Ball Mill50 kg/hour → ~2.5 hours/weekEfficient for 114.5 kg powder/week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C16" dT="2025-10-01T10:32:30.83" personId="{02E52B62-B1FB-48C7-92A0-239BF5515333}" id="{753BF6E2-4B3E-4436-9CF2-5A0882711F66}">
    <text>where is the source of this value, report? study? historical data? or assumption</text>
  </threadedComment>
  <threadedComment ref="C16" dT="2025-10-02T09:59:59.62" personId="{4D9BE69F-A665-4781-85A1-D80CE12975BE}" id="{B8900FCF-EFB8-4299-B571-70B968C1A91F}" parentId="{753BF6E2-4B3E-4436-9CF2-5A0882711F66}">
    <text>https://www.researchgate.net/publication/242642925_The_mango_tree_in_central_and_northern_Benin_Cultivar_inventory_yield_assessment_infested_stages_and_loss_due_to_fruit_flies_Diptera_Tephritidae</text>
  </threadedComment>
  <threadedComment ref="I16" dT="2025-10-01T10:32:30.83" personId="{02E52B62-B1FB-48C7-92A0-239BF5515333}" id="{9DCD46C4-20AA-4A19-9FC9-6EBAF2BD727D}">
    <text>where is the source of this value, report? study? historical data? or assumption</text>
  </threadedComment>
  <threadedComment ref="I16" dT="2025-10-02T09:59:59.62" personId="{4D9BE69F-A665-4781-85A1-D80CE12975BE}" id="{4BD0CC0A-ABC1-4469-9AB4-4CE1B24D3487}" parentId="{9DCD46C4-20AA-4A19-9FC9-6EBAF2BD727D}">
    <text>https://www.researchgate.net/publication/242642925_The_mango_tree_in_central_and_northern_Benin_Cultivar_inventory_yield_assessment_infested_stages_and_loss_due_to_fruit_flies_Diptera_Tephritidae</text>
  </threadedComment>
  <threadedComment ref="C17" dT="2025-10-01T10:32:56.28" personId="{02E52B62-B1FB-48C7-92A0-239BF5515333}" id="{C7EF18BD-B85D-4954-87E5-07E6AE76388A}">
    <text>what does recovery rate means?</text>
  </threadedComment>
  <threadedComment ref="C17" dT="2025-10-02T10:08:08.77" personId="{4D9BE69F-A665-4781-85A1-D80CE12975BE}" id="{ADCB1198-FBA6-48D9-9146-9A945824C105}" parentId="{C7EF18BD-B85D-4954-87E5-07E6AE76388A}">
    <text>The proportion of usable, good-quality product that remains after harvesting, handling, and processing compared to the total originally harvested.</text>
  </threadedComment>
  <threadedComment ref="I17" dT="2025-10-01T10:32:56.28" personId="{02E52B62-B1FB-48C7-92A0-239BF5515333}" id="{50444CC8-3A1A-4EB7-9A54-68F72F882D58}">
    <text>what does recovery rate means?</text>
  </threadedComment>
  <threadedComment ref="I17" dT="2025-10-02T10:08:08.77" personId="{4D9BE69F-A665-4781-85A1-D80CE12975BE}" id="{2D449900-D382-4EB0-BA58-4766E3FD155F}" parentId="{50444CC8-3A1A-4EB7-9A54-68F72F882D58}">
    <text>The proportion of usable, good-quality product that remains after harvesting, handling, and processing compared to the total originally harvested.</text>
  </threadedComment>
  <threadedComment ref="C18" dT="2025-10-01T10:34:15.94" personId="{02E52B62-B1FB-48C7-92A0-239BF5515333}" id="{D951C372-0506-4115-8AB7-F872A9CFC94B}">
    <text>I understood the term transformation ration but I didn't get 4? e.g. if I put 1 kg of fresh mango how much dried mango I get?</text>
  </threadedComment>
  <threadedComment ref="C18" dT="2025-10-07T17:08:00.98" personId="{4D9BE69F-A665-4781-85A1-D80CE12975BE}" id="{F6DDBF57-74FB-479A-8F6A-7F4BA8A6AEC8}" parentId="{D951C372-0506-4115-8AB7-F872A9CFC94B}">
    <text>I have added the link saying that It takes between 12 to 15 kg of fresh mangoes to produce 1 kg of dried fruit, although some estimates put the conversion rate closer to 10%. Then with 1 kg appying 10% outputs 0.1kg</text>
  </threadedComment>
  <threadedComment ref="I18" dT="2025-10-01T10:34:15.94" personId="{02E52B62-B1FB-48C7-92A0-239BF5515333}" id="{419161D0-89D9-40A4-9BBB-BDBD80D36272}">
    <text>I understood the term transformation ration but I didn't get 4? e.g. if I put 1 kg of fresh mango how much dried mango I get?</text>
  </threadedComment>
  <threadedComment ref="I18" dT="2025-10-07T17:08:00.98" personId="{4D9BE69F-A665-4781-85A1-D80CE12975BE}" id="{6DD46E79-372E-41DE-A730-B7F32EF28C29}" parentId="{419161D0-89D9-40A4-9BBB-BDBD80D36272}">
    <text>I have added the link saying that It takes between 12 to 15 kg of fresh mangoes to produce 1 kg of dried fruit, although some estimates put the conversion rate closer to 10%. Then with 1 kg appying 10% outputs 0.1kg</text>
  </threadedComment>
  <threadedComment ref="C20" dT="2025-10-01T10:35:07.16" personId="{02E52B62-B1FB-48C7-92A0-239BF5515333}" id="{8C26E72D-0395-4FCD-B593-447B3BF16F18}">
    <text>please indicate the source of the price is there a portal which tracks these information and publish them?</text>
  </threadedComment>
  <threadedComment ref="C20" dT="2025-10-08T12:13:48.87" personId="{4D9BE69F-A665-4781-85A1-D80CE12975BE}" id="{AA7E407A-6D85-456F-BFF1-9405A7CAE0B3}" parentId="{8C26E72D-0395-4FCD-B593-447B3BF16F18}">
    <text>Alright</text>
  </threadedComment>
  <threadedComment ref="I20" dT="2025-10-01T10:35:07.16" personId="{02E52B62-B1FB-48C7-92A0-239BF5515333}" id="{0AB6FBF4-C8E3-4369-A0FF-C50D8DD56783}">
    <text>please indicate the source of the price is there a portal which tracks these information and publish them?</text>
  </threadedComment>
  <threadedComment ref="I20" dT="2025-10-08T12:13:48.87" personId="{4D9BE69F-A665-4781-85A1-D80CE12975BE}" id="{EC2AE5A2-F180-4528-A79D-6738F5CF9422}" parentId="{0AB6FBF4-C8E3-4369-A0FF-C50D8DD56783}">
    <text>Alright</text>
  </threadedComment>
  <threadedComment ref="C22" dT="2025-10-01T10:35:33.38" personId="{02E52B62-B1FB-48C7-92A0-239BF5515333}" id="{06AD86B0-7E8C-4A63-8CBD-D8D0C8A8EF7A}">
    <text>what is meant by campaign here?</text>
  </threadedComment>
  <threadedComment ref="C22" dT="2025-10-07T19:39:42.51" personId="{4D9BE69F-A665-4781-85A1-D80CE12975BE}" id="{4CCF12DA-1869-4C42-A6A4-727571DDE811}" parentId="{06AD86B0-7E8C-4A63-8CBD-D8D0C8A8EF7A}">
    <text>It refers to the mango active harvesting season in Burkina.</text>
  </threadedComment>
  <threadedComment ref="I22" dT="2025-10-01T10:35:33.38" personId="{02E52B62-B1FB-48C7-92A0-239BF5515333}" id="{E7B8C9EB-DDF3-4510-8AAA-AEA5B9437ECA}">
    <text>what is meant by campaign here?</text>
  </threadedComment>
  <threadedComment ref="I22" dT="2025-10-07T19:39:42.51" personId="{4D9BE69F-A665-4781-85A1-D80CE12975BE}" id="{B6176318-3029-497D-85FC-993F5BCF3B58}" parentId="{E7B8C9EB-DDF3-4510-8AAA-AEA5B9437ECA}">
    <text>It refers to the mango active harvesting season in Burkina.</text>
  </threadedComment>
  <threadedComment ref="C24" dT="2025-10-01T10:36:12.27" personId="{02E52B62-B1FB-48C7-92A0-239BF5515333}" id="{8023BE6E-9434-439C-8570-AF29F0292DA8}">
    <text xml:space="preserve">make a calculation column in Euro values </text>
  </threadedComment>
  <threadedComment ref="C24" dT="2025-10-02T09:43:54.77" personId="{4D9BE69F-A665-4781-85A1-D80CE12975BE}" id="{A006808D-EE5B-4F91-A17C-8B02BDC629B2}" parentId="{8023BE6E-9434-439C-8570-AF29F0292DA8}">
    <text>Alright</text>
  </threadedComment>
  <threadedComment ref="I24" dT="2025-10-01T10:36:12.27" personId="{02E52B62-B1FB-48C7-92A0-239BF5515333}" id="{1AD6E32F-7AA8-4BE6-BE75-C49A729AB8D8}">
    <text xml:space="preserve">make a calculation column in Euro values </text>
  </threadedComment>
  <threadedComment ref="I24" dT="2025-10-02T09:43:54.77" personId="{4D9BE69F-A665-4781-85A1-D80CE12975BE}" id="{5FD1CBEB-01FB-4C7D-BA1A-2EE1E2B2385C}" parentId="{1AD6E32F-7AA8-4BE6-BE75-C49A729AB8D8}">
    <text>Alright</text>
  </threadedComment>
  <threadedComment ref="C25" dT="2025-10-01T11:07:19.77" personId="{02E52B62-B1FB-48C7-92A0-239BF5515333}" id="{125BEC1E-245A-4C9A-A0A9-4D2B90AD1CA7}">
    <text>I am wondering here how did you consider the 1 hectar area, or 3 hectar area, did you consider that 2.2. 2hectar farm could yield 10 ton mango every month and based on that the calculations are made</text>
  </threadedComment>
  <threadedComment ref="C25" dT="2025-10-02T09:40:27.00" personId="{4D9BE69F-A665-4781-85A1-D80CE12975BE}" id="{44724CF8-8E6D-435D-8F09-BB20EB165C1B}" parentId="{125BEC1E-245A-4C9A-A0A9-4D2B90AD1CA7}">
    <text>yes</text>
  </threadedComment>
  <threadedComment ref="C25" dT="2025-10-08T12:12:32.37" personId="{4D9BE69F-A665-4781-85A1-D80CE12975BE}" id="{581EB673-21B3-43B0-96D6-09C7A6F4A912}" parentId="{125BEC1E-245A-4C9A-A0A9-4D2B90AD1CA7}">
    <text>But i considered the fact that  1 hectar farm could yield 10 ton mango every year</text>
  </threadedComment>
  <threadedComment ref="I25" dT="2025-10-01T11:07:19.77" personId="{02E52B62-B1FB-48C7-92A0-239BF5515333}" id="{2B240BA4-DF59-4457-BA6E-EF535139A9C0}">
    <text>I am wondering here how did you consider the 1 hectar area, or 3 hectar area, did you consider that 2.2. 2hectar farm could yield 10 ton mango every month and based on that the calculations are made</text>
  </threadedComment>
  <threadedComment ref="I25" dT="2025-10-02T09:40:27.00" personId="{4D9BE69F-A665-4781-85A1-D80CE12975BE}" id="{561D1484-1CDA-4044-A610-3925365A3BAF}" parentId="{2B240BA4-DF59-4457-BA6E-EF535139A9C0}">
    <text>yes</text>
  </threadedComment>
  <threadedComment ref="I25" dT="2025-10-08T12:12:32.37" personId="{4D9BE69F-A665-4781-85A1-D80CE12975BE}" id="{85AF5EC5-5FB3-40DA-B9E5-3BA8E73AD335}" parentId="{2B240BA4-DF59-4457-BA6E-EF535139A9C0}">
    <text>But i considered the fact that  1 hectar farm could yield 10 ton mango every year</text>
  </threadedComment>
  <threadedComment ref="C26" dT="2025-10-01T11:08:38.21" personId="{02E52B62-B1FB-48C7-92A0-239BF5515333}" id="{F5972CDE-4248-415E-AF64-7D93634046F5}">
    <text>the selected size of the farm is the 2 hectar please do the calculatoins for that</text>
  </threadedComment>
  <threadedComment ref="C26" dT="2025-10-02T09:38:58.49" personId="{4D9BE69F-A665-4781-85A1-D80CE12975BE}" id="{1B868EBC-42DC-4C3B-BDF2-AB006DD434EB}" parentId="{F5972CDE-4248-415E-AF64-7D93634046F5}">
    <text>I thought we should use the last cohort findings.</text>
  </threadedComment>
  <threadedComment ref="B83" dT="2025-10-01T11:11:38.18" personId="{02E52B62-B1FB-48C7-92A0-239BF5515333}" id="{B24F0E4A-1782-4739-8599-C50F0D4C0E24}">
    <text>is there a calculation for 2 hectar?</text>
  </threadedComment>
  <threadedComment ref="B83" dT="2025-10-02T10:17:28.86" personId="{4D9BE69F-A665-4781-85A1-D80CE12975BE}" id="{37AFBEB7-3363-437F-AD10-7793D5D34752}" parentId="{B24F0E4A-1782-4739-8599-C50F0D4C0E24}">
    <text>I will include it.</text>
  </threadedComment>
  <threadedComment ref="D84" dT="2025-10-01T11:16:21.55" personId="{02E52B62-B1FB-48C7-92A0-239BF5515333}" id="{49BAD0B2-8887-4A5E-90C8-1F2C46A611EA}">
    <text xml:space="preserve">what is the source of this calculation?
</text>
  </threadedComment>
  <threadedComment ref="D84" dT="2025-10-02T10:23:37.00" personId="{4D9BE69F-A665-4781-85A1-D80CE12975BE}" id="{1A806684-2A50-4AC3-873D-F1D779C25CB8}" parentId="{49BAD0B2-8887-4A5E-90C8-1F2C46A611EA}">
    <text>Over 10000 kg per year 8000 kg is usable can pass through the drying process regarding the  recovery rate.</text>
  </threadedComment>
  <threadedComment ref="E84" dT="2025-10-01T11:16:37.72" personId="{02E52B62-B1FB-48C7-92A0-239BF5515333}" id="{F541040C-BEE0-41F7-A593-2E9D0DF678BE}">
    <text>how is this calculation made?</text>
  </threadedComment>
  <threadedComment ref="E84" dT="2025-10-02T09:33:49.25" personId="{4D9BE69F-A665-4781-85A1-D80CE12975BE}" id="{F2472D38-4B72-4044-B128-8E509FD706AE}" parentId="{F541040C-BEE0-41F7-A593-2E9D0DF678BE}">
    <text>I made a different file mentionning the formulas used accessible from the my homepage. I will ensure to include them into the excel sheet for easier understanding.</text>
  </threadedComment>
  <threadedComment ref="F84" dT="2025-10-01T11:18:47.45" personId="{02E52B62-B1FB-48C7-92A0-239BF5515333}" id="{C87ABDE0-E7AD-4415-B3C2-3E9FBAD8B851}">
    <text>why is this column increasing? is the price increasing per time?</text>
  </threadedComment>
  <threadedComment ref="F84" dT="2025-10-08T13:57:00.27" personId="{4D9BE69F-A665-4781-85A1-D80CE12975BE}" id="{6388A5A2-84E4-48D4-BC11-9EA9C172F915}" parentId="{C87ABDE0-E7AD-4415-B3C2-3E9FBAD8B851}">
    <text>I sincerely apologize,this was a mistake.</text>
  </threadedComment>
  <threadedComment ref="H84" dT="2025-10-01T11:20:43.34" personId="{02E52B62-B1FB-48C7-92A0-239BF5515333}" id="{494C4857-ABBC-4C45-8BD1-2C6D1D43D130}">
    <text>how is this value obtained? please use the formula mode in Excel e.g. =F46+E46*D47</text>
  </threadedComment>
  <threadedComment ref="H84" dT="2025-10-09T02:37:26.83" personId="{4D9BE69F-A665-4781-85A1-D80CE12975BE}" id="{C9D75337-9225-4595-A24C-AEE9A1EE966B}" parentId="{494C4857-ABBC-4C45-8BD1-2C6D1D43D130}">
    <text>I added it</text>
  </threadedComment>
</ThreadedComments>
</file>

<file path=xl/threadedComments/threadedComment4.xml><?xml version="1.0" encoding="utf-8"?>
<ThreadedComments xmlns="http://schemas.microsoft.com/office/spreadsheetml/2018/threadedcomments" xmlns:x="http://schemas.openxmlformats.org/spreadsheetml/2006/main">
  <threadedComment ref="C4" dT="2025-10-01T16:07:44.22" personId="{02E52B62-B1FB-48C7-92A0-239BF5515333}" id="{2057BC50-2FB4-4737-A9F7-799BCFC0BEE7}">
    <text>is this a small pump? would it be enough for the farm?</text>
  </threadedComment>
  <threadedComment ref="C5" dT="2025-10-01T16:08:05.67" personId="{02E52B62-B1FB-48C7-92A0-239BF5515333}" id="{C6353A66-E392-49DB-BFDF-8484511A7CC8}">
    <text>why did you assume that the pump is needed only for 4 hours?</text>
  </threadedComment>
  <threadedComment ref="B8" dT="2025-10-01T16:08:23.67" personId="{02E52B62-B1FB-48C7-92A0-239BF5515333}" id="{FD2D9EAE-BDCF-46E7-B61F-ABFAA18D7E3A}">
    <text>what is meant by Misc??</text>
  </threadedComment>
  <threadedComment ref="B12" dT="2025-10-01T16:08:52.58" personId="{02E52B62-B1FB-48C7-92A0-239BF5515333}" id="{FA25FB5E-137C-4583-81C6-699DC5C8F135}">
    <text>what does PSH stands for? could you explain?</text>
  </threadedComment>
  <threadedComment ref="B15" dT="2025-10-01T16:09:38.99" personId="{02E52B62-B1FB-48C7-92A0-239BF5515333}" id="{976A7DD3-3766-4FAD-8D8E-E1D7EB52E343}">
    <text>what is meant by Derate?</text>
  </threadedComment>
  <threadedComment ref="B25" dT="2025-10-01T16:10:56.33" personId="{02E52B62-B1FB-48C7-92A0-239BF5515333}" id="{8A2FF993-3F77-4D6C-831C-0BC82BCA3533}">
    <text>please add the costs calculations</text>
  </threadedComment>
</ThreadedComments>
</file>

<file path=xl/worksheets/_rels/sheet2.xml.rels><?xml version="1.0" encoding="UTF-8" standalone="yes"?>
<Relationships xmlns="http://schemas.openxmlformats.org/package/2006/relationships"><Relationship Id="rId8" Type="http://schemas.openxmlformats.org/officeDocument/2006/relationships/hyperlink" Target="https://www.jains.com/Company/news/blog/HOWMUCHWATERDOESMYCROPNEEDPart2PerennialCrops1Mango.htm" TargetMode="External"/><Relationship Id="rId13" Type="http://schemas.openxmlformats.org/officeDocument/2006/relationships/hyperlink" Target="https://agritrop.cirad.fr/573091/1/document_573091.pdf" TargetMode="External"/><Relationship Id="rId3" Type="http://schemas.openxmlformats.org/officeDocument/2006/relationships/hyperlink" Target="https://www.jains.com/Company/news/blog/HOWMUCHWATERDOESMYCROPNEEDPart2PerennialCrops1Mango.htm" TargetMode="External"/><Relationship Id="rId7" Type="http://schemas.openxmlformats.org/officeDocument/2006/relationships/hyperlink" Target="https://www.jains.com/Company/news/blog/HOWMUCHWATERDOESMYCROPNEEDPart2PerennialCrops1Mango.htm" TargetMode="External"/><Relationship Id="rId12" Type="http://schemas.openxmlformats.org/officeDocument/2006/relationships/hyperlink" Target="https://openknowledge.fao.org/server/api/core/bitstreams/849d2872-9429-46dd-a919-a9f99c197031/content" TargetMode="External"/><Relationship Id="rId2" Type="http://schemas.openxmlformats.org/officeDocument/2006/relationships/hyperlink" Target="https://www.jains.com/Company/news/blog/HOWMUCHWATERDOESMYCROPNEEDPart2PerennialCrops1Mango.htm" TargetMode="External"/><Relationship Id="rId16" Type="http://schemas.openxmlformats.org/officeDocument/2006/relationships/table" Target="../tables/table1.xml"/><Relationship Id="rId1" Type="http://schemas.openxmlformats.org/officeDocument/2006/relationships/hyperlink" Target="https://wikifarmer.com/library/en/article/mango-yield-harvest-and-post-harvest-handling" TargetMode="External"/><Relationship Id="rId6" Type="http://schemas.openxmlformats.org/officeDocument/2006/relationships/hyperlink" Target="https://wikifarmer.com/library/en/article/mango-yield-harvest-and-post-harvest-handling" TargetMode="External"/><Relationship Id="rId11" Type="http://schemas.openxmlformats.org/officeDocument/2006/relationships/hyperlink" Target="https://www.industry.mangoes.net.au/cmsb/media/6-bpr-final_choosing-tree-spacing_upload.pdf" TargetMode="External"/><Relationship Id="rId5" Type="http://schemas.openxmlformats.org/officeDocument/2006/relationships/hyperlink" Target="https://resources.colead.link/en/system/files/file_fields/2023/10/04/02-driedmangostudyweb.pdf" TargetMode="External"/><Relationship Id="rId15" Type="http://schemas.openxmlformats.org/officeDocument/2006/relationships/drawing" Target="../drawings/drawing1.xml"/><Relationship Id="rId10" Type="http://schemas.openxmlformats.org/officeDocument/2006/relationships/hyperlink" Target="https://iufost.org/iufostftp/Guide%20to%20Drying-Part1.pdf" TargetMode="External"/><Relationship Id="rId4" Type="http://schemas.openxmlformats.org/officeDocument/2006/relationships/hyperlink" Target="https://yearbook.mango.co.za/wp-content/uploads/2024/10/Pg-34-39-Tree-spacing-trends-and-options-for-yield-improvement-in-mango.pdf" TargetMode="External"/><Relationship Id="rId9" Type="http://schemas.openxmlformats.org/officeDocument/2006/relationships/hyperlink" Target="https://www.cbi.eu/market-information/processed-fruit-vegetables-edible-nuts/dried-mango/market-potential" TargetMode="External"/><Relationship Id="rId14" Type="http://schemas.openxmlformats.org/officeDocument/2006/relationships/hyperlink" Target="https://resources.colead.link/en/system/files/file_fields/2023/10/04/02-driedmangostudyweb.pdf" TargetMode="Externa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8" Type="http://schemas.openxmlformats.org/officeDocument/2006/relationships/hyperlink" Target="https://www.pseau.org/outils/ouvrages/2ie_actes_de_la_conference_biocarburants_bioenergies_ouagadougou_2013_2013.pdf" TargetMode="External"/><Relationship Id="rId13" Type="http://schemas.openxmlformats.org/officeDocument/2006/relationships/table" Target="../tables/table4.xml"/><Relationship Id="rId18" Type="http://schemas.microsoft.com/office/2017/10/relationships/threadedComment" Target="../threadedComments/threadedComment3.xml"/><Relationship Id="rId3" Type="http://schemas.openxmlformats.org/officeDocument/2006/relationships/hyperlink" Target="https://www.researchgate.net/publication/337149963_POSTHARVEST_LOSSES_OF_MANGOES_AT_DIFFERENT_STAGES_FROM_HARVESTING_TO_CONSUMPTION" TargetMode="External"/><Relationship Id="rId7" Type="http://schemas.openxmlformats.org/officeDocument/2006/relationships/hyperlink" Target="https://eservices.colead.link/en/system/files/file_fields/2024/01/17/sectorstudymangofileengweb.pdfhttps:/eservices.colead.link/en/system/files/file_fields/2024/01/17/sectorstudymangofileengweb.pdf" TargetMode="External"/><Relationship Id="rId12" Type="http://schemas.openxmlformats.org/officeDocument/2006/relationships/table" Target="../tables/table3.xml"/><Relationship Id="rId17" Type="http://schemas.openxmlformats.org/officeDocument/2006/relationships/comments" Target="../comments3.xml"/><Relationship Id="rId2" Type="http://schemas.openxmlformats.org/officeDocument/2006/relationships/hyperlink" Target="https://www.cbi.eu/market-information/processed-fruit-vegetables-edible-nuts/dried-mango/market-potential" TargetMode="External"/><Relationship Id="rId16" Type="http://schemas.openxmlformats.org/officeDocument/2006/relationships/table" Target="../tables/table7.xml"/><Relationship Id="rId1" Type="http://schemas.openxmlformats.org/officeDocument/2006/relationships/hyperlink" Target="https://www.journalijar.com/article/46868/potential-availability-of-mango-by-products-in-the-bobo-dioulasso-and-orodara-areas-of-burkina-faso%3A-assessment-of-the-quantities-of-mango-by-products-and-mango-feed-producible-for-ruminants/" TargetMode="External"/><Relationship Id="rId6" Type="http://schemas.openxmlformats.org/officeDocument/2006/relationships/hyperlink" Target="https://thaiscience.info/Journals/Article/SNRU/10997761.pdf" TargetMode="External"/><Relationship Id="rId11" Type="http://schemas.openxmlformats.org/officeDocument/2006/relationships/table" Target="../tables/table2.xml"/><Relationship Id="rId5" Type="http://schemas.openxmlformats.org/officeDocument/2006/relationships/hyperlink" Target="https://www.researchgate.net/publication/242642925_The_mango_tree_in_central_and_northern_Benin_Cultivar_inventory_yield_assessment_infested_stages_and_loss_due_to_fruit_flies_Diptera_Tephritidae" TargetMode="External"/><Relationship Id="rId15" Type="http://schemas.openxmlformats.org/officeDocument/2006/relationships/table" Target="../tables/table6.xml"/><Relationship Id="rId10" Type="http://schemas.openxmlformats.org/officeDocument/2006/relationships/vmlDrawing" Target="../drawings/vmlDrawing3.vml"/><Relationship Id="rId4" Type="http://schemas.openxmlformats.org/officeDocument/2006/relationships/hyperlink" Target="https://www.gebana.com/eu-en/dried-fruits-mangos-amelie-bio-burkina-faso-quantity" TargetMode="External"/><Relationship Id="rId9" Type="http://schemas.openxmlformats.org/officeDocument/2006/relationships/drawing" Target="../drawings/drawing2.xml"/><Relationship Id="rId14" Type="http://schemas.openxmlformats.org/officeDocument/2006/relationships/table" Target="../tables/table5.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40"/>
  <sheetViews>
    <sheetView workbookViewId="0">
      <selection activeCell="E18" sqref="E18"/>
    </sheetView>
  </sheetViews>
  <sheetFormatPr defaultRowHeight="15"/>
  <cols>
    <col min="1" max="1" width="32.85546875" bestFit="1" customWidth="1"/>
    <col min="2" max="2" width="32.5703125" bestFit="1" customWidth="1"/>
    <col min="3" max="3" width="31.85546875" bestFit="1" customWidth="1"/>
    <col min="4" max="4" width="33.28515625" bestFit="1" customWidth="1"/>
    <col min="5" max="5" width="45.5703125" customWidth="1"/>
    <col min="6" max="6" width="11.7109375" bestFit="1" customWidth="1"/>
    <col min="8" max="8" width="25.85546875" bestFit="1" customWidth="1"/>
    <col min="9" max="9" width="14.140625" customWidth="1"/>
  </cols>
  <sheetData>
    <row r="1" spans="1:18">
      <c r="A1" s="251"/>
      <c r="B1" s="471" t="s">
        <v>0</v>
      </c>
      <c r="C1" s="471"/>
      <c r="D1" s="471"/>
      <c r="E1" s="471"/>
      <c r="F1" s="471"/>
      <c r="G1" s="471"/>
      <c r="H1" s="471"/>
      <c r="I1" s="471"/>
      <c r="J1" s="251"/>
      <c r="K1" s="251"/>
      <c r="L1" s="251"/>
      <c r="M1" s="251"/>
      <c r="N1" s="251"/>
      <c r="O1" s="251"/>
      <c r="P1" s="251"/>
      <c r="Q1" s="251"/>
      <c r="R1" s="251"/>
    </row>
    <row r="2" spans="1:18" ht="31.5" customHeight="1">
      <c r="A2" s="251"/>
      <c r="B2" s="471"/>
      <c r="C2" s="471"/>
      <c r="D2" s="471"/>
      <c r="E2" s="471"/>
      <c r="F2" s="471"/>
      <c r="G2" s="471"/>
      <c r="H2" s="471"/>
      <c r="I2" s="471"/>
      <c r="J2" s="251"/>
      <c r="K2" s="251"/>
      <c r="L2" s="251"/>
      <c r="M2" s="251"/>
      <c r="N2" s="251"/>
      <c r="O2" s="251"/>
      <c r="P2" s="251"/>
      <c r="Q2" s="251"/>
      <c r="R2" s="251"/>
    </row>
    <row r="3" spans="1:18">
      <c r="A3" s="251"/>
      <c r="B3" s="251"/>
      <c r="C3" s="251"/>
      <c r="D3" s="251"/>
      <c r="E3" s="251"/>
      <c r="F3" s="251"/>
      <c r="G3" s="251"/>
      <c r="H3" s="251"/>
      <c r="I3" s="251"/>
      <c r="J3" s="251"/>
      <c r="K3" s="251"/>
      <c r="L3" s="251"/>
      <c r="M3" s="251"/>
      <c r="N3" s="251"/>
      <c r="O3" s="251"/>
      <c r="P3" s="251"/>
      <c r="Q3" s="251"/>
      <c r="R3" s="251"/>
    </row>
    <row r="4" spans="1:18">
      <c r="A4" s="251"/>
      <c r="B4" s="251"/>
      <c r="C4" s="251"/>
      <c r="D4" s="251"/>
      <c r="E4" s="251"/>
      <c r="F4" s="251"/>
      <c r="G4" s="251"/>
      <c r="H4" s="251"/>
      <c r="I4" s="251"/>
      <c r="J4" s="251"/>
      <c r="K4" s="251"/>
      <c r="L4" s="251"/>
      <c r="M4" s="251"/>
      <c r="N4" s="251"/>
      <c r="O4" s="251"/>
      <c r="P4" s="251"/>
      <c r="Q4" s="251"/>
      <c r="R4" s="251"/>
    </row>
    <row r="5" spans="1:18">
      <c r="A5" s="251"/>
      <c r="B5" s="251"/>
      <c r="C5" s="251"/>
      <c r="D5" s="251"/>
      <c r="E5" s="251"/>
      <c r="F5" s="251"/>
      <c r="G5" s="251"/>
      <c r="H5" s="251"/>
      <c r="I5" s="251"/>
      <c r="J5" s="251"/>
      <c r="K5" s="251"/>
      <c r="L5" s="251"/>
      <c r="M5" s="251"/>
      <c r="N5" s="251"/>
      <c r="O5" s="251"/>
      <c r="P5" s="251"/>
      <c r="Q5" s="251"/>
      <c r="R5" s="251"/>
    </row>
    <row r="6" spans="1:18">
      <c r="A6" s="251"/>
      <c r="B6" s="251"/>
      <c r="C6" s="251"/>
      <c r="D6" s="251"/>
      <c r="E6" s="251"/>
      <c r="F6" s="251"/>
      <c r="G6" s="251"/>
      <c r="H6" s="251"/>
      <c r="I6" s="251"/>
      <c r="J6" s="251"/>
      <c r="K6" s="251"/>
      <c r="L6" s="251"/>
      <c r="M6" s="251"/>
      <c r="N6" s="251"/>
      <c r="O6" s="251"/>
      <c r="P6" s="251"/>
      <c r="Q6" s="251"/>
      <c r="R6" s="251"/>
    </row>
    <row r="7" spans="1:18">
      <c r="A7" s="472" t="s">
        <v>1</v>
      </c>
      <c r="B7" s="472"/>
      <c r="C7" s="473">
        <v>655</v>
      </c>
      <c r="D7" s="251"/>
      <c r="E7" s="251"/>
      <c r="F7" s="251"/>
      <c r="G7" s="251"/>
      <c r="H7" s="251"/>
      <c r="I7" s="251"/>
      <c r="J7" s="251"/>
      <c r="K7" s="251"/>
      <c r="L7" s="251"/>
      <c r="M7" s="251"/>
      <c r="N7" s="251"/>
      <c r="O7" s="251"/>
      <c r="P7" s="251"/>
      <c r="Q7" s="251"/>
      <c r="R7" s="251"/>
    </row>
    <row r="8" spans="1:18">
      <c r="A8" s="472"/>
      <c r="B8" s="472"/>
      <c r="C8" s="474"/>
      <c r="D8" s="252"/>
      <c r="E8" s="251"/>
      <c r="F8" s="251"/>
      <c r="G8" s="251"/>
      <c r="H8" s="251"/>
      <c r="I8" s="251"/>
      <c r="J8" s="251"/>
      <c r="K8" s="251"/>
      <c r="L8" s="251"/>
      <c r="M8" s="251"/>
      <c r="N8" s="251"/>
      <c r="O8" s="251"/>
      <c r="P8" s="251"/>
      <c r="Q8" s="251"/>
      <c r="R8" s="251"/>
    </row>
    <row r="9" spans="1:18" ht="19.5">
      <c r="A9" s="475" t="s">
        <v>2</v>
      </c>
      <c r="B9" s="476"/>
      <c r="C9" s="7">
        <v>1600</v>
      </c>
      <c r="D9" s="251"/>
      <c r="E9" s="251"/>
      <c r="F9" s="251"/>
      <c r="G9" s="251"/>
      <c r="H9" s="251"/>
      <c r="I9" s="251"/>
      <c r="J9" s="251"/>
      <c r="K9" s="251"/>
      <c r="L9" s="251"/>
      <c r="M9" s="251"/>
      <c r="N9" s="251"/>
      <c r="O9" s="251"/>
      <c r="P9" s="251"/>
      <c r="Q9" s="251"/>
      <c r="R9" s="251"/>
    </row>
    <row r="10" spans="1:18">
      <c r="A10" s="253"/>
      <c r="B10" s="253"/>
      <c r="C10" s="253"/>
      <c r="D10" s="251"/>
      <c r="E10" s="251"/>
      <c r="F10" s="251"/>
      <c r="G10" s="251"/>
      <c r="H10" s="251"/>
      <c r="I10" s="251"/>
      <c r="J10" s="251"/>
      <c r="K10" s="251"/>
      <c r="L10" s="251"/>
      <c r="M10" s="251"/>
      <c r="N10" s="251"/>
      <c r="O10" s="251"/>
      <c r="P10" s="251"/>
      <c r="Q10" s="251"/>
      <c r="R10" s="251"/>
    </row>
    <row r="11" spans="1:18">
      <c r="A11" s="251"/>
      <c r="B11" s="251"/>
      <c r="C11" s="251"/>
      <c r="D11" s="251"/>
      <c r="E11" s="251"/>
      <c r="F11" s="251"/>
      <c r="G11" s="251"/>
      <c r="H11" s="477"/>
      <c r="I11" s="477"/>
      <c r="J11" s="251"/>
      <c r="K11" s="251"/>
      <c r="L11" s="251"/>
      <c r="M11" s="251"/>
      <c r="N11" s="251"/>
      <c r="O11" s="251"/>
      <c r="P11" s="251"/>
      <c r="Q11" s="251"/>
      <c r="R11" s="251"/>
    </row>
    <row r="12" spans="1:18">
      <c r="A12" s="251"/>
      <c r="B12" s="251"/>
      <c r="C12" s="251"/>
      <c r="D12" s="251"/>
      <c r="E12" s="251"/>
      <c r="F12" s="251"/>
      <c r="G12" s="251"/>
      <c r="H12" s="251"/>
      <c r="I12" s="251"/>
      <c r="J12" s="251"/>
      <c r="K12" s="251"/>
      <c r="L12" s="251"/>
      <c r="M12" s="251"/>
      <c r="N12" s="251"/>
      <c r="O12" s="251"/>
      <c r="P12" s="251"/>
      <c r="Q12" s="251"/>
      <c r="R12" s="251"/>
    </row>
    <row r="13" spans="1:18" ht="15" customHeight="1">
      <c r="A13" s="251"/>
      <c r="B13" s="478" t="s">
        <v>3</v>
      </c>
      <c r="C13" s="479" t="s">
        <v>4</v>
      </c>
      <c r="D13" s="479" t="s">
        <v>5</v>
      </c>
      <c r="E13" s="480"/>
      <c r="F13" s="480"/>
      <c r="G13" s="480"/>
      <c r="H13" s="251"/>
      <c r="I13" s="251"/>
      <c r="J13" s="251"/>
      <c r="K13" s="251"/>
      <c r="L13" s="251"/>
      <c r="M13" s="251"/>
      <c r="N13" s="251"/>
      <c r="O13" s="251"/>
      <c r="P13" s="251"/>
      <c r="Q13" s="251"/>
      <c r="R13" s="251"/>
    </row>
    <row r="14" spans="1:18" ht="15" customHeight="1">
      <c r="A14" s="251"/>
      <c r="B14" s="478"/>
      <c r="C14" s="479"/>
      <c r="D14" s="479"/>
      <c r="E14" s="480"/>
      <c r="F14" s="480"/>
      <c r="G14" s="480"/>
      <c r="H14" s="251"/>
      <c r="I14" s="251"/>
      <c r="J14" s="251"/>
      <c r="K14" s="251"/>
      <c r="L14" s="251"/>
      <c r="M14" s="251"/>
      <c r="N14" s="251"/>
      <c r="O14" s="251"/>
      <c r="P14" s="251"/>
      <c r="Q14" s="251"/>
      <c r="R14" s="251"/>
    </row>
    <row r="15" spans="1:18">
      <c r="A15" s="301" t="s">
        <v>6</v>
      </c>
      <c r="B15" s="263" t="s">
        <v>7</v>
      </c>
      <c r="C15" s="265" t="s">
        <v>8</v>
      </c>
      <c r="D15" s="265" t="s">
        <v>9</v>
      </c>
      <c r="E15" s="296"/>
      <c r="F15" s="483"/>
      <c r="G15" s="483"/>
      <c r="H15" s="251"/>
      <c r="I15" s="251"/>
      <c r="J15" s="251"/>
      <c r="K15" s="251"/>
      <c r="L15" s="251"/>
      <c r="M15" s="251"/>
      <c r="N15" s="251"/>
      <c r="O15" s="251"/>
      <c r="P15" s="251"/>
      <c r="Q15" s="251"/>
      <c r="R15" s="251"/>
    </row>
    <row r="16" spans="1:18">
      <c r="A16" s="303" t="s">
        <v>10</v>
      </c>
      <c r="B16" s="263" t="s">
        <v>9</v>
      </c>
      <c r="C16" s="265">
        <v>2</v>
      </c>
      <c r="D16" s="265" t="s">
        <v>9</v>
      </c>
      <c r="E16" s="296"/>
      <c r="F16" s="483"/>
      <c r="G16" s="483"/>
      <c r="H16" s="251"/>
      <c r="I16" s="251"/>
      <c r="J16" s="251"/>
      <c r="K16" s="251"/>
      <c r="L16" s="251"/>
      <c r="M16" s="251"/>
      <c r="N16" s="251"/>
      <c r="O16" s="251"/>
      <c r="P16" s="251"/>
      <c r="Q16" s="251"/>
      <c r="R16" s="251"/>
    </row>
    <row r="17" spans="1:18" ht="15.75">
      <c r="A17" s="305" t="s">
        <v>11</v>
      </c>
      <c r="B17" s="302" t="s">
        <v>9</v>
      </c>
      <c r="C17" s="300">
        <f>D79+D88+D95+D100+D105+D110+5+10</f>
        <v>85.2</v>
      </c>
      <c r="D17" s="300" t="s">
        <v>9</v>
      </c>
      <c r="E17" s="297"/>
      <c r="F17" s="298"/>
      <c r="G17" s="299"/>
      <c r="H17" s="252"/>
      <c r="I17" s="252"/>
      <c r="J17" s="251"/>
      <c r="K17" s="251"/>
      <c r="L17" s="251"/>
      <c r="M17" s="251"/>
      <c r="N17" s="251"/>
      <c r="O17" s="251"/>
      <c r="P17" s="251"/>
      <c r="Q17" s="251"/>
      <c r="R17" s="251"/>
    </row>
    <row r="18" spans="1:18" ht="45" customHeight="1">
      <c r="A18" s="306" t="s">
        <v>12</v>
      </c>
      <c r="B18" s="304" t="s">
        <v>9</v>
      </c>
      <c r="C18" s="265">
        <f>(45000*5+100000)/1000000</f>
        <v>0.32500000000000001</v>
      </c>
      <c r="D18" s="265" t="s">
        <v>9</v>
      </c>
      <c r="E18" s="296"/>
      <c r="F18" s="484"/>
      <c r="G18" s="484"/>
      <c r="H18" s="251"/>
      <c r="I18" s="251"/>
      <c r="J18" s="251"/>
      <c r="K18" s="251"/>
      <c r="L18" s="251"/>
      <c r="M18" s="251"/>
      <c r="N18" s="251"/>
      <c r="O18" s="251"/>
      <c r="P18" s="251"/>
      <c r="Q18" s="251"/>
      <c r="R18" s="251"/>
    </row>
    <row r="19" spans="1:18">
      <c r="A19" s="256"/>
      <c r="B19" s="251"/>
      <c r="C19" s="251"/>
      <c r="D19" s="251"/>
      <c r="E19" s="251"/>
      <c r="F19" s="251"/>
      <c r="G19" s="251"/>
      <c r="H19" s="251"/>
      <c r="I19" s="251"/>
      <c r="J19" s="251"/>
      <c r="K19" s="251"/>
      <c r="L19" s="251"/>
      <c r="M19" s="251"/>
      <c r="N19" s="251"/>
      <c r="O19" s="251"/>
      <c r="P19" s="251"/>
      <c r="Q19" s="251"/>
      <c r="R19" s="251"/>
    </row>
    <row r="20" spans="1:18" ht="19.5">
      <c r="A20" s="307" t="s">
        <v>13</v>
      </c>
      <c r="B20" s="251"/>
      <c r="C20" s="251"/>
      <c r="D20" s="251"/>
      <c r="E20" s="251"/>
      <c r="F20" s="251"/>
      <c r="G20" s="251"/>
      <c r="H20" s="251"/>
      <c r="I20" s="251"/>
      <c r="J20" s="251"/>
      <c r="K20" s="251"/>
      <c r="L20" s="251"/>
      <c r="M20" s="251"/>
      <c r="N20" s="257"/>
      <c r="O20" s="257"/>
      <c r="P20" s="257"/>
      <c r="Q20" s="257"/>
      <c r="R20" s="257"/>
    </row>
    <row r="21" spans="1:18">
      <c r="A21" s="251"/>
      <c r="B21" s="251"/>
      <c r="C21" s="251"/>
      <c r="D21" s="252"/>
      <c r="E21" s="258"/>
      <c r="F21" s="251"/>
      <c r="G21" s="251"/>
      <c r="H21" s="251"/>
      <c r="I21" s="251"/>
      <c r="J21" s="251"/>
      <c r="K21" s="251"/>
      <c r="L21" s="251"/>
      <c r="M21" s="251"/>
      <c r="N21" s="257"/>
      <c r="O21" s="257"/>
      <c r="P21" s="257"/>
      <c r="Q21" s="257"/>
      <c r="R21" s="257"/>
    </row>
    <row r="22" spans="1:18" ht="18">
      <c r="A22" s="259" t="s">
        <v>3</v>
      </c>
      <c r="B22" s="485" t="s">
        <v>14</v>
      </c>
      <c r="C22" s="485"/>
      <c r="D22" s="485"/>
      <c r="E22" s="485"/>
      <c r="F22" s="252"/>
      <c r="G22" s="252"/>
      <c r="H22" s="252"/>
      <c r="I22" s="252"/>
      <c r="J22" s="252"/>
      <c r="K22" s="252"/>
      <c r="L22" s="252"/>
      <c r="M22" s="252"/>
      <c r="N22" s="257"/>
      <c r="O22" s="257"/>
      <c r="P22" s="257"/>
      <c r="Q22" s="257"/>
      <c r="R22" s="257"/>
    </row>
    <row r="23" spans="1:18" ht="18">
      <c r="A23" s="259" t="s">
        <v>4</v>
      </c>
      <c r="B23" s="486" t="s">
        <v>15</v>
      </c>
      <c r="C23" s="487"/>
      <c r="D23" s="487"/>
      <c r="E23" s="488"/>
      <c r="F23" s="252"/>
      <c r="G23" s="252"/>
      <c r="H23" s="252"/>
      <c r="I23" s="252"/>
      <c r="J23" s="252"/>
      <c r="K23" s="252"/>
      <c r="L23" s="252"/>
      <c r="M23" s="252"/>
      <c r="N23" s="257"/>
      <c r="O23" s="257"/>
      <c r="P23" s="257"/>
      <c r="Q23" s="257"/>
      <c r="R23" s="257"/>
    </row>
    <row r="24" spans="1:18">
      <c r="A24" s="256"/>
      <c r="B24" s="251"/>
      <c r="C24" s="251"/>
      <c r="D24" s="251"/>
      <c r="E24" s="251"/>
      <c r="F24" s="251"/>
      <c r="G24" s="251"/>
      <c r="H24" s="251"/>
      <c r="I24" s="251"/>
      <c r="J24" s="251"/>
      <c r="K24" s="251"/>
      <c r="L24" s="251"/>
      <c r="M24" s="251"/>
      <c r="N24" s="251"/>
      <c r="O24" s="251"/>
      <c r="P24" s="251"/>
      <c r="Q24" s="251"/>
      <c r="R24" s="251"/>
    </row>
    <row r="25" spans="1:18">
      <c r="A25" s="251"/>
      <c r="B25" s="251"/>
      <c r="C25" s="251"/>
      <c r="D25" s="251"/>
      <c r="E25" s="251"/>
      <c r="F25" s="251"/>
      <c r="G25" s="251"/>
      <c r="H25" s="251"/>
      <c r="I25" s="251"/>
      <c r="J25" s="251"/>
      <c r="K25" s="251"/>
      <c r="L25" s="251"/>
      <c r="M25" s="251"/>
      <c r="N25" s="251"/>
      <c r="O25" s="251"/>
      <c r="P25" s="251"/>
      <c r="Q25" s="251"/>
      <c r="R25" s="251"/>
    </row>
    <row r="26" spans="1:18">
      <c r="A26" s="481" t="s">
        <v>16</v>
      </c>
      <c r="B26" s="481"/>
      <c r="C26" s="481"/>
      <c r="D26" s="481"/>
      <c r="E26" s="481"/>
      <c r="F26" s="481"/>
      <c r="G26" s="482" t="s">
        <v>17</v>
      </c>
      <c r="H26" s="482"/>
      <c r="I26" s="482"/>
      <c r="J26" s="482"/>
      <c r="K26" s="482"/>
      <c r="L26" s="482"/>
      <c r="M26" s="482"/>
      <c r="N26" s="482"/>
      <c r="O26" s="482"/>
      <c r="P26" s="482"/>
      <c r="Q26" s="482"/>
      <c r="R26" s="482"/>
    </row>
    <row r="27" spans="1:18">
      <c r="A27" s="481"/>
      <c r="B27" s="481"/>
      <c r="C27" s="481"/>
      <c r="D27" s="481"/>
      <c r="E27" s="481"/>
      <c r="F27" s="481"/>
      <c r="G27" s="482"/>
      <c r="H27" s="482"/>
      <c r="I27" s="482"/>
      <c r="J27" s="482"/>
      <c r="K27" s="482"/>
      <c r="L27" s="482"/>
      <c r="M27" s="482"/>
      <c r="N27" s="482"/>
      <c r="O27" s="482"/>
      <c r="P27" s="482"/>
      <c r="Q27" s="482"/>
      <c r="R27" s="482"/>
    </row>
    <row r="28" spans="1:18" ht="15.75">
      <c r="A28" s="466" t="s">
        <v>18</v>
      </c>
      <c r="B28" s="466"/>
      <c r="C28" s="466"/>
      <c r="D28" s="466"/>
      <c r="E28" s="466"/>
      <c r="F28" s="466"/>
      <c r="G28" s="467" t="s">
        <v>19</v>
      </c>
      <c r="H28" s="467"/>
      <c r="I28" s="467"/>
      <c r="J28" s="467"/>
      <c r="K28" s="467"/>
      <c r="L28" s="467"/>
      <c r="M28" s="467"/>
      <c r="N28" s="467"/>
      <c r="O28" s="467"/>
      <c r="P28" s="467"/>
      <c r="Q28" s="467"/>
      <c r="R28" s="454"/>
    </row>
    <row r="29" spans="1:18">
      <c r="A29" s="466"/>
      <c r="B29" s="466"/>
      <c r="C29" s="466"/>
      <c r="D29" s="466"/>
      <c r="E29" s="466"/>
      <c r="F29" s="466"/>
      <c r="G29" s="468" t="s">
        <v>20</v>
      </c>
      <c r="H29" s="468"/>
      <c r="I29" s="468"/>
      <c r="J29" s="468"/>
      <c r="K29" s="468"/>
      <c r="L29" s="468"/>
      <c r="M29" s="468"/>
      <c r="N29" s="468"/>
      <c r="O29" s="468"/>
      <c r="P29" s="468"/>
      <c r="Q29" s="468"/>
      <c r="R29" s="469"/>
    </row>
    <row r="30" spans="1:18" ht="18" customHeight="1">
      <c r="A30" s="470" t="s">
        <v>21</v>
      </c>
      <c r="B30" s="470"/>
      <c r="C30" s="470"/>
      <c r="D30" s="470"/>
      <c r="E30" s="470"/>
      <c r="F30" s="470"/>
      <c r="G30" s="467" t="s">
        <v>22</v>
      </c>
      <c r="H30" s="467"/>
      <c r="I30" s="467"/>
      <c r="J30" s="467"/>
      <c r="K30" s="467"/>
      <c r="L30" s="467"/>
      <c r="M30" s="467"/>
      <c r="N30" s="467"/>
      <c r="O30" s="467"/>
      <c r="P30" s="467"/>
      <c r="Q30" s="467"/>
      <c r="R30" s="454"/>
    </row>
    <row r="31" spans="1:18" ht="19.5" customHeight="1">
      <c r="A31" s="453" t="s">
        <v>23</v>
      </c>
      <c r="B31" s="453"/>
      <c r="C31" s="453"/>
      <c r="D31" s="453"/>
      <c r="E31" s="453"/>
      <c r="F31" s="453"/>
      <c r="G31" s="462" t="s">
        <v>24</v>
      </c>
      <c r="H31" s="462"/>
      <c r="I31" s="462"/>
      <c r="J31" s="462"/>
      <c r="K31" s="462"/>
      <c r="L31" s="462"/>
      <c r="M31" s="462"/>
      <c r="N31" s="462"/>
      <c r="O31" s="462"/>
      <c r="P31" s="462"/>
      <c r="Q31" s="462"/>
      <c r="R31" s="463"/>
    </row>
    <row r="32" spans="1:18" ht="15.75" customHeight="1">
      <c r="A32" s="453" t="s">
        <v>25</v>
      </c>
      <c r="B32" s="453"/>
      <c r="C32" s="453"/>
      <c r="D32" s="453"/>
      <c r="E32" s="453"/>
      <c r="F32" s="453"/>
      <c r="G32" s="464" t="s">
        <v>26</v>
      </c>
      <c r="H32" s="464"/>
      <c r="I32" s="464"/>
      <c r="J32" s="464"/>
      <c r="K32" s="464"/>
      <c r="L32" s="464"/>
      <c r="M32" s="464"/>
      <c r="N32" s="464"/>
      <c r="O32" s="464"/>
      <c r="P32" s="464"/>
      <c r="Q32" s="464"/>
      <c r="R32" s="465"/>
    </row>
    <row r="33" spans="1:18" ht="20.25" customHeight="1">
      <c r="A33" s="453" t="s">
        <v>27</v>
      </c>
      <c r="B33" s="453"/>
      <c r="C33" s="453"/>
      <c r="D33" s="453"/>
      <c r="E33" s="453"/>
      <c r="F33" s="453"/>
      <c r="G33" s="454" t="s">
        <v>28</v>
      </c>
      <c r="H33" s="454"/>
      <c r="I33" s="454"/>
      <c r="J33" s="454"/>
      <c r="K33" s="454"/>
      <c r="L33" s="454"/>
      <c r="M33" s="454"/>
      <c r="N33" s="454"/>
      <c r="O33" s="454"/>
      <c r="P33" s="454"/>
      <c r="Q33" s="454"/>
      <c r="R33" s="454"/>
    </row>
    <row r="34" spans="1:18" ht="15.75">
      <c r="A34" s="453" t="s">
        <v>29</v>
      </c>
      <c r="B34" s="453"/>
      <c r="C34" s="453"/>
      <c r="D34" s="453"/>
      <c r="E34" s="453"/>
      <c r="F34" s="453"/>
      <c r="G34" s="454" t="s">
        <v>30</v>
      </c>
      <c r="H34" s="454"/>
      <c r="I34" s="454"/>
      <c r="J34" s="454"/>
      <c r="K34" s="454"/>
      <c r="L34" s="454"/>
      <c r="M34" s="454"/>
      <c r="N34" s="454"/>
      <c r="O34" s="454"/>
      <c r="P34" s="454"/>
      <c r="Q34" s="454"/>
      <c r="R34" s="454"/>
    </row>
    <row r="35" spans="1:18" ht="15.75">
      <c r="A35" s="453" t="s">
        <v>31</v>
      </c>
      <c r="B35" s="453"/>
      <c r="C35" s="453"/>
      <c r="D35" s="453"/>
      <c r="E35" s="453"/>
      <c r="F35" s="453"/>
      <c r="G35" s="454" t="s">
        <v>32</v>
      </c>
      <c r="H35" s="454"/>
      <c r="I35" s="454"/>
      <c r="J35" s="454"/>
      <c r="K35" s="454"/>
      <c r="L35" s="454"/>
      <c r="M35" s="454"/>
      <c r="N35" s="454"/>
      <c r="O35" s="454"/>
      <c r="P35" s="454"/>
      <c r="Q35" s="454"/>
      <c r="R35" s="454"/>
    </row>
    <row r="36" spans="1:18">
      <c r="A36" s="251"/>
      <c r="B36" s="251"/>
      <c r="C36" s="455"/>
      <c r="D36" s="455"/>
      <c r="E36" s="455"/>
      <c r="F36" s="456"/>
      <c r="G36" s="456"/>
      <c r="H36" s="251"/>
      <c r="I36" s="251"/>
      <c r="J36" s="251"/>
      <c r="K36" s="251"/>
      <c r="L36" s="251"/>
      <c r="M36" s="251"/>
      <c r="N36" s="251"/>
      <c r="O36" s="251"/>
      <c r="P36" s="251"/>
      <c r="Q36" s="251"/>
      <c r="R36" s="251"/>
    </row>
    <row r="37" spans="1:18">
      <c r="A37" s="251"/>
      <c r="B37" s="251"/>
      <c r="C37" s="252"/>
      <c r="D37" s="252"/>
      <c r="E37" s="252"/>
      <c r="F37" s="252"/>
      <c r="G37" s="252"/>
      <c r="H37" s="251"/>
      <c r="I37" s="251"/>
      <c r="J37" s="251"/>
      <c r="K37" s="251"/>
      <c r="L37" s="457"/>
      <c r="M37" s="457"/>
      <c r="N37" s="457"/>
      <c r="O37" s="251"/>
      <c r="P37" s="251"/>
      <c r="Q37" s="251"/>
      <c r="R37" s="251"/>
    </row>
    <row r="38" spans="1:18" ht="18">
      <c r="A38" s="458" t="s">
        <v>33</v>
      </c>
      <c r="B38" s="458" t="str">
        <f>A26</f>
        <v>Parts of the Farm</v>
      </c>
      <c r="C38" s="458" t="s">
        <v>34</v>
      </c>
      <c r="D38" s="458"/>
      <c r="E38" s="459" t="str">
        <f>A15</f>
        <v>Location</v>
      </c>
      <c r="F38" s="461" t="s">
        <v>35</v>
      </c>
      <c r="G38" s="260"/>
      <c r="H38" s="251"/>
      <c r="I38" s="251"/>
      <c r="J38" s="251"/>
      <c r="K38" s="251"/>
      <c r="L38" s="457"/>
      <c r="M38" s="457"/>
      <c r="N38" s="457"/>
      <c r="O38" s="251"/>
      <c r="P38" s="251"/>
      <c r="Q38" s="251"/>
      <c r="R38" s="251"/>
    </row>
    <row r="39" spans="1:18" ht="18">
      <c r="A39" s="458"/>
      <c r="B39" s="458"/>
      <c r="C39" s="458"/>
      <c r="D39" s="458"/>
      <c r="E39" s="460"/>
      <c r="F39" s="461"/>
      <c r="G39" s="260"/>
      <c r="H39" s="251"/>
      <c r="I39" s="251"/>
      <c r="J39" s="251"/>
      <c r="K39" s="251"/>
      <c r="L39" s="430"/>
      <c r="M39" s="430"/>
      <c r="N39" s="430"/>
      <c r="O39" s="251"/>
      <c r="P39" s="251"/>
      <c r="Q39" s="251"/>
      <c r="R39" s="251"/>
    </row>
    <row r="40" spans="1:18" ht="15" customHeight="1">
      <c r="A40" s="442" t="s">
        <v>36</v>
      </c>
      <c r="B40" s="444" t="str">
        <f>A28</f>
        <v>Energy Supply system (Solar PV power plant,Solar Tracking)</v>
      </c>
      <c r="C40" s="261" t="s">
        <v>37</v>
      </c>
      <c r="D40" s="262" t="s">
        <v>9</v>
      </c>
      <c r="E40" s="447" t="s">
        <v>7</v>
      </c>
      <c r="F40" s="409" t="s">
        <v>9</v>
      </c>
      <c r="G40" s="251"/>
      <c r="H40" s="251"/>
      <c r="I40" s="251"/>
      <c r="J40" s="251"/>
      <c r="K40" s="251"/>
      <c r="L40" s="430"/>
      <c r="M40" s="430"/>
      <c r="N40" s="430"/>
      <c r="O40" s="251"/>
      <c r="P40" s="251"/>
      <c r="Q40" s="251"/>
      <c r="R40" s="251"/>
    </row>
    <row r="41" spans="1:18" ht="15" customHeight="1">
      <c r="A41" s="443"/>
      <c r="B41" s="445"/>
      <c r="C41" s="255" t="s">
        <v>38</v>
      </c>
      <c r="D41" s="263" t="s">
        <v>39</v>
      </c>
      <c r="E41" s="448"/>
      <c r="F41" s="409"/>
      <c r="G41" s="251"/>
      <c r="H41" s="251"/>
      <c r="I41" s="251"/>
      <c r="J41" s="251"/>
      <c r="K41" s="251"/>
      <c r="L41" s="430"/>
      <c r="M41" s="430"/>
      <c r="N41" s="430"/>
      <c r="O41" s="251"/>
      <c r="P41" s="251"/>
      <c r="Q41" s="251"/>
      <c r="R41" s="251"/>
    </row>
    <row r="42" spans="1:18" ht="15" customHeight="1">
      <c r="A42" s="443"/>
      <c r="B42" s="445"/>
      <c r="C42" s="255" t="s">
        <v>40</v>
      </c>
      <c r="D42" s="263" t="s">
        <v>41</v>
      </c>
      <c r="E42" s="448"/>
      <c r="F42" s="409"/>
      <c r="G42" s="251"/>
      <c r="H42" s="251"/>
      <c r="I42" s="251"/>
      <c r="J42" s="251"/>
      <c r="K42" s="251"/>
      <c r="L42" s="430"/>
      <c r="M42" s="430"/>
      <c r="N42" s="430"/>
      <c r="O42" s="251"/>
      <c r="P42" s="251"/>
      <c r="Q42" s="251"/>
      <c r="R42" s="251"/>
    </row>
    <row r="43" spans="1:18" ht="15" customHeight="1">
      <c r="A43" s="443"/>
      <c r="B43" s="445"/>
      <c r="C43" s="450" t="s">
        <v>42</v>
      </c>
      <c r="D43" s="264" t="s">
        <v>43</v>
      </c>
      <c r="E43" s="448"/>
      <c r="F43" s="409"/>
      <c r="G43" s="251"/>
      <c r="H43" s="251"/>
      <c r="I43" s="251"/>
      <c r="J43" s="251"/>
      <c r="K43" s="251"/>
      <c r="L43" s="430"/>
      <c r="M43" s="430"/>
      <c r="N43" s="430"/>
      <c r="O43" s="251"/>
      <c r="P43" s="251"/>
      <c r="Q43" s="251"/>
      <c r="R43" s="251"/>
    </row>
    <row r="44" spans="1:18" ht="15" customHeight="1">
      <c r="A44" s="443"/>
      <c r="B44" s="445"/>
      <c r="C44" s="451"/>
      <c r="D44" s="265" t="s">
        <v>44</v>
      </c>
      <c r="E44" s="448"/>
      <c r="F44" s="409"/>
      <c r="G44" s="251"/>
      <c r="H44" s="251"/>
      <c r="I44" s="251"/>
      <c r="J44" s="251"/>
      <c r="K44" s="251"/>
      <c r="L44" s="430"/>
      <c r="M44" s="430"/>
      <c r="N44" s="430"/>
      <c r="O44" s="251"/>
      <c r="P44" s="251"/>
      <c r="Q44" s="251"/>
      <c r="R44" s="251"/>
    </row>
    <row r="45" spans="1:18" ht="15" customHeight="1">
      <c r="A45" s="443"/>
      <c r="B45" s="445"/>
      <c r="C45" s="451"/>
      <c r="D45" s="265" t="s">
        <v>45</v>
      </c>
      <c r="E45" s="448"/>
      <c r="F45" s="409"/>
      <c r="G45" s="251"/>
      <c r="H45" s="251"/>
      <c r="I45" s="251"/>
      <c r="J45" s="251"/>
      <c r="K45" s="251"/>
      <c r="L45" s="430"/>
      <c r="M45" s="430"/>
      <c r="N45" s="430"/>
      <c r="O45" s="251"/>
      <c r="P45" s="251"/>
      <c r="Q45" s="251"/>
      <c r="R45" s="251"/>
    </row>
    <row r="46" spans="1:18" ht="15" customHeight="1">
      <c r="A46" s="443"/>
      <c r="B46" s="445"/>
      <c r="C46" s="451"/>
      <c r="D46" s="265" t="s">
        <v>46</v>
      </c>
      <c r="E46" s="448"/>
      <c r="F46" s="409"/>
      <c r="G46" s="251"/>
      <c r="H46" s="251"/>
      <c r="I46" s="251"/>
      <c r="J46" s="251"/>
      <c r="K46" s="251"/>
      <c r="L46" s="430"/>
      <c r="M46" s="430"/>
      <c r="N46" s="430"/>
      <c r="O46" s="251"/>
      <c r="P46" s="251"/>
      <c r="Q46" s="251"/>
      <c r="R46" s="251"/>
    </row>
    <row r="47" spans="1:18" ht="15" customHeight="1">
      <c r="A47" s="443"/>
      <c r="B47" s="445"/>
      <c r="C47" s="451"/>
      <c r="D47" s="265" t="s">
        <v>47</v>
      </c>
      <c r="E47" s="448"/>
      <c r="F47" s="409"/>
      <c r="G47" s="251"/>
      <c r="H47" s="251"/>
      <c r="I47" s="251"/>
      <c r="J47" s="251"/>
      <c r="K47" s="251"/>
      <c r="L47" s="430"/>
      <c r="M47" s="430"/>
      <c r="N47" s="430"/>
      <c r="O47" s="251"/>
      <c r="P47" s="251"/>
      <c r="Q47" s="251"/>
      <c r="R47" s="251"/>
    </row>
    <row r="48" spans="1:18" ht="15" customHeight="1">
      <c r="A48" s="443"/>
      <c r="B48" s="445"/>
      <c r="C48" s="264" t="s">
        <v>48</v>
      </c>
      <c r="D48" s="266" t="s">
        <v>9</v>
      </c>
      <c r="E48" s="448"/>
      <c r="F48" s="410"/>
      <c r="G48" s="251"/>
      <c r="H48" s="251"/>
      <c r="I48" s="251"/>
      <c r="J48" s="251"/>
      <c r="K48" s="251"/>
      <c r="L48" s="430"/>
      <c r="M48" s="430"/>
      <c r="N48" s="430"/>
      <c r="O48" s="251"/>
      <c r="P48" s="251"/>
      <c r="Q48" s="251"/>
      <c r="R48" s="251"/>
    </row>
    <row r="49" spans="1:18" ht="15" customHeight="1">
      <c r="A49" s="443"/>
      <c r="B49" s="452" t="str">
        <f>A30</f>
        <v>Irrigation system</v>
      </c>
      <c r="C49" s="267" t="s">
        <v>37</v>
      </c>
      <c r="D49" s="268" t="s">
        <v>9</v>
      </c>
      <c r="E49" s="448"/>
      <c r="F49" s="414"/>
      <c r="G49" s="251"/>
      <c r="H49" s="251"/>
      <c r="I49" s="251"/>
      <c r="J49" s="251"/>
      <c r="K49" s="251"/>
      <c r="L49" s="430"/>
      <c r="M49" s="430"/>
      <c r="N49" s="430"/>
      <c r="O49" s="251"/>
      <c r="P49" s="251"/>
      <c r="Q49" s="251"/>
      <c r="R49" s="251"/>
    </row>
    <row r="50" spans="1:18" ht="15" customHeight="1">
      <c r="A50" s="443"/>
      <c r="B50" s="452"/>
      <c r="C50" s="255" t="s">
        <v>38</v>
      </c>
      <c r="D50" s="263" t="s">
        <v>49</v>
      </c>
      <c r="E50" s="448"/>
      <c r="F50" s="415"/>
      <c r="G50" s="251"/>
      <c r="H50" s="251"/>
      <c r="I50" s="251"/>
      <c r="J50" s="251"/>
      <c r="K50" s="251"/>
      <c r="L50" s="251"/>
      <c r="M50" s="251"/>
      <c r="N50" s="251"/>
      <c r="O50" s="251"/>
      <c r="P50" s="251"/>
      <c r="Q50" s="251"/>
      <c r="R50" s="251"/>
    </row>
    <row r="51" spans="1:18" ht="15" customHeight="1">
      <c r="A51" s="443"/>
      <c r="B51" s="452"/>
      <c r="C51" s="264" t="s">
        <v>40</v>
      </c>
      <c r="D51" s="269" t="s">
        <v>50</v>
      </c>
      <c r="E51" s="448"/>
      <c r="F51" s="415"/>
      <c r="G51" s="251"/>
      <c r="H51" s="251"/>
      <c r="I51" s="251"/>
      <c r="J51" s="251"/>
      <c r="K51" s="251"/>
      <c r="L51" s="251"/>
      <c r="M51" s="251"/>
      <c r="N51" s="251"/>
      <c r="O51" s="251"/>
      <c r="P51" s="251"/>
      <c r="Q51" s="251"/>
      <c r="R51" s="251"/>
    </row>
    <row r="52" spans="1:18" ht="15" customHeight="1">
      <c r="A52" s="443"/>
      <c r="B52" s="452"/>
      <c r="C52" s="439" t="s">
        <v>42</v>
      </c>
      <c r="D52" s="270" t="s">
        <v>51</v>
      </c>
      <c r="E52" s="448"/>
      <c r="F52" s="415"/>
      <c r="G52" s="251"/>
      <c r="H52" s="251"/>
      <c r="I52" s="251"/>
      <c r="J52" s="251"/>
      <c r="K52" s="251"/>
      <c r="L52" s="251"/>
      <c r="M52" s="251"/>
      <c r="N52" s="251"/>
      <c r="O52" s="251"/>
      <c r="P52" s="251"/>
      <c r="Q52" s="251"/>
      <c r="R52" s="251"/>
    </row>
    <row r="53" spans="1:18" ht="15" customHeight="1">
      <c r="A53" s="443"/>
      <c r="B53" s="452"/>
      <c r="C53" s="440"/>
      <c r="D53" s="263" t="s">
        <v>52</v>
      </c>
      <c r="E53" s="448"/>
      <c r="F53" s="415"/>
      <c r="G53" s="251"/>
      <c r="H53" s="251"/>
      <c r="I53" s="251"/>
      <c r="J53" s="251"/>
      <c r="K53" s="251"/>
      <c r="L53" s="251"/>
      <c r="M53" s="251"/>
      <c r="N53" s="251"/>
      <c r="O53" s="251"/>
      <c r="P53" s="251"/>
      <c r="Q53" s="251"/>
      <c r="R53" s="251"/>
    </row>
    <row r="54" spans="1:18" ht="15" customHeight="1">
      <c r="A54" s="443"/>
      <c r="B54" s="452"/>
      <c r="C54" s="441"/>
      <c r="D54" s="271" t="s">
        <v>53</v>
      </c>
      <c r="E54" s="448"/>
      <c r="F54" s="415"/>
      <c r="G54" s="251"/>
      <c r="H54" s="251"/>
      <c r="I54" s="251"/>
      <c r="J54" s="251"/>
      <c r="K54" s="251"/>
      <c r="L54" s="251"/>
      <c r="M54" s="251"/>
      <c r="N54" s="251"/>
      <c r="O54" s="251"/>
      <c r="P54" s="251"/>
      <c r="Q54" s="251"/>
      <c r="R54" s="251"/>
    </row>
    <row r="55" spans="1:18" ht="15" customHeight="1">
      <c r="A55" s="443"/>
      <c r="B55" s="452"/>
      <c r="C55" s="272" t="s">
        <v>48</v>
      </c>
      <c r="D55" s="273" t="s">
        <v>9</v>
      </c>
      <c r="E55" s="448"/>
      <c r="F55" s="416"/>
      <c r="G55" s="251"/>
      <c r="H55" s="251"/>
      <c r="I55" s="251"/>
      <c r="J55" s="251"/>
      <c r="K55" s="251"/>
      <c r="L55" s="251"/>
      <c r="M55" s="251"/>
      <c r="N55" s="251"/>
      <c r="O55" s="251"/>
      <c r="P55" s="251"/>
      <c r="Q55" s="251"/>
      <c r="R55" s="251"/>
    </row>
    <row r="56" spans="1:18" ht="15" customHeight="1">
      <c r="A56" s="443"/>
      <c r="B56" s="423" t="str">
        <f t="shared" ref="B56" si="0">A31</f>
        <v>Crop Storage (Smart Dryer)</v>
      </c>
      <c r="C56" s="274" t="s">
        <v>37</v>
      </c>
      <c r="D56" s="275" t="s">
        <v>9</v>
      </c>
      <c r="E56" s="448"/>
      <c r="F56" s="411" t="s">
        <v>9</v>
      </c>
      <c r="G56" s="251"/>
      <c r="H56" s="251"/>
      <c r="I56" s="251"/>
      <c r="J56" s="251"/>
      <c r="K56" s="251"/>
      <c r="L56" s="251"/>
      <c r="M56" s="251"/>
      <c r="N56" s="251"/>
      <c r="O56" s="251"/>
      <c r="P56" s="251"/>
      <c r="Q56" s="251"/>
      <c r="R56" s="251"/>
    </row>
    <row r="57" spans="1:18" ht="15" customHeight="1">
      <c r="A57" s="443"/>
      <c r="B57" s="424"/>
      <c r="C57" s="276" t="s">
        <v>38</v>
      </c>
      <c r="D57" s="277" t="s">
        <v>54</v>
      </c>
      <c r="E57" s="448"/>
      <c r="F57" s="412"/>
      <c r="G57" s="251"/>
      <c r="H57" s="251"/>
      <c r="I57" s="251"/>
      <c r="J57" s="251"/>
      <c r="K57" s="251"/>
      <c r="L57" s="251"/>
      <c r="M57" s="251"/>
      <c r="N57" s="251"/>
      <c r="O57" s="251"/>
      <c r="P57" s="251"/>
      <c r="Q57" s="251"/>
      <c r="R57" s="251"/>
    </row>
    <row r="58" spans="1:18" ht="15" customHeight="1">
      <c r="A58" s="443"/>
      <c r="B58" s="424"/>
      <c r="C58" s="276" t="s">
        <v>40</v>
      </c>
      <c r="D58" s="277" t="s">
        <v>55</v>
      </c>
      <c r="E58" s="448"/>
      <c r="F58" s="412"/>
      <c r="G58" s="251"/>
      <c r="H58" s="251"/>
      <c r="I58" s="251"/>
      <c r="J58" s="251"/>
      <c r="K58" s="251"/>
      <c r="L58" s="251"/>
      <c r="M58" s="251"/>
      <c r="N58" s="251"/>
      <c r="O58" s="251"/>
      <c r="P58" s="251"/>
      <c r="Q58" s="251"/>
      <c r="R58" s="251"/>
    </row>
    <row r="59" spans="1:18" ht="15" customHeight="1">
      <c r="A59" s="443"/>
      <c r="B59" s="424"/>
      <c r="C59" s="276" t="s">
        <v>42</v>
      </c>
      <c r="D59" s="277" t="s">
        <v>9</v>
      </c>
      <c r="E59" s="448"/>
      <c r="F59" s="412"/>
      <c r="G59" s="251"/>
      <c r="H59" s="251"/>
      <c r="I59" s="251"/>
      <c r="J59" s="251"/>
      <c r="K59" s="251"/>
      <c r="L59" s="251"/>
      <c r="M59" s="251"/>
      <c r="N59" s="251"/>
      <c r="O59" s="251"/>
      <c r="P59" s="251"/>
      <c r="Q59" s="251"/>
      <c r="R59" s="251"/>
    </row>
    <row r="60" spans="1:18" ht="15" customHeight="1">
      <c r="A60" s="443"/>
      <c r="B60" s="425"/>
      <c r="C60" s="278" t="s">
        <v>48</v>
      </c>
      <c r="D60" s="279" t="s">
        <v>9</v>
      </c>
      <c r="E60" s="448"/>
      <c r="F60" s="413"/>
      <c r="G60" s="251"/>
      <c r="H60" s="251"/>
      <c r="I60" s="251"/>
      <c r="J60" s="251"/>
      <c r="K60" s="251"/>
      <c r="L60" s="251"/>
      <c r="M60" s="251"/>
      <c r="N60" s="251"/>
      <c r="O60" s="251"/>
      <c r="P60" s="251"/>
      <c r="Q60" s="251"/>
      <c r="R60" s="251"/>
    </row>
    <row r="61" spans="1:18" ht="15" customHeight="1">
      <c r="A61" s="443"/>
      <c r="B61" s="444" t="str">
        <f>A32</f>
        <v>Fencing and Security (Face Recognition)</v>
      </c>
      <c r="C61" s="267" t="s">
        <v>37</v>
      </c>
      <c r="D61" s="268" t="s">
        <v>9</v>
      </c>
      <c r="E61" s="448"/>
      <c r="F61" s="408" t="s">
        <v>9</v>
      </c>
      <c r="G61" s="251"/>
      <c r="H61" s="251"/>
      <c r="I61" s="251"/>
      <c r="J61" s="251"/>
      <c r="K61" s="251"/>
      <c r="L61" s="251"/>
      <c r="M61" s="251"/>
      <c r="N61" s="251"/>
      <c r="O61" s="251"/>
      <c r="P61" s="251"/>
      <c r="Q61" s="251"/>
      <c r="R61" s="251"/>
    </row>
    <row r="62" spans="1:18" ht="15" customHeight="1">
      <c r="A62" s="443"/>
      <c r="B62" s="445"/>
      <c r="C62" s="255" t="s">
        <v>38</v>
      </c>
      <c r="D62" s="263" t="s">
        <v>56</v>
      </c>
      <c r="E62" s="448"/>
      <c r="F62" s="409"/>
      <c r="G62" s="251"/>
      <c r="H62" s="251"/>
      <c r="I62" s="251"/>
      <c r="J62" s="251"/>
      <c r="K62" s="251"/>
      <c r="L62" s="251"/>
      <c r="M62" s="251"/>
      <c r="N62" s="251"/>
      <c r="O62" s="251"/>
      <c r="P62" s="251"/>
      <c r="Q62" s="251"/>
      <c r="R62" s="251"/>
    </row>
    <row r="63" spans="1:18" ht="15" customHeight="1">
      <c r="A63" s="443"/>
      <c r="B63" s="445"/>
      <c r="C63" s="255" t="s">
        <v>40</v>
      </c>
      <c r="D63" s="263" t="s">
        <v>57</v>
      </c>
      <c r="E63" s="448"/>
      <c r="F63" s="409"/>
      <c r="G63" s="251"/>
      <c r="H63" s="251"/>
      <c r="I63" s="251"/>
      <c r="J63" s="251"/>
      <c r="K63" s="251"/>
      <c r="L63" s="251"/>
      <c r="M63" s="251"/>
      <c r="N63" s="251"/>
      <c r="O63" s="251"/>
      <c r="P63" s="251"/>
      <c r="Q63" s="251"/>
      <c r="R63" s="251"/>
    </row>
    <row r="64" spans="1:18" ht="15" customHeight="1">
      <c r="A64" s="443"/>
      <c r="B64" s="445"/>
      <c r="C64" s="255" t="s">
        <v>42</v>
      </c>
      <c r="D64" s="263" t="s">
        <v>58</v>
      </c>
      <c r="E64" s="448"/>
      <c r="F64" s="409"/>
      <c r="G64" s="251"/>
      <c r="H64" s="251"/>
      <c r="I64" s="251"/>
      <c r="J64" s="251"/>
      <c r="K64" s="251"/>
      <c r="L64" s="251"/>
      <c r="M64" s="251"/>
      <c r="N64" s="251"/>
      <c r="O64" s="251"/>
      <c r="P64" s="251"/>
      <c r="Q64" s="251"/>
      <c r="R64" s="251"/>
    </row>
    <row r="65" spans="1:18" ht="15" customHeight="1">
      <c r="A65" s="443"/>
      <c r="B65" s="445"/>
      <c r="C65" s="264" t="s">
        <v>48</v>
      </c>
      <c r="D65" s="271" t="s">
        <v>9</v>
      </c>
      <c r="E65" s="448"/>
      <c r="F65" s="410"/>
      <c r="G65" s="251"/>
      <c r="H65" s="251"/>
      <c r="I65" s="251"/>
      <c r="J65" s="251"/>
      <c r="K65" s="251"/>
      <c r="L65" s="251"/>
      <c r="M65" s="251"/>
      <c r="N65" s="251"/>
      <c r="O65" s="251"/>
      <c r="P65" s="251"/>
      <c r="Q65" s="251"/>
      <c r="R65" s="251"/>
    </row>
    <row r="66" spans="1:18" ht="15" customHeight="1">
      <c r="A66" s="443"/>
      <c r="B66" s="423" t="str">
        <f>A33</f>
        <v>Visitors Management (No Reesa)</v>
      </c>
      <c r="C66" s="280" t="s">
        <v>37</v>
      </c>
      <c r="D66" s="281" t="s">
        <v>9</v>
      </c>
      <c r="E66" s="448"/>
      <c r="F66" s="422" t="s">
        <v>9</v>
      </c>
      <c r="G66" s="251"/>
      <c r="H66" s="251"/>
      <c r="I66" s="251"/>
      <c r="J66" s="251"/>
      <c r="K66" s="251"/>
      <c r="L66" s="251"/>
      <c r="M66" s="251"/>
      <c r="N66" s="251"/>
      <c r="O66" s="251"/>
      <c r="P66" s="251"/>
      <c r="Q66" s="251"/>
      <c r="R66" s="251"/>
    </row>
    <row r="67" spans="1:18" ht="15" customHeight="1">
      <c r="A67" s="443"/>
      <c r="B67" s="423"/>
      <c r="C67" s="282" t="s">
        <v>38</v>
      </c>
      <c r="D67" s="283" t="s">
        <v>59</v>
      </c>
      <c r="E67" s="448"/>
      <c r="F67" s="409"/>
      <c r="G67" s="251"/>
      <c r="H67" s="251"/>
      <c r="I67" s="251"/>
      <c r="J67" s="251"/>
      <c r="K67" s="251"/>
      <c r="L67" s="251"/>
      <c r="M67" s="251"/>
      <c r="N67" s="251"/>
      <c r="O67" s="251"/>
      <c r="P67" s="251"/>
      <c r="Q67" s="251"/>
      <c r="R67" s="251"/>
    </row>
    <row r="68" spans="1:18" ht="15" customHeight="1">
      <c r="A68" s="443"/>
      <c r="B68" s="423"/>
      <c r="C68" s="282" t="s">
        <v>40</v>
      </c>
      <c r="D68" s="283" t="s">
        <v>60</v>
      </c>
      <c r="E68" s="448"/>
      <c r="F68" s="409"/>
      <c r="G68" s="251"/>
      <c r="H68" s="251"/>
      <c r="I68" s="251"/>
      <c r="J68" s="251"/>
      <c r="K68" s="251"/>
      <c r="L68" s="251"/>
      <c r="M68" s="251"/>
      <c r="N68" s="251"/>
      <c r="O68" s="251"/>
      <c r="P68" s="251"/>
      <c r="Q68" s="251"/>
      <c r="R68" s="251"/>
    </row>
    <row r="69" spans="1:18" ht="15" customHeight="1">
      <c r="A69" s="443"/>
      <c r="B69" s="423"/>
      <c r="C69" s="282" t="s">
        <v>42</v>
      </c>
      <c r="D69" s="283" t="s">
        <v>9</v>
      </c>
      <c r="E69" s="448"/>
      <c r="F69" s="409"/>
      <c r="G69" s="251"/>
      <c r="H69" s="251"/>
      <c r="I69" s="251"/>
      <c r="J69" s="251"/>
      <c r="K69" s="251"/>
      <c r="L69" s="251"/>
      <c r="M69" s="251"/>
      <c r="N69" s="251"/>
      <c r="O69" s="251"/>
      <c r="P69" s="251"/>
      <c r="Q69" s="251"/>
      <c r="R69" s="251"/>
    </row>
    <row r="70" spans="1:18" ht="15" customHeight="1">
      <c r="A70" s="443"/>
      <c r="B70" s="446"/>
      <c r="C70" s="284" t="s">
        <v>48</v>
      </c>
      <c r="D70" s="285" t="s">
        <v>9</v>
      </c>
      <c r="E70" s="448"/>
      <c r="F70" s="410"/>
      <c r="G70" s="251"/>
      <c r="H70" s="251"/>
      <c r="I70" s="251"/>
      <c r="J70" s="251"/>
      <c r="K70" s="251"/>
      <c r="L70" s="251"/>
      <c r="M70" s="251"/>
      <c r="N70" s="251"/>
      <c r="O70" s="251"/>
      <c r="P70" s="251"/>
      <c r="Q70" s="251"/>
      <c r="R70" s="251"/>
    </row>
    <row r="71" spans="1:18" ht="15" customHeight="1">
      <c r="A71" s="443"/>
      <c r="B71" s="417" t="str">
        <f>A34</f>
        <v>Processing Machines</v>
      </c>
      <c r="C71" s="254" t="s">
        <v>37</v>
      </c>
      <c r="D71" s="286" t="s">
        <v>9</v>
      </c>
      <c r="E71" s="448"/>
      <c r="F71" s="422" t="s">
        <v>9</v>
      </c>
      <c r="G71" s="251"/>
      <c r="H71" s="251"/>
      <c r="I71" s="251"/>
      <c r="J71" s="251"/>
      <c r="K71" s="251"/>
      <c r="L71" s="251"/>
      <c r="M71" s="251"/>
      <c r="N71" s="251"/>
      <c r="O71" s="251"/>
      <c r="P71" s="251"/>
      <c r="Q71" s="251"/>
      <c r="R71" s="251"/>
    </row>
    <row r="72" spans="1:18" ht="15" customHeight="1">
      <c r="A72" s="443"/>
      <c r="B72" s="418"/>
      <c r="C72" s="287" t="s">
        <v>38</v>
      </c>
      <c r="D72" s="263" t="s">
        <v>61</v>
      </c>
      <c r="E72" s="448"/>
      <c r="F72" s="409"/>
      <c r="G72" s="251"/>
      <c r="H72" s="251"/>
      <c r="I72" s="251"/>
      <c r="J72" s="251"/>
      <c r="K72" s="251"/>
      <c r="L72" s="251"/>
      <c r="M72" s="251"/>
      <c r="N72" s="251"/>
      <c r="O72" s="251"/>
      <c r="P72" s="251"/>
      <c r="Q72" s="251"/>
      <c r="R72" s="251"/>
    </row>
    <row r="73" spans="1:18" ht="15" customHeight="1">
      <c r="A73" s="443"/>
      <c r="B73" s="418"/>
      <c r="C73" s="288" t="s">
        <v>40</v>
      </c>
      <c r="D73" s="269" t="s">
        <v>62</v>
      </c>
      <c r="E73" s="448"/>
      <c r="F73" s="409"/>
      <c r="G73" s="251"/>
      <c r="H73" s="251"/>
      <c r="I73" s="251"/>
      <c r="J73" s="251"/>
      <c r="K73" s="251"/>
      <c r="L73" s="251"/>
      <c r="M73" s="251"/>
      <c r="N73" s="251"/>
      <c r="O73" s="251"/>
      <c r="P73" s="251"/>
      <c r="Q73" s="251"/>
      <c r="R73" s="251"/>
    </row>
    <row r="74" spans="1:18" ht="15" customHeight="1">
      <c r="A74" s="443"/>
      <c r="B74" s="418"/>
      <c r="C74" s="419" t="s">
        <v>42</v>
      </c>
      <c r="D74" s="270" t="s">
        <v>63</v>
      </c>
      <c r="E74" s="448"/>
      <c r="F74" s="409"/>
      <c r="G74" s="251"/>
      <c r="H74" s="251"/>
      <c r="I74" s="251"/>
      <c r="J74" s="251"/>
      <c r="K74" s="251"/>
      <c r="L74" s="251"/>
      <c r="M74" s="251"/>
      <c r="N74" s="251"/>
      <c r="O74" s="251"/>
      <c r="P74" s="251"/>
      <c r="Q74" s="251"/>
      <c r="R74" s="251"/>
    </row>
    <row r="75" spans="1:18" ht="15" customHeight="1">
      <c r="A75" s="443"/>
      <c r="B75" s="418"/>
      <c r="C75" s="420"/>
      <c r="D75" s="269" t="s">
        <v>64</v>
      </c>
      <c r="E75" s="448"/>
      <c r="F75" s="409"/>
      <c r="G75" s="251"/>
      <c r="H75" s="251"/>
      <c r="I75" s="251"/>
      <c r="J75" s="251"/>
      <c r="K75" s="251"/>
      <c r="L75" s="251"/>
      <c r="M75" s="251"/>
      <c r="N75" s="251"/>
      <c r="O75" s="251"/>
      <c r="P75" s="251"/>
      <c r="Q75" s="251"/>
      <c r="R75" s="251"/>
    </row>
    <row r="76" spans="1:18" ht="15" customHeight="1">
      <c r="A76" s="443"/>
      <c r="B76" s="418"/>
      <c r="C76" s="420"/>
      <c r="D76" s="269" t="s">
        <v>65</v>
      </c>
      <c r="E76" s="448"/>
      <c r="F76" s="409"/>
      <c r="G76" s="251"/>
      <c r="H76" s="251"/>
      <c r="I76" s="251"/>
      <c r="J76" s="251"/>
      <c r="K76" s="251"/>
      <c r="L76" s="251"/>
      <c r="M76" s="251"/>
      <c r="N76" s="251"/>
      <c r="O76" s="251"/>
      <c r="P76" s="251"/>
      <c r="Q76" s="251"/>
      <c r="R76" s="251"/>
    </row>
    <row r="77" spans="1:18" ht="15" customHeight="1">
      <c r="A77" s="443"/>
      <c r="B77" s="418"/>
      <c r="C77" s="421"/>
      <c r="D77" s="271" t="s">
        <v>66</v>
      </c>
      <c r="E77" s="448"/>
      <c r="F77" s="409"/>
      <c r="G77" s="251"/>
      <c r="H77" s="251"/>
      <c r="I77" s="251"/>
      <c r="J77" s="251"/>
      <c r="K77" s="251"/>
      <c r="L77" s="251"/>
      <c r="M77" s="251"/>
      <c r="N77" s="251"/>
      <c r="O77" s="251"/>
      <c r="P77" s="251"/>
      <c r="Q77" s="251"/>
      <c r="R77" s="251"/>
    </row>
    <row r="78" spans="1:18" ht="15" customHeight="1">
      <c r="A78" s="443"/>
      <c r="B78" s="418"/>
      <c r="C78" s="289" t="s">
        <v>48</v>
      </c>
      <c r="D78" s="273" t="s">
        <v>9</v>
      </c>
      <c r="E78" s="449"/>
      <c r="F78" s="410"/>
      <c r="G78" s="251"/>
      <c r="H78" s="251"/>
      <c r="I78" s="251"/>
      <c r="J78" s="251"/>
      <c r="K78" s="251"/>
      <c r="L78" s="251"/>
      <c r="M78" s="251"/>
      <c r="N78" s="251"/>
      <c r="O78" s="251"/>
      <c r="P78" s="251"/>
      <c r="Q78" s="251"/>
      <c r="R78" s="251"/>
    </row>
    <row r="79" spans="1:18" ht="15" customHeight="1">
      <c r="A79" s="431" t="s">
        <v>67</v>
      </c>
      <c r="B79" s="418" t="s">
        <v>18</v>
      </c>
      <c r="C79" s="290" t="s">
        <v>68</v>
      </c>
      <c r="D79" s="291">
        <v>50</v>
      </c>
      <c r="E79" s="433" t="s">
        <v>8</v>
      </c>
      <c r="F79" s="422" t="s">
        <v>9</v>
      </c>
      <c r="G79" s="251"/>
      <c r="H79" s="251"/>
      <c r="I79" s="251"/>
      <c r="J79" s="251"/>
      <c r="K79" s="251"/>
      <c r="L79" s="251"/>
      <c r="M79" s="251"/>
      <c r="N79" s="251"/>
      <c r="O79" s="251"/>
      <c r="P79" s="251"/>
      <c r="Q79" s="251"/>
      <c r="R79" s="251"/>
    </row>
    <row r="80" spans="1:18" ht="15" customHeight="1">
      <c r="A80" s="432"/>
      <c r="B80" s="417"/>
      <c r="C80" s="287" t="s">
        <v>38</v>
      </c>
      <c r="D80" s="263" t="s">
        <v>39</v>
      </c>
      <c r="E80" s="434"/>
      <c r="F80" s="409"/>
      <c r="G80" s="251"/>
      <c r="H80" s="251"/>
      <c r="I80" s="251"/>
      <c r="J80" s="251"/>
      <c r="K80" s="251"/>
      <c r="L80" s="251"/>
      <c r="M80" s="251"/>
      <c r="N80" s="251"/>
      <c r="O80" s="251"/>
      <c r="P80" s="251"/>
      <c r="Q80" s="251"/>
      <c r="R80" s="251"/>
    </row>
    <row r="81" spans="1:18" ht="15" customHeight="1">
      <c r="A81" s="432"/>
      <c r="B81" s="417"/>
      <c r="C81" s="287" t="s">
        <v>40</v>
      </c>
      <c r="D81" s="263" t="s">
        <v>41</v>
      </c>
      <c r="E81" s="434"/>
      <c r="F81" s="409"/>
      <c r="G81" s="251"/>
      <c r="H81" s="251"/>
      <c r="I81" s="251"/>
      <c r="J81" s="251"/>
      <c r="K81" s="251"/>
      <c r="L81" s="251"/>
      <c r="M81" s="251"/>
      <c r="N81" s="251"/>
      <c r="O81" s="251"/>
      <c r="P81" s="251"/>
      <c r="Q81" s="251"/>
      <c r="R81" s="251"/>
    </row>
    <row r="82" spans="1:18" ht="15" customHeight="1">
      <c r="A82" s="432"/>
      <c r="B82" s="417"/>
      <c r="C82" s="426" t="s">
        <v>42</v>
      </c>
      <c r="D82" s="264" t="s">
        <v>43</v>
      </c>
      <c r="E82" s="434"/>
      <c r="F82" s="409"/>
      <c r="G82" s="251"/>
      <c r="H82" s="251"/>
      <c r="I82" s="251"/>
      <c r="J82" s="251"/>
      <c r="K82" s="251"/>
      <c r="L82" s="251"/>
      <c r="M82" s="251"/>
      <c r="N82" s="251"/>
      <c r="O82" s="251"/>
      <c r="P82" s="251"/>
      <c r="Q82" s="251"/>
      <c r="R82" s="251"/>
    </row>
    <row r="83" spans="1:18" ht="15" customHeight="1">
      <c r="A83" s="432"/>
      <c r="B83" s="417"/>
      <c r="C83" s="427"/>
      <c r="D83" s="265" t="s">
        <v>44</v>
      </c>
      <c r="E83" s="434"/>
      <c r="F83" s="409"/>
      <c r="G83" s="251"/>
      <c r="H83" s="251"/>
      <c r="I83" s="251"/>
      <c r="J83" s="251"/>
      <c r="K83" s="251"/>
      <c r="L83" s="251"/>
      <c r="M83" s="251"/>
      <c r="N83" s="251"/>
      <c r="O83" s="251"/>
      <c r="P83" s="251"/>
      <c r="Q83" s="251"/>
      <c r="R83" s="251"/>
    </row>
    <row r="84" spans="1:18" ht="15" customHeight="1">
      <c r="A84" s="432"/>
      <c r="B84" s="417"/>
      <c r="C84" s="427"/>
      <c r="D84" s="265" t="s">
        <v>45</v>
      </c>
      <c r="E84" s="434"/>
      <c r="F84" s="409"/>
      <c r="G84" s="251"/>
      <c r="H84" s="251"/>
      <c r="I84" s="251"/>
      <c r="J84" s="251"/>
      <c r="K84" s="251"/>
      <c r="L84" s="251"/>
      <c r="M84" s="251"/>
      <c r="N84" s="251"/>
      <c r="O84" s="251"/>
      <c r="P84" s="251"/>
      <c r="Q84" s="251"/>
      <c r="R84" s="251"/>
    </row>
    <row r="85" spans="1:18" ht="15" customHeight="1">
      <c r="A85" s="432"/>
      <c r="B85" s="417"/>
      <c r="C85" s="427"/>
      <c r="D85" s="265" t="s">
        <v>46</v>
      </c>
      <c r="E85" s="434"/>
      <c r="F85" s="409"/>
      <c r="G85" s="251"/>
      <c r="H85" s="251"/>
      <c r="I85" s="251"/>
      <c r="J85" s="251"/>
      <c r="K85" s="251"/>
      <c r="L85" s="251"/>
      <c r="M85" s="251"/>
      <c r="N85" s="251"/>
      <c r="O85" s="251"/>
      <c r="P85" s="251"/>
      <c r="Q85" s="251"/>
      <c r="R85" s="251"/>
    </row>
    <row r="86" spans="1:18" ht="15" customHeight="1">
      <c r="A86" s="432"/>
      <c r="B86" s="417"/>
      <c r="C86" s="428"/>
      <c r="D86" s="265" t="s">
        <v>47</v>
      </c>
      <c r="E86" s="434"/>
      <c r="F86" s="409"/>
      <c r="G86" s="251"/>
      <c r="H86" s="251"/>
      <c r="I86" s="251"/>
      <c r="J86" s="251"/>
      <c r="K86" s="251"/>
      <c r="L86" s="251"/>
      <c r="M86" s="251"/>
      <c r="N86" s="251"/>
      <c r="O86" s="251"/>
      <c r="P86" s="251"/>
      <c r="Q86" s="251"/>
      <c r="R86" s="251"/>
    </row>
    <row r="87" spans="1:18" ht="15" customHeight="1">
      <c r="A87" s="432"/>
      <c r="B87" s="429"/>
      <c r="C87" s="288" t="s">
        <v>48</v>
      </c>
      <c r="D87" s="266" t="s">
        <v>9</v>
      </c>
      <c r="E87" s="434"/>
      <c r="F87" s="410"/>
      <c r="G87" s="251"/>
      <c r="H87" s="251"/>
      <c r="I87" s="251"/>
      <c r="J87" s="251"/>
      <c r="K87" s="251"/>
      <c r="L87" s="251"/>
      <c r="M87" s="251"/>
      <c r="N87" s="251"/>
      <c r="O87" s="251"/>
      <c r="P87" s="251"/>
      <c r="Q87" s="251"/>
      <c r="R87" s="251"/>
    </row>
    <row r="88" spans="1:18" ht="15" customHeight="1">
      <c r="A88" s="432"/>
      <c r="B88" s="423" t="s">
        <v>21</v>
      </c>
      <c r="C88" s="290" t="s">
        <v>68</v>
      </c>
      <c r="D88" s="292">
        <v>3.6</v>
      </c>
      <c r="E88" s="434"/>
      <c r="F88" s="414" t="s">
        <v>9</v>
      </c>
      <c r="G88" s="251"/>
      <c r="H88" s="251"/>
      <c r="I88" s="251"/>
      <c r="J88" s="251"/>
      <c r="K88" s="251"/>
      <c r="L88" s="251"/>
      <c r="M88" s="251"/>
      <c r="N88" s="251"/>
      <c r="O88" s="251"/>
      <c r="P88" s="251"/>
      <c r="Q88" s="251"/>
      <c r="R88" s="251"/>
    </row>
    <row r="89" spans="1:18" ht="15" customHeight="1">
      <c r="A89" s="432"/>
      <c r="B89" s="424"/>
      <c r="C89" s="287" t="s">
        <v>38</v>
      </c>
      <c r="D89" s="263" t="s">
        <v>49</v>
      </c>
      <c r="E89" s="434"/>
      <c r="F89" s="415"/>
      <c r="G89" s="251"/>
      <c r="H89" s="251"/>
      <c r="I89" s="251"/>
      <c r="J89" s="251"/>
      <c r="K89" s="251"/>
      <c r="L89" s="251"/>
      <c r="M89" s="251"/>
      <c r="N89" s="251"/>
      <c r="O89" s="251"/>
      <c r="P89" s="251"/>
      <c r="Q89" s="251"/>
      <c r="R89" s="251"/>
    </row>
    <row r="90" spans="1:18" ht="15" customHeight="1">
      <c r="A90" s="432"/>
      <c r="B90" s="424"/>
      <c r="C90" s="288" t="s">
        <v>40</v>
      </c>
      <c r="D90" s="269" t="s">
        <v>50</v>
      </c>
      <c r="E90" s="434"/>
      <c r="F90" s="415"/>
      <c r="G90" s="251"/>
      <c r="H90" s="251"/>
      <c r="I90" s="251"/>
      <c r="J90" s="251"/>
      <c r="K90" s="251"/>
      <c r="L90" s="251"/>
      <c r="M90" s="251"/>
      <c r="N90" s="251"/>
      <c r="O90" s="251"/>
      <c r="P90" s="251"/>
      <c r="Q90" s="251"/>
      <c r="R90" s="251"/>
    </row>
    <row r="91" spans="1:18" ht="15" customHeight="1">
      <c r="A91" s="432"/>
      <c r="B91" s="424"/>
      <c r="C91" s="439" t="s">
        <v>42</v>
      </c>
      <c r="D91" s="270" t="s">
        <v>51</v>
      </c>
      <c r="E91" s="434"/>
      <c r="F91" s="415"/>
      <c r="G91" s="251"/>
      <c r="H91" s="251"/>
      <c r="I91" s="251"/>
      <c r="J91" s="251"/>
      <c r="K91" s="251"/>
      <c r="L91" s="251"/>
      <c r="M91" s="251"/>
      <c r="N91" s="251"/>
      <c r="O91" s="251"/>
      <c r="P91" s="251"/>
      <c r="Q91" s="251"/>
      <c r="R91" s="251"/>
    </row>
    <row r="92" spans="1:18" ht="15" customHeight="1">
      <c r="A92" s="432"/>
      <c r="B92" s="424"/>
      <c r="C92" s="440"/>
      <c r="D92" s="263" t="s">
        <v>52</v>
      </c>
      <c r="E92" s="434"/>
      <c r="F92" s="415"/>
      <c r="G92" s="251"/>
      <c r="H92" s="251"/>
      <c r="I92" s="251"/>
      <c r="J92" s="251"/>
      <c r="K92" s="251"/>
      <c r="L92" s="251"/>
      <c r="M92" s="251"/>
      <c r="N92" s="251"/>
      <c r="O92" s="251"/>
      <c r="P92" s="251"/>
      <c r="Q92" s="251"/>
      <c r="R92" s="251"/>
    </row>
    <row r="93" spans="1:18" ht="15" customHeight="1">
      <c r="A93" s="432"/>
      <c r="B93" s="424"/>
      <c r="C93" s="441"/>
      <c r="D93" s="271" t="s">
        <v>53</v>
      </c>
      <c r="E93" s="434"/>
      <c r="F93" s="415"/>
      <c r="G93" s="251"/>
      <c r="H93" s="251"/>
      <c r="I93" s="251"/>
      <c r="J93" s="251"/>
      <c r="K93" s="251"/>
      <c r="L93" s="251"/>
      <c r="M93" s="251"/>
      <c r="N93" s="251"/>
      <c r="O93" s="251"/>
      <c r="P93" s="251"/>
      <c r="Q93" s="251"/>
      <c r="R93" s="251"/>
    </row>
    <row r="94" spans="1:18" ht="15" customHeight="1">
      <c r="A94" s="432"/>
      <c r="B94" s="425"/>
      <c r="C94" s="289" t="s">
        <v>48</v>
      </c>
      <c r="D94" s="273" t="s">
        <v>9</v>
      </c>
      <c r="E94" s="434"/>
      <c r="F94" s="416"/>
      <c r="G94" s="251"/>
      <c r="H94" s="251"/>
      <c r="I94" s="251"/>
      <c r="J94" s="251"/>
      <c r="K94" s="251"/>
      <c r="L94" s="251"/>
      <c r="M94" s="251"/>
      <c r="N94" s="251"/>
      <c r="O94" s="251"/>
      <c r="P94" s="251"/>
      <c r="Q94" s="251"/>
      <c r="R94" s="251"/>
    </row>
    <row r="95" spans="1:18" ht="15" customHeight="1">
      <c r="A95" s="432"/>
      <c r="B95" s="423" t="s">
        <v>23</v>
      </c>
      <c r="C95" s="274" t="s">
        <v>68</v>
      </c>
      <c r="D95" s="293">
        <v>6</v>
      </c>
      <c r="E95" s="434"/>
      <c r="F95" s="411" t="s">
        <v>69</v>
      </c>
      <c r="G95" s="251"/>
      <c r="H95" s="251"/>
      <c r="I95" s="251"/>
      <c r="J95" s="251"/>
      <c r="K95" s="251"/>
      <c r="L95" s="251"/>
      <c r="M95" s="251"/>
      <c r="N95" s="251"/>
      <c r="O95" s="251"/>
      <c r="P95" s="251"/>
      <c r="Q95" s="251"/>
      <c r="R95" s="251"/>
    </row>
    <row r="96" spans="1:18" ht="15" customHeight="1">
      <c r="A96" s="432"/>
      <c r="B96" s="424"/>
      <c r="C96" s="276" t="s">
        <v>38</v>
      </c>
      <c r="D96" s="277" t="s">
        <v>54</v>
      </c>
      <c r="E96" s="434"/>
      <c r="F96" s="412"/>
      <c r="G96" s="251"/>
      <c r="H96" s="251"/>
      <c r="I96" s="251"/>
      <c r="J96" s="251"/>
      <c r="K96" s="251"/>
      <c r="L96" s="251"/>
      <c r="M96" s="251"/>
      <c r="N96" s="251"/>
      <c r="O96" s="251"/>
      <c r="P96" s="251"/>
      <c r="Q96" s="251"/>
      <c r="R96" s="251"/>
    </row>
    <row r="97" spans="1:18" ht="15" customHeight="1">
      <c r="A97" s="432"/>
      <c r="B97" s="424"/>
      <c r="C97" s="276" t="s">
        <v>40</v>
      </c>
      <c r="D97" s="277" t="s">
        <v>55</v>
      </c>
      <c r="E97" s="434"/>
      <c r="F97" s="412"/>
      <c r="G97" s="251"/>
      <c r="H97" s="251"/>
      <c r="I97" s="251"/>
      <c r="J97" s="251"/>
      <c r="K97" s="251"/>
      <c r="L97" s="251"/>
      <c r="M97" s="251"/>
      <c r="N97" s="251"/>
      <c r="O97" s="251"/>
      <c r="P97" s="251"/>
      <c r="Q97" s="251"/>
      <c r="R97" s="251"/>
    </row>
    <row r="98" spans="1:18" ht="15" customHeight="1">
      <c r="A98" s="432"/>
      <c r="B98" s="424"/>
      <c r="C98" s="276" t="s">
        <v>42</v>
      </c>
      <c r="D98" s="277" t="s">
        <v>9</v>
      </c>
      <c r="E98" s="434"/>
      <c r="F98" s="412"/>
      <c r="G98" s="251"/>
      <c r="H98" s="251"/>
      <c r="I98" s="251"/>
      <c r="J98" s="251"/>
      <c r="K98" s="251"/>
      <c r="L98" s="251"/>
      <c r="M98" s="251"/>
      <c r="N98" s="251"/>
      <c r="O98" s="251"/>
      <c r="P98" s="251"/>
      <c r="Q98" s="251"/>
      <c r="R98" s="251"/>
    </row>
    <row r="99" spans="1:18" ht="15" customHeight="1">
      <c r="A99" s="432"/>
      <c r="B99" s="425"/>
      <c r="C99" s="278" t="s">
        <v>48</v>
      </c>
      <c r="D99" s="279" t="s">
        <v>9</v>
      </c>
      <c r="E99" s="434"/>
      <c r="F99" s="413"/>
      <c r="G99" s="251"/>
      <c r="H99" s="251"/>
      <c r="I99" s="251"/>
      <c r="J99" s="251"/>
      <c r="K99" s="251"/>
      <c r="L99" s="251"/>
      <c r="M99" s="251"/>
      <c r="N99" s="251"/>
      <c r="O99" s="251"/>
      <c r="P99" s="251"/>
      <c r="Q99" s="251"/>
      <c r="R99" s="251"/>
    </row>
    <row r="100" spans="1:18" ht="15" customHeight="1">
      <c r="A100" s="432"/>
      <c r="B100" s="418" t="s">
        <v>25</v>
      </c>
      <c r="C100" s="290" t="s">
        <v>70</v>
      </c>
      <c r="D100" s="294">
        <v>7.1</v>
      </c>
      <c r="E100" s="434"/>
      <c r="F100" s="408" t="s">
        <v>9</v>
      </c>
      <c r="G100" s="251"/>
      <c r="H100" s="251"/>
      <c r="I100" s="251"/>
      <c r="J100" s="251"/>
      <c r="K100" s="251"/>
      <c r="L100" s="251"/>
      <c r="M100" s="251"/>
      <c r="N100" s="251"/>
      <c r="O100" s="251"/>
      <c r="P100" s="251"/>
      <c r="Q100" s="251"/>
      <c r="R100" s="251"/>
    </row>
    <row r="101" spans="1:18" ht="15" customHeight="1">
      <c r="A101" s="432"/>
      <c r="B101" s="417"/>
      <c r="C101" s="287" t="s">
        <v>38</v>
      </c>
      <c r="D101" s="263" t="s">
        <v>56</v>
      </c>
      <c r="E101" s="434"/>
      <c r="F101" s="409"/>
      <c r="G101" s="251"/>
      <c r="H101" s="251"/>
      <c r="I101" s="251"/>
      <c r="J101" s="251"/>
      <c r="K101" s="251"/>
      <c r="L101" s="251"/>
      <c r="M101" s="251"/>
      <c r="N101" s="251"/>
      <c r="O101" s="251"/>
      <c r="P101" s="251"/>
      <c r="Q101" s="251"/>
      <c r="R101" s="251"/>
    </row>
    <row r="102" spans="1:18" ht="15" customHeight="1">
      <c r="A102" s="432"/>
      <c r="B102" s="417"/>
      <c r="C102" s="287" t="s">
        <v>40</v>
      </c>
      <c r="D102" s="263" t="s">
        <v>57</v>
      </c>
      <c r="E102" s="434"/>
      <c r="F102" s="409"/>
      <c r="G102" s="251"/>
      <c r="H102" s="251"/>
      <c r="I102" s="251"/>
      <c r="J102" s="251"/>
      <c r="K102" s="251"/>
      <c r="L102" s="251"/>
      <c r="M102" s="251"/>
      <c r="N102" s="251"/>
      <c r="O102" s="251"/>
      <c r="P102" s="251"/>
      <c r="Q102" s="251"/>
      <c r="R102" s="251"/>
    </row>
    <row r="103" spans="1:18" ht="15" customHeight="1">
      <c r="A103" s="432"/>
      <c r="B103" s="417"/>
      <c r="C103" s="287" t="s">
        <v>42</v>
      </c>
      <c r="D103" s="263" t="s">
        <v>58</v>
      </c>
      <c r="E103" s="434"/>
      <c r="F103" s="409"/>
      <c r="G103" s="251"/>
      <c r="H103" s="251"/>
      <c r="I103" s="251"/>
      <c r="J103" s="251"/>
      <c r="K103" s="251"/>
      <c r="L103" s="251"/>
      <c r="M103" s="251"/>
      <c r="N103" s="251"/>
      <c r="O103" s="251"/>
      <c r="P103" s="251"/>
      <c r="Q103" s="251"/>
      <c r="R103" s="251"/>
    </row>
    <row r="104" spans="1:18" ht="15" customHeight="1">
      <c r="A104" s="432"/>
      <c r="B104" s="429"/>
      <c r="C104" s="295" t="s">
        <v>48</v>
      </c>
      <c r="D104" s="271" t="s">
        <v>9</v>
      </c>
      <c r="E104" s="434"/>
      <c r="F104" s="410"/>
      <c r="G104" s="251"/>
      <c r="H104" s="251"/>
      <c r="I104" s="251"/>
      <c r="J104" s="251"/>
      <c r="K104" s="251"/>
      <c r="L104" s="251"/>
      <c r="M104" s="251"/>
      <c r="N104" s="251"/>
      <c r="O104" s="251"/>
      <c r="P104" s="251"/>
      <c r="Q104" s="251"/>
      <c r="R104" s="251"/>
    </row>
    <row r="105" spans="1:18" ht="15" customHeight="1">
      <c r="A105" s="432"/>
      <c r="B105" s="423" t="s">
        <v>27</v>
      </c>
      <c r="C105" s="290" t="s">
        <v>68</v>
      </c>
      <c r="D105" s="294">
        <v>1.5</v>
      </c>
      <c r="E105" s="434"/>
      <c r="F105" s="422" t="s">
        <v>9</v>
      </c>
      <c r="G105" s="251"/>
      <c r="H105" s="251"/>
      <c r="I105" s="251"/>
      <c r="J105" s="251"/>
      <c r="K105" s="251"/>
      <c r="L105" s="251"/>
      <c r="M105" s="251"/>
      <c r="N105" s="251"/>
      <c r="O105" s="251"/>
      <c r="P105" s="251"/>
      <c r="Q105" s="251"/>
      <c r="R105" s="251"/>
    </row>
    <row r="106" spans="1:18" ht="15" customHeight="1">
      <c r="A106" s="432"/>
      <c r="B106" s="424"/>
      <c r="C106" s="287" t="s">
        <v>38</v>
      </c>
      <c r="D106" s="263" t="s">
        <v>59</v>
      </c>
      <c r="E106" s="434"/>
      <c r="F106" s="409"/>
      <c r="G106" s="251"/>
      <c r="H106" s="251"/>
      <c r="I106" s="251"/>
      <c r="J106" s="251"/>
      <c r="K106" s="251"/>
      <c r="L106" s="251"/>
      <c r="M106" s="251"/>
      <c r="N106" s="251"/>
      <c r="O106" s="251"/>
      <c r="P106" s="251"/>
      <c r="Q106" s="251"/>
      <c r="R106" s="251"/>
    </row>
    <row r="107" spans="1:18" ht="15" customHeight="1">
      <c r="A107" s="432"/>
      <c r="B107" s="424"/>
      <c r="C107" s="287" t="s">
        <v>40</v>
      </c>
      <c r="D107" s="263" t="s">
        <v>60</v>
      </c>
      <c r="E107" s="434"/>
      <c r="F107" s="409"/>
      <c r="G107" s="251"/>
      <c r="H107" s="251"/>
      <c r="I107" s="251"/>
      <c r="J107" s="251"/>
      <c r="K107" s="251"/>
      <c r="L107" s="251"/>
      <c r="M107" s="251"/>
      <c r="N107" s="251"/>
      <c r="O107" s="251"/>
      <c r="P107" s="251"/>
      <c r="Q107" s="251"/>
      <c r="R107" s="251"/>
    </row>
    <row r="108" spans="1:18" ht="15" customHeight="1">
      <c r="A108" s="432"/>
      <c r="B108" s="424"/>
      <c r="C108" s="287" t="s">
        <v>42</v>
      </c>
      <c r="D108" s="263" t="s">
        <v>9</v>
      </c>
      <c r="E108" s="434"/>
      <c r="F108" s="409"/>
      <c r="G108" s="251"/>
      <c r="H108" s="251"/>
      <c r="I108" s="251"/>
      <c r="J108" s="251"/>
      <c r="K108" s="251"/>
      <c r="L108" s="251"/>
      <c r="M108" s="251"/>
      <c r="N108" s="251"/>
      <c r="O108" s="251"/>
      <c r="P108" s="251"/>
      <c r="Q108" s="251"/>
      <c r="R108" s="251"/>
    </row>
    <row r="109" spans="1:18" ht="15" customHeight="1">
      <c r="A109" s="432"/>
      <c r="B109" s="425"/>
      <c r="C109" s="295" t="s">
        <v>48</v>
      </c>
      <c r="D109" s="271" t="s">
        <v>9</v>
      </c>
      <c r="E109" s="434"/>
      <c r="F109" s="410"/>
      <c r="G109" s="251"/>
      <c r="H109" s="251"/>
      <c r="I109" s="251"/>
      <c r="J109" s="251"/>
      <c r="K109" s="251"/>
      <c r="L109" s="251"/>
      <c r="M109" s="251"/>
      <c r="N109" s="251"/>
      <c r="O109" s="251"/>
      <c r="P109" s="251"/>
      <c r="Q109" s="251"/>
      <c r="R109" s="251"/>
    </row>
    <row r="110" spans="1:18" ht="15" customHeight="1">
      <c r="A110" s="432"/>
      <c r="B110" s="418" t="s">
        <v>71</v>
      </c>
      <c r="C110" s="290" t="s">
        <v>68</v>
      </c>
      <c r="D110" s="294">
        <f>2000000/1000000</f>
        <v>2</v>
      </c>
      <c r="E110" s="434"/>
      <c r="F110" s="422" t="s">
        <v>72</v>
      </c>
      <c r="G110" s="251"/>
      <c r="H110" s="251"/>
      <c r="I110" s="251"/>
      <c r="J110" s="251"/>
      <c r="K110" s="251"/>
      <c r="L110" s="251"/>
      <c r="M110" s="251"/>
      <c r="N110" s="251"/>
      <c r="O110" s="251"/>
      <c r="P110" s="251"/>
      <c r="Q110" s="251"/>
      <c r="R110" s="251"/>
    </row>
    <row r="111" spans="1:18" ht="15" customHeight="1">
      <c r="A111" s="432"/>
      <c r="B111" s="417"/>
      <c r="C111" s="287" t="s">
        <v>38</v>
      </c>
      <c r="D111" s="263" t="s">
        <v>61</v>
      </c>
      <c r="E111" s="434"/>
      <c r="F111" s="409"/>
      <c r="G111" s="251"/>
      <c r="H111" s="251"/>
      <c r="I111" s="251"/>
      <c r="J111" s="251"/>
      <c r="K111" s="251"/>
      <c r="L111" s="251"/>
      <c r="M111" s="251"/>
      <c r="N111" s="251"/>
      <c r="O111" s="251"/>
      <c r="P111" s="251"/>
      <c r="Q111" s="251"/>
      <c r="R111" s="251"/>
    </row>
    <row r="112" spans="1:18" ht="15" customHeight="1">
      <c r="A112" s="432"/>
      <c r="B112" s="417"/>
      <c r="C112" s="288" t="s">
        <v>40</v>
      </c>
      <c r="D112" s="269" t="s">
        <v>62</v>
      </c>
      <c r="E112" s="434"/>
      <c r="F112" s="409"/>
      <c r="G112" s="251"/>
      <c r="H112" s="251"/>
      <c r="I112" s="251"/>
      <c r="J112" s="251"/>
      <c r="K112" s="251"/>
      <c r="L112" s="251"/>
      <c r="M112" s="251"/>
      <c r="N112" s="251"/>
      <c r="O112" s="251"/>
      <c r="P112" s="251"/>
      <c r="Q112" s="251"/>
      <c r="R112" s="251"/>
    </row>
    <row r="113" spans="1:18" ht="15" customHeight="1">
      <c r="A113" s="432"/>
      <c r="B113" s="417"/>
      <c r="C113" s="436" t="s">
        <v>42</v>
      </c>
      <c r="D113" s="270" t="s">
        <v>63</v>
      </c>
      <c r="E113" s="434"/>
      <c r="F113" s="409"/>
      <c r="G113" s="251"/>
      <c r="H113" s="251"/>
      <c r="I113" s="251"/>
      <c r="J113" s="251"/>
      <c r="K113" s="251"/>
      <c r="L113" s="251"/>
      <c r="M113" s="251"/>
      <c r="N113" s="251"/>
      <c r="O113" s="251"/>
      <c r="P113" s="251"/>
      <c r="Q113" s="251"/>
      <c r="R113" s="251"/>
    </row>
    <row r="114" spans="1:18" ht="15" customHeight="1">
      <c r="A114" s="432"/>
      <c r="B114" s="417"/>
      <c r="C114" s="437"/>
      <c r="D114" s="269" t="s">
        <v>64</v>
      </c>
      <c r="E114" s="434"/>
      <c r="F114" s="409"/>
      <c r="G114" s="251"/>
      <c r="H114" s="251"/>
      <c r="I114" s="251"/>
      <c r="J114" s="251"/>
      <c r="K114" s="251"/>
      <c r="L114" s="251"/>
      <c r="M114" s="251"/>
      <c r="N114" s="251"/>
      <c r="O114" s="251"/>
      <c r="P114" s="251"/>
      <c r="Q114" s="251"/>
      <c r="R114" s="251"/>
    </row>
    <row r="115" spans="1:18" ht="15" customHeight="1">
      <c r="A115" s="432"/>
      <c r="B115" s="417"/>
      <c r="C115" s="437"/>
      <c r="D115" s="269" t="s">
        <v>65</v>
      </c>
      <c r="E115" s="434"/>
      <c r="F115" s="409"/>
      <c r="G115" s="251"/>
      <c r="H115" s="251"/>
      <c r="I115" s="251"/>
      <c r="J115" s="251"/>
      <c r="K115" s="251"/>
      <c r="L115" s="251"/>
      <c r="M115" s="251"/>
      <c r="N115" s="251"/>
      <c r="O115" s="251"/>
      <c r="P115" s="251"/>
      <c r="Q115" s="251"/>
      <c r="R115" s="251"/>
    </row>
    <row r="116" spans="1:18" ht="15" customHeight="1">
      <c r="A116" s="432"/>
      <c r="B116" s="417"/>
      <c r="C116" s="438"/>
      <c r="D116" s="271" t="s">
        <v>66</v>
      </c>
      <c r="E116" s="434"/>
      <c r="F116" s="409"/>
      <c r="G116" s="251"/>
      <c r="H116" s="251"/>
      <c r="I116" s="251"/>
      <c r="J116" s="251"/>
      <c r="K116" s="251"/>
      <c r="L116" s="251"/>
      <c r="M116" s="251"/>
      <c r="N116" s="251"/>
      <c r="O116" s="251"/>
      <c r="P116" s="251"/>
      <c r="Q116" s="251"/>
      <c r="R116" s="251"/>
    </row>
    <row r="117" spans="1:18" ht="15" customHeight="1">
      <c r="A117" s="432"/>
      <c r="B117" s="429"/>
      <c r="C117" s="289" t="s">
        <v>48</v>
      </c>
      <c r="D117" s="273" t="s">
        <v>9</v>
      </c>
      <c r="E117" s="435"/>
      <c r="F117" s="410"/>
      <c r="G117" s="251"/>
      <c r="H117" s="251"/>
      <c r="I117" s="251"/>
      <c r="J117" s="251"/>
      <c r="K117" s="251"/>
      <c r="L117" s="251"/>
      <c r="M117" s="251"/>
      <c r="N117" s="251"/>
      <c r="O117" s="251"/>
      <c r="P117" s="251"/>
      <c r="Q117" s="251"/>
      <c r="R117" s="251"/>
    </row>
    <row r="140" hidden="1"/>
  </sheetData>
  <mergeCells count="85">
    <mergeCell ref="A26:F27"/>
    <mergeCell ref="G26:R27"/>
    <mergeCell ref="F15:G15"/>
    <mergeCell ref="F16:G16"/>
    <mergeCell ref="F18:G18"/>
    <mergeCell ref="B22:E22"/>
    <mergeCell ref="B23:E23"/>
    <mergeCell ref="B13:B14"/>
    <mergeCell ref="C13:C14"/>
    <mergeCell ref="D13:D14"/>
    <mergeCell ref="E13:E14"/>
    <mergeCell ref="F13:G14"/>
    <mergeCell ref="B1:I2"/>
    <mergeCell ref="A7:B8"/>
    <mergeCell ref="C7:C8"/>
    <mergeCell ref="A9:B9"/>
    <mergeCell ref="H11:I11"/>
    <mergeCell ref="A28:F29"/>
    <mergeCell ref="G28:R28"/>
    <mergeCell ref="G29:R29"/>
    <mergeCell ref="A30:F30"/>
    <mergeCell ref="G30:R30"/>
    <mergeCell ref="A31:F31"/>
    <mergeCell ref="G31:R31"/>
    <mergeCell ref="A32:F32"/>
    <mergeCell ref="G32:R32"/>
    <mergeCell ref="A33:F33"/>
    <mergeCell ref="G33:R33"/>
    <mergeCell ref="L40:N40"/>
    <mergeCell ref="L41:N41"/>
    <mergeCell ref="L42:N42"/>
    <mergeCell ref="L43:N43"/>
    <mergeCell ref="A34:F34"/>
    <mergeCell ref="G34:R34"/>
    <mergeCell ref="C36:E36"/>
    <mergeCell ref="F36:G36"/>
    <mergeCell ref="G35:R35"/>
    <mergeCell ref="A35:F35"/>
    <mergeCell ref="L37:N38"/>
    <mergeCell ref="A38:A39"/>
    <mergeCell ref="B38:B39"/>
    <mergeCell ref="C38:D39"/>
    <mergeCell ref="E38:E39"/>
    <mergeCell ref="F38:F39"/>
    <mergeCell ref="L39:N39"/>
    <mergeCell ref="B56:B60"/>
    <mergeCell ref="B61:B65"/>
    <mergeCell ref="B66:B70"/>
    <mergeCell ref="E40:E78"/>
    <mergeCell ref="F40:F48"/>
    <mergeCell ref="C43:C47"/>
    <mergeCell ref="B49:B55"/>
    <mergeCell ref="F49:F55"/>
    <mergeCell ref="C52:C54"/>
    <mergeCell ref="L44:N44"/>
    <mergeCell ref="L45:N45"/>
    <mergeCell ref="L46:N46"/>
    <mergeCell ref="L47:N47"/>
    <mergeCell ref="F56:F60"/>
    <mergeCell ref="L48:N48"/>
    <mergeCell ref="L49:N49"/>
    <mergeCell ref="A79:A117"/>
    <mergeCell ref="E79:E117"/>
    <mergeCell ref="F71:F78"/>
    <mergeCell ref="F66:F70"/>
    <mergeCell ref="F61:F65"/>
    <mergeCell ref="B110:B117"/>
    <mergeCell ref="C113:C116"/>
    <mergeCell ref="C91:C93"/>
    <mergeCell ref="B95:B99"/>
    <mergeCell ref="B100:B104"/>
    <mergeCell ref="B105:B109"/>
    <mergeCell ref="F110:F117"/>
    <mergeCell ref="F105:F109"/>
    <mergeCell ref="A40:A78"/>
    <mergeCell ref="B40:B48"/>
    <mergeCell ref="F100:F104"/>
    <mergeCell ref="F95:F99"/>
    <mergeCell ref="F88:F94"/>
    <mergeCell ref="B71:B78"/>
    <mergeCell ref="C74:C77"/>
    <mergeCell ref="F79:F87"/>
    <mergeCell ref="B88:B94"/>
    <mergeCell ref="C82:C86"/>
    <mergeCell ref="B79:B8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1C921-7FCF-49CE-AD71-D6F3A8AFB092}">
  <dimension ref="A1:O110"/>
  <sheetViews>
    <sheetView topLeftCell="A45" workbookViewId="0">
      <selection activeCell="G61" sqref="G61"/>
    </sheetView>
  </sheetViews>
  <sheetFormatPr defaultRowHeight="15"/>
  <cols>
    <col min="1" max="1" width="39.140625" customWidth="1"/>
    <col min="2" max="2" width="25" customWidth="1"/>
    <col min="3" max="3" width="30.140625" customWidth="1"/>
    <col min="4" max="4" width="20.42578125" style="34" customWidth="1"/>
    <col min="5" max="5" width="20" style="34" customWidth="1"/>
    <col min="6" max="6" width="31.7109375" customWidth="1"/>
    <col min="7" max="7" width="24.5703125" customWidth="1"/>
    <col min="8" max="8" width="31.28515625" customWidth="1"/>
    <col min="9" max="9" width="23.28515625" customWidth="1"/>
    <col min="10" max="10" width="19.42578125" customWidth="1"/>
    <col min="11" max="11" width="20" customWidth="1"/>
    <col min="12" max="12" width="24.28515625" customWidth="1"/>
  </cols>
  <sheetData>
    <row r="1" spans="1:15" ht="26.25" customHeight="1">
      <c r="A1" s="534" t="s">
        <v>73</v>
      </c>
      <c r="B1" s="534"/>
      <c r="C1" s="534"/>
      <c r="D1" s="530"/>
      <c r="E1" s="398"/>
    </row>
    <row r="2" spans="1:15" ht="36" customHeight="1">
      <c r="A2" s="138" t="s">
        <v>74</v>
      </c>
      <c r="B2" s="138" t="s">
        <v>75</v>
      </c>
      <c r="C2" s="138" t="s">
        <v>76</v>
      </c>
      <c r="D2" s="530"/>
      <c r="E2" s="398"/>
    </row>
    <row r="3" spans="1:15" ht="25.5" customHeight="1">
      <c r="A3" s="35" t="s">
        <v>77</v>
      </c>
      <c r="B3" s="35">
        <v>50</v>
      </c>
      <c r="C3" s="36" t="s">
        <v>78</v>
      </c>
      <c r="D3" s="530"/>
      <c r="E3" s="398"/>
    </row>
    <row r="4" spans="1:15" ht="26.25" customHeight="1">
      <c r="A4" s="147" t="s">
        <v>79</v>
      </c>
      <c r="B4" s="147">
        <v>200</v>
      </c>
      <c r="C4" s="147" t="s">
        <v>78</v>
      </c>
      <c r="D4" s="398"/>
      <c r="E4" s="398"/>
    </row>
    <row r="5" spans="1:15" ht="23.25" customHeight="1">
      <c r="A5" s="35" t="s">
        <v>80</v>
      </c>
      <c r="B5" s="35">
        <v>1000</v>
      </c>
      <c r="C5" s="35" t="s">
        <v>81</v>
      </c>
      <c r="D5" s="398"/>
      <c r="E5" s="398"/>
    </row>
    <row r="6" spans="1:15" ht="21.75" customHeight="1">
      <c r="A6" s="35" t="s">
        <v>82</v>
      </c>
      <c r="B6" s="35">
        <v>5000</v>
      </c>
      <c r="C6" s="35" t="s">
        <v>81</v>
      </c>
      <c r="D6" s="398"/>
      <c r="E6" s="398"/>
    </row>
    <row r="7" spans="1:15" ht="20.25" customHeight="1">
      <c r="D7" s="398"/>
      <c r="E7" s="398"/>
    </row>
    <row r="8" spans="1:15" ht="15" customHeight="1">
      <c r="D8" s="398"/>
      <c r="E8" s="398"/>
    </row>
    <row r="9" spans="1:15" ht="19.5" customHeight="1">
      <c r="D9" s="398"/>
      <c r="E9" s="398"/>
    </row>
    <row r="10" spans="1:15" ht="20.25" customHeight="1">
      <c r="D10" s="398"/>
      <c r="E10" s="398"/>
      <c r="O10" t="s">
        <v>83</v>
      </c>
    </row>
    <row r="11" spans="1:15" ht="18.75">
      <c r="A11" s="531" t="s">
        <v>84</v>
      </c>
      <c r="B11" s="531"/>
      <c r="C11" s="531"/>
      <c r="D11" s="531"/>
      <c r="E11" s="398"/>
      <c r="F11" s="513"/>
      <c r="G11" s="513"/>
      <c r="H11" s="513"/>
      <c r="I11" s="513"/>
    </row>
    <row r="12" spans="1:15" ht="15.75">
      <c r="A12" s="138" t="s">
        <v>85</v>
      </c>
      <c r="B12" s="138" t="s">
        <v>86</v>
      </c>
      <c r="C12" s="138" t="s">
        <v>75</v>
      </c>
      <c r="D12" s="138" t="s">
        <v>87</v>
      </c>
      <c r="E12" s="398"/>
      <c r="F12" s="513"/>
      <c r="G12" s="513"/>
      <c r="H12" s="513"/>
      <c r="I12" s="513"/>
    </row>
    <row r="13" spans="1:15">
      <c r="A13" s="535" t="s">
        <v>88</v>
      </c>
      <c r="B13" s="37" t="s">
        <v>89</v>
      </c>
      <c r="C13" s="37">
        <v>50</v>
      </c>
      <c r="D13" s="38">
        <v>10000</v>
      </c>
      <c r="E13" s="398"/>
      <c r="F13" s="513"/>
      <c r="G13" s="513"/>
      <c r="H13" s="513"/>
      <c r="I13" s="513"/>
    </row>
    <row r="14" spans="1:15">
      <c r="A14" s="536"/>
      <c r="B14" s="37">
        <v>2</v>
      </c>
      <c r="C14" s="37">
        <v>200</v>
      </c>
      <c r="D14" s="38" t="s">
        <v>90</v>
      </c>
      <c r="E14" s="398"/>
      <c r="F14" s="513"/>
      <c r="G14" s="513"/>
      <c r="H14" s="513"/>
      <c r="I14" s="513"/>
    </row>
    <row r="15" spans="1:15">
      <c r="A15" s="536"/>
      <c r="B15" s="37">
        <v>10</v>
      </c>
      <c r="C15" s="37">
        <v>1000</v>
      </c>
      <c r="D15" s="38" t="s">
        <v>91</v>
      </c>
      <c r="E15" s="398"/>
      <c r="F15" s="513"/>
      <c r="G15" s="513"/>
      <c r="H15" s="513"/>
      <c r="I15" s="513"/>
    </row>
    <row r="16" spans="1:15">
      <c r="A16" s="537"/>
      <c r="B16" s="37">
        <v>50</v>
      </c>
      <c r="C16" s="37">
        <v>5000</v>
      </c>
      <c r="D16" s="38" t="s">
        <v>92</v>
      </c>
      <c r="E16" s="398"/>
      <c r="F16" s="513"/>
      <c r="G16" s="513"/>
      <c r="H16" s="513"/>
      <c r="I16" s="513"/>
    </row>
    <row r="17" spans="1:11">
      <c r="A17" s="538" t="s">
        <v>93</v>
      </c>
      <c r="B17" s="397" t="s">
        <v>89</v>
      </c>
      <c r="C17" s="397">
        <v>50</v>
      </c>
      <c r="D17" s="39" t="s">
        <v>94</v>
      </c>
      <c r="E17" s="398"/>
      <c r="F17" s="513"/>
      <c r="G17" s="513"/>
      <c r="H17" s="513"/>
      <c r="I17" s="513"/>
    </row>
    <row r="18" spans="1:11">
      <c r="A18" s="539"/>
      <c r="B18" s="147">
        <v>2</v>
      </c>
      <c r="C18" s="147">
        <v>200</v>
      </c>
      <c r="D18" s="148" t="s">
        <v>95</v>
      </c>
      <c r="E18" s="398"/>
      <c r="F18" s="513"/>
      <c r="G18" s="513"/>
      <c r="H18" s="513"/>
      <c r="I18" s="513"/>
    </row>
    <row r="19" spans="1:11">
      <c r="A19" s="539"/>
      <c r="B19" s="37">
        <v>10</v>
      </c>
      <c r="C19" s="37">
        <v>1000</v>
      </c>
      <c r="D19" s="40" t="s">
        <v>96</v>
      </c>
      <c r="E19" s="398"/>
      <c r="F19" s="513"/>
      <c r="G19" s="513"/>
      <c r="H19" s="513"/>
      <c r="I19" s="513"/>
    </row>
    <row r="20" spans="1:11">
      <c r="A20" s="540"/>
      <c r="B20" s="37">
        <v>50</v>
      </c>
      <c r="C20" s="37">
        <v>5000</v>
      </c>
      <c r="D20" s="40" t="s">
        <v>97</v>
      </c>
      <c r="E20" s="398"/>
      <c r="F20" s="513"/>
      <c r="G20" s="513"/>
      <c r="H20" s="513"/>
      <c r="I20" s="513"/>
      <c r="K20" t="s">
        <v>98</v>
      </c>
    </row>
    <row r="21" spans="1:11">
      <c r="A21" s="535" t="s">
        <v>99</v>
      </c>
      <c r="B21" s="397" t="s">
        <v>89</v>
      </c>
      <c r="C21" s="397">
        <v>50</v>
      </c>
      <c r="D21" s="39" t="s">
        <v>100</v>
      </c>
      <c r="E21" s="398"/>
      <c r="F21" s="513"/>
      <c r="G21" s="513"/>
      <c r="H21" s="513"/>
      <c r="I21" s="513"/>
    </row>
    <row r="22" spans="1:11">
      <c r="A22" s="536"/>
      <c r="B22" s="37">
        <v>2</v>
      </c>
      <c r="C22" s="37">
        <v>200</v>
      </c>
      <c r="D22" s="40" t="s">
        <v>101</v>
      </c>
      <c r="E22" s="398"/>
      <c r="F22" s="513"/>
      <c r="G22" s="513"/>
      <c r="H22" s="513"/>
      <c r="I22" s="513"/>
    </row>
    <row r="23" spans="1:11">
      <c r="A23" s="536"/>
      <c r="B23" s="37">
        <v>10</v>
      </c>
      <c r="C23" s="37">
        <v>1000</v>
      </c>
      <c r="D23" s="40" t="s">
        <v>102</v>
      </c>
      <c r="E23" s="398"/>
      <c r="F23" s="513"/>
      <c r="G23" s="513"/>
      <c r="H23" s="513"/>
      <c r="I23" s="513"/>
    </row>
    <row r="24" spans="1:11">
      <c r="A24" s="537"/>
      <c r="B24" s="37">
        <v>50</v>
      </c>
      <c r="C24" s="37">
        <v>5000</v>
      </c>
      <c r="D24" s="40" t="s">
        <v>103</v>
      </c>
      <c r="E24" s="398"/>
      <c r="F24" s="513"/>
      <c r="G24" s="513"/>
      <c r="H24" s="513"/>
      <c r="I24" s="513"/>
    </row>
    <row r="26" spans="1:11" ht="15.75">
      <c r="A26" s="541" t="s">
        <v>104</v>
      </c>
      <c r="B26" s="541"/>
      <c r="C26" s="541"/>
      <c r="D26" s="541"/>
      <c r="E26" s="541"/>
    </row>
    <row r="30" spans="1:11" ht="21">
      <c r="D30" s="398"/>
      <c r="E30" s="398"/>
      <c r="H30" s="518" t="s">
        <v>105</v>
      </c>
      <c r="I30" s="519"/>
      <c r="J30" s="519"/>
      <c r="K30" s="520"/>
    </row>
    <row r="31" spans="1:11" ht="33.75" customHeight="1">
      <c r="A31" s="544" t="s">
        <v>106</v>
      </c>
      <c r="B31" s="544"/>
      <c r="C31" s="544"/>
      <c r="D31" s="398"/>
      <c r="E31" s="398"/>
      <c r="H31" s="328" t="s">
        <v>107</v>
      </c>
      <c r="I31" s="521" t="s">
        <v>108</v>
      </c>
      <c r="J31" s="522"/>
      <c r="K31" s="523"/>
    </row>
    <row r="32" spans="1:11" ht="23.25" customHeight="1">
      <c r="A32" s="138" t="s">
        <v>109</v>
      </c>
      <c r="B32" s="140" t="s">
        <v>110</v>
      </c>
      <c r="C32" s="139"/>
      <c r="D32" s="398"/>
      <c r="E32" s="398"/>
      <c r="H32" s="141" t="s">
        <v>111</v>
      </c>
      <c r="I32" s="524" t="s">
        <v>112</v>
      </c>
      <c r="J32" s="525"/>
      <c r="K32" s="526"/>
    </row>
    <row r="33" spans="1:12" ht="23.25" customHeight="1">
      <c r="A33" s="35" t="s">
        <v>113</v>
      </c>
      <c r="B33" s="41" t="s">
        <v>114</v>
      </c>
      <c r="C33" s="42"/>
      <c r="D33" s="398"/>
      <c r="E33" s="398"/>
      <c r="H33" s="142" t="s">
        <v>115</v>
      </c>
      <c r="I33" s="514" t="s">
        <v>116</v>
      </c>
      <c r="J33" s="515"/>
      <c r="K33" s="516"/>
    </row>
    <row r="34" spans="1:12" ht="25.5" customHeight="1">
      <c r="A34" s="35" t="s">
        <v>117</v>
      </c>
      <c r="B34" s="41" t="s">
        <v>118</v>
      </c>
      <c r="C34" s="42"/>
      <c r="D34" s="398"/>
      <c r="E34" s="398"/>
      <c r="H34" s="165" t="s">
        <v>119</v>
      </c>
      <c r="I34" s="527" t="s">
        <v>120</v>
      </c>
      <c r="J34" s="528"/>
      <c r="K34" s="529"/>
    </row>
    <row r="35" spans="1:12" ht="18.75" customHeight="1">
      <c r="A35" s="35" t="s">
        <v>121</v>
      </c>
      <c r="B35" s="41" t="s">
        <v>122</v>
      </c>
      <c r="C35" s="42"/>
      <c r="D35" s="398"/>
      <c r="E35" s="398"/>
      <c r="H35" s="143" t="s">
        <v>123</v>
      </c>
      <c r="I35" s="514" t="s">
        <v>124</v>
      </c>
      <c r="J35" s="515"/>
      <c r="K35" s="516"/>
    </row>
    <row r="36" spans="1:12" ht="18.75" customHeight="1">
      <c r="A36" s="35" t="s">
        <v>125</v>
      </c>
      <c r="B36" s="41" t="s">
        <v>126</v>
      </c>
      <c r="C36" s="42"/>
      <c r="D36" s="398"/>
      <c r="E36" s="398"/>
      <c r="H36" s="144" t="s">
        <v>127</v>
      </c>
      <c r="I36" s="514" t="s">
        <v>128</v>
      </c>
      <c r="J36" s="515"/>
      <c r="K36" s="516"/>
    </row>
    <row r="37" spans="1:12" ht="23.25" customHeight="1">
      <c r="A37" s="35" t="s">
        <v>129</v>
      </c>
      <c r="B37" s="41" t="s">
        <v>130</v>
      </c>
      <c r="C37" s="42"/>
      <c r="D37" s="398"/>
      <c r="E37" s="398"/>
    </row>
    <row r="41" spans="1:12" ht="21">
      <c r="A41" s="548" t="s">
        <v>131</v>
      </c>
      <c r="B41" s="548"/>
      <c r="C41" s="548"/>
      <c r="D41" s="548"/>
      <c r="E41" s="548"/>
      <c r="H41" s="517" t="s">
        <v>132</v>
      </c>
      <c r="I41" s="517"/>
      <c r="J41" s="517"/>
      <c r="K41" s="517"/>
      <c r="L41" s="517"/>
    </row>
    <row r="42" spans="1:12" ht="15.75">
      <c r="A42" s="138" t="s">
        <v>133</v>
      </c>
      <c r="B42" s="138" t="s">
        <v>134</v>
      </c>
      <c r="C42" s="138" t="s">
        <v>135</v>
      </c>
      <c r="D42" s="138" t="s">
        <v>136</v>
      </c>
      <c r="E42" s="138" t="s">
        <v>137</v>
      </c>
      <c r="H42" s="138"/>
      <c r="I42" s="138" t="s">
        <v>134</v>
      </c>
      <c r="J42" s="138" t="s">
        <v>135</v>
      </c>
      <c r="K42" s="138" t="s">
        <v>136</v>
      </c>
      <c r="L42" s="138" t="s">
        <v>137</v>
      </c>
    </row>
    <row r="43" spans="1:12">
      <c r="A43" s="162" t="s">
        <v>138</v>
      </c>
      <c r="B43" s="161" t="s">
        <v>139</v>
      </c>
      <c r="C43" s="163" t="s">
        <v>140</v>
      </c>
      <c r="D43" s="161">
        <v>12000000</v>
      </c>
      <c r="E43" s="160" t="s">
        <v>141</v>
      </c>
      <c r="H43" s="35" t="s">
        <v>142</v>
      </c>
      <c r="I43" s="45" t="s">
        <v>143</v>
      </c>
      <c r="J43" s="145" t="s">
        <v>144</v>
      </c>
      <c r="K43" s="43" t="s">
        <v>145</v>
      </c>
      <c r="L43" s="44" t="s">
        <v>146</v>
      </c>
    </row>
    <row r="44" spans="1:12">
      <c r="A44" s="159" t="s">
        <v>147</v>
      </c>
      <c r="B44" s="161" t="s">
        <v>148</v>
      </c>
      <c r="C44" s="163" t="s">
        <v>149</v>
      </c>
      <c r="D44" s="161">
        <v>7000000</v>
      </c>
      <c r="E44" s="160" t="s">
        <v>150</v>
      </c>
      <c r="H44" s="35" t="s">
        <v>151</v>
      </c>
      <c r="I44" s="43" t="s">
        <v>152</v>
      </c>
      <c r="J44" s="145" t="s">
        <v>153</v>
      </c>
      <c r="K44" s="43" t="s">
        <v>143</v>
      </c>
      <c r="L44" s="44" t="s">
        <v>154</v>
      </c>
    </row>
    <row r="45" spans="1:12">
      <c r="A45" s="162" t="s">
        <v>155</v>
      </c>
      <c r="B45" s="161" t="s">
        <v>156</v>
      </c>
      <c r="C45" s="163" t="s">
        <v>157</v>
      </c>
      <c r="D45" s="161">
        <v>3500000</v>
      </c>
      <c r="E45" s="160" t="s">
        <v>158</v>
      </c>
      <c r="H45" s="35" t="s">
        <v>159</v>
      </c>
      <c r="I45" s="43" t="s">
        <v>160</v>
      </c>
      <c r="J45" s="145" t="s">
        <v>150</v>
      </c>
      <c r="K45" s="43" t="s">
        <v>161</v>
      </c>
      <c r="L45" s="44" t="s">
        <v>162</v>
      </c>
    </row>
    <row r="46" spans="1:12">
      <c r="A46" s="162" t="s">
        <v>163</v>
      </c>
      <c r="B46" s="161" t="s">
        <v>164</v>
      </c>
      <c r="C46" s="163" t="s">
        <v>165</v>
      </c>
      <c r="D46" s="161" t="s">
        <v>166</v>
      </c>
      <c r="E46" s="160" t="s">
        <v>167</v>
      </c>
      <c r="H46" s="51" t="s">
        <v>168</v>
      </c>
      <c r="I46" s="49" t="s">
        <v>169</v>
      </c>
      <c r="J46" s="145" t="s">
        <v>170</v>
      </c>
      <c r="K46" s="49" t="s">
        <v>171</v>
      </c>
      <c r="L46" s="50" t="s">
        <v>172</v>
      </c>
    </row>
    <row r="47" spans="1:12">
      <c r="A47" s="158" t="s">
        <v>173</v>
      </c>
      <c r="B47" s="157" t="s">
        <v>92</v>
      </c>
      <c r="C47" s="164" t="s">
        <v>139</v>
      </c>
      <c r="D47" s="157" t="s">
        <v>174</v>
      </c>
      <c r="E47" s="156" t="s">
        <v>158</v>
      </c>
      <c r="H47" s="54" t="s">
        <v>175</v>
      </c>
      <c r="I47" s="43" t="s">
        <v>176</v>
      </c>
      <c r="J47" s="146" t="s">
        <v>177</v>
      </c>
      <c r="K47" s="46" t="s">
        <v>178</v>
      </c>
      <c r="L47" s="44" t="s">
        <v>179</v>
      </c>
    </row>
    <row r="48" spans="1:12">
      <c r="A48" s="53" t="s">
        <v>180</v>
      </c>
      <c r="B48" s="52" t="s">
        <v>169</v>
      </c>
      <c r="C48" s="155" t="s">
        <v>170</v>
      </c>
      <c r="D48" s="399" t="s">
        <v>181</v>
      </c>
      <c r="E48" s="52" t="s">
        <v>172</v>
      </c>
    </row>
    <row r="49" spans="1:9" ht="18.75">
      <c r="A49" s="543" t="s">
        <v>182</v>
      </c>
      <c r="B49" s="543"/>
      <c r="C49" s="543"/>
      <c r="D49" s="543"/>
      <c r="E49" s="543"/>
    </row>
    <row r="50" spans="1:9" ht="46.5">
      <c r="A50" s="65" t="s">
        <v>74</v>
      </c>
      <c r="B50" s="63" t="s">
        <v>183</v>
      </c>
      <c r="C50" s="64" t="s">
        <v>184</v>
      </c>
      <c r="D50" s="63" t="s">
        <v>185</v>
      </c>
      <c r="E50" s="62" t="s">
        <v>186</v>
      </c>
      <c r="F50" s="61" t="s">
        <v>187</v>
      </c>
      <c r="G50" s="61" t="s">
        <v>188</v>
      </c>
      <c r="H50" s="61" t="s">
        <v>189</v>
      </c>
      <c r="I50" s="60" t="s">
        <v>190</v>
      </c>
    </row>
    <row r="51" spans="1:9">
      <c r="A51" s="35" t="s">
        <v>77</v>
      </c>
      <c r="B51" s="43" t="s">
        <v>191</v>
      </c>
      <c r="C51" s="46" t="s">
        <v>192</v>
      </c>
      <c r="D51" s="47" t="s">
        <v>158</v>
      </c>
      <c r="E51" s="55" t="s">
        <v>193</v>
      </c>
      <c r="F51" s="58" t="s">
        <v>194</v>
      </c>
      <c r="G51" s="55" t="s">
        <v>176</v>
      </c>
      <c r="H51" s="55" t="s">
        <v>195</v>
      </c>
      <c r="I51" s="48">
        <v>5.19</v>
      </c>
    </row>
    <row r="52" spans="1:9" s="154" customFormat="1">
      <c r="A52" s="147" t="s">
        <v>79</v>
      </c>
      <c r="B52" s="148" t="s">
        <v>196</v>
      </c>
      <c r="C52" s="149" t="s">
        <v>197</v>
      </c>
      <c r="D52" s="150" t="s">
        <v>150</v>
      </c>
      <c r="E52" s="151" t="s">
        <v>198</v>
      </c>
      <c r="F52" s="152" t="s">
        <v>199</v>
      </c>
      <c r="G52" s="151" t="s">
        <v>177</v>
      </c>
      <c r="H52" s="151" t="s">
        <v>200</v>
      </c>
      <c r="I52" s="153">
        <v>4.3</v>
      </c>
    </row>
    <row r="53" spans="1:9">
      <c r="A53" s="35" t="s">
        <v>80</v>
      </c>
      <c r="B53" s="43" t="s">
        <v>201</v>
      </c>
      <c r="C53" s="46" t="s">
        <v>202</v>
      </c>
      <c r="D53" s="47" t="s">
        <v>203</v>
      </c>
      <c r="E53" s="55" t="s">
        <v>204</v>
      </c>
      <c r="F53" s="55" t="s">
        <v>205</v>
      </c>
      <c r="G53" s="55" t="s">
        <v>178</v>
      </c>
      <c r="H53" s="56">
        <v>0.27489999999999998</v>
      </c>
      <c r="I53" s="48">
        <v>3.92</v>
      </c>
    </row>
    <row r="54" spans="1:9">
      <c r="A54" s="35" t="s">
        <v>82</v>
      </c>
      <c r="B54" s="43" t="s">
        <v>206</v>
      </c>
      <c r="C54" s="46" t="s">
        <v>207</v>
      </c>
      <c r="D54" s="101" t="s">
        <v>208</v>
      </c>
      <c r="E54" s="101" t="s">
        <v>209</v>
      </c>
      <c r="F54" s="59" t="s">
        <v>210</v>
      </c>
      <c r="G54" s="101" t="s">
        <v>179</v>
      </c>
      <c r="H54" s="57">
        <v>0.33810000000000001</v>
      </c>
      <c r="I54" s="100">
        <v>3.73</v>
      </c>
    </row>
    <row r="55" spans="1:9">
      <c r="D55" s="398"/>
      <c r="E55" s="398"/>
    </row>
    <row r="56" spans="1:9">
      <c r="D56" s="398"/>
      <c r="E56" s="398"/>
    </row>
    <row r="57" spans="1:9" ht="18.75">
      <c r="A57" s="542"/>
      <c r="B57" s="542"/>
      <c r="C57" s="542"/>
      <c r="D57" s="398"/>
      <c r="E57" s="398" t="s">
        <v>211</v>
      </c>
    </row>
    <row r="58" spans="1:9" ht="21" customHeight="1">
      <c r="A58" s="532" t="s">
        <v>212</v>
      </c>
      <c r="B58" s="532"/>
      <c r="C58" s="532"/>
      <c r="D58" s="398"/>
      <c r="E58" s="398"/>
      <c r="F58" s="495" t="s">
        <v>213</v>
      </c>
      <c r="G58" s="496"/>
      <c r="H58" s="496"/>
      <c r="I58" s="497"/>
    </row>
    <row r="59" spans="1:9" ht="15.75" customHeight="1">
      <c r="A59" s="533"/>
      <c r="B59" s="533"/>
      <c r="C59" s="533"/>
      <c r="D59" s="398"/>
      <c r="E59" s="398"/>
      <c r="F59" s="386" t="s">
        <v>214</v>
      </c>
      <c r="G59" s="386" t="s">
        <v>215</v>
      </c>
      <c r="H59" s="387" t="s">
        <v>216</v>
      </c>
      <c r="I59" s="388" t="s">
        <v>217</v>
      </c>
    </row>
    <row r="60" spans="1:9" s="154" customFormat="1" ht="18.75">
      <c r="A60" s="188" t="s">
        <v>218</v>
      </c>
      <c r="B60" s="188" t="s">
        <v>219</v>
      </c>
      <c r="C60" s="188" t="s">
        <v>220</v>
      </c>
      <c r="D60" s="187"/>
      <c r="E60" s="187"/>
      <c r="F60" s="389" t="s">
        <v>221</v>
      </c>
      <c r="G60" s="390">
        <v>12700000</v>
      </c>
      <c r="H60" s="391">
        <v>5</v>
      </c>
      <c r="I60" s="392">
        <f>G60/H60</f>
        <v>2540000</v>
      </c>
    </row>
    <row r="61" spans="1:9" ht="18.75">
      <c r="A61" s="511" t="s">
        <v>222</v>
      </c>
      <c r="B61" s="189" t="s">
        <v>223</v>
      </c>
      <c r="C61" s="190" t="s">
        <v>224</v>
      </c>
      <c r="D61" s="398"/>
      <c r="E61" s="398"/>
      <c r="F61" s="393" t="s">
        <v>225</v>
      </c>
      <c r="G61" s="378">
        <v>4400000</v>
      </c>
      <c r="H61" s="378">
        <v>1</v>
      </c>
      <c r="I61" s="379">
        <f>G61/H61</f>
        <v>4400000</v>
      </c>
    </row>
    <row r="62" spans="1:9" ht="18.75">
      <c r="A62" s="512"/>
      <c r="B62" s="190" t="s">
        <v>226</v>
      </c>
      <c r="C62" s="190" t="s">
        <v>227</v>
      </c>
      <c r="D62" s="178"/>
      <c r="E62" s="398"/>
      <c r="F62" s="394" t="s">
        <v>228</v>
      </c>
      <c r="G62" s="396" t="s">
        <v>229</v>
      </c>
      <c r="H62" s="395" t="s">
        <v>229</v>
      </c>
      <c r="I62" s="382">
        <f>I61+I60</f>
        <v>6940000</v>
      </c>
    </row>
    <row r="63" spans="1:9">
      <c r="A63" s="545" t="s">
        <v>230</v>
      </c>
      <c r="B63" s="53" t="s">
        <v>231</v>
      </c>
      <c r="C63" s="191" t="s">
        <v>232</v>
      </c>
      <c r="D63" s="398"/>
      <c r="E63" s="398"/>
    </row>
    <row r="64" spans="1:9" ht="43.5">
      <c r="A64" s="547"/>
      <c r="B64" s="192" t="s">
        <v>233</v>
      </c>
      <c r="C64" s="191" t="s">
        <v>234</v>
      </c>
      <c r="D64" s="398"/>
      <c r="E64" s="398"/>
    </row>
    <row r="65" spans="1:9" ht="29.25">
      <c r="A65" s="511" t="s">
        <v>235</v>
      </c>
      <c r="B65" s="193" t="s">
        <v>236</v>
      </c>
      <c r="C65" s="194" t="s">
        <v>237</v>
      </c>
      <c r="D65" s="398"/>
      <c r="E65" s="398"/>
      <c r="F65" s="492" t="s">
        <v>238</v>
      </c>
      <c r="G65" s="493"/>
      <c r="H65" s="494"/>
    </row>
    <row r="66" spans="1:9" ht="18.75">
      <c r="A66" s="512"/>
      <c r="B66" s="190" t="s">
        <v>239</v>
      </c>
      <c r="C66" s="194" t="s">
        <v>240</v>
      </c>
      <c r="D66" s="398"/>
      <c r="E66" s="398"/>
      <c r="F66" s="377" t="s">
        <v>241</v>
      </c>
      <c r="G66" s="378" t="s">
        <v>242</v>
      </c>
      <c r="H66" s="379" t="s">
        <v>243</v>
      </c>
    </row>
    <row r="67" spans="1:9" ht="18.75">
      <c r="A67" s="545" t="s">
        <v>244</v>
      </c>
      <c r="B67" s="53" t="s">
        <v>245</v>
      </c>
      <c r="C67" s="195" t="s">
        <v>199</v>
      </c>
      <c r="D67" s="398"/>
      <c r="E67" s="398"/>
      <c r="F67" s="380" t="s">
        <v>93</v>
      </c>
      <c r="G67" s="381">
        <v>44000</v>
      </c>
      <c r="H67" s="382">
        <f>I62/G67</f>
        <v>157.72727272727272</v>
      </c>
    </row>
    <row r="68" spans="1:9">
      <c r="A68" s="546"/>
      <c r="B68" s="53" t="s">
        <v>246</v>
      </c>
      <c r="C68" s="195" t="s">
        <v>197</v>
      </c>
      <c r="D68" s="398"/>
      <c r="E68" s="398"/>
    </row>
    <row r="69" spans="1:9">
      <c r="A69" s="547"/>
      <c r="B69" s="53" t="s">
        <v>247</v>
      </c>
      <c r="C69" s="195" t="s">
        <v>248</v>
      </c>
      <c r="D69" s="398"/>
      <c r="E69" s="398"/>
    </row>
    <row r="70" spans="1:9">
      <c r="A70" s="511" t="s">
        <v>249</v>
      </c>
      <c r="B70" s="190" t="s">
        <v>250</v>
      </c>
      <c r="C70" s="190" t="s">
        <v>251</v>
      </c>
      <c r="D70" s="398"/>
      <c r="E70" s="398"/>
    </row>
    <row r="71" spans="1:9">
      <c r="A71" s="512"/>
      <c r="B71" s="190" t="s">
        <v>252</v>
      </c>
      <c r="C71" s="190" t="s">
        <v>253</v>
      </c>
      <c r="D71" s="398"/>
      <c r="E71" s="398"/>
    </row>
    <row r="72" spans="1:9">
      <c r="D72" s="398"/>
      <c r="E72" s="398"/>
    </row>
    <row r="73" spans="1:9" ht="21">
      <c r="D73" s="398"/>
      <c r="E73" s="398"/>
      <c r="G73" s="489" t="s">
        <v>254</v>
      </c>
      <c r="H73" s="490"/>
      <c r="I73" s="491"/>
    </row>
    <row r="74" spans="1:9" ht="15" customHeight="1">
      <c r="A74" s="329"/>
      <c r="B74" s="330"/>
      <c r="C74" s="330"/>
      <c r="D74" s="330"/>
      <c r="E74" s="330"/>
      <c r="F74" s="330"/>
      <c r="G74" s="380" t="s">
        <v>255</v>
      </c>
      <c r="H74" s="383" t="s">
        <v>256</v>
      </c>
      <c r="I74" s="384" t="s">
        <v>254</v>
      </c>
    </row>
    <row r="75" spans="1:9" ht="18.75">
      <c r="A75" s="330"/>
      <c r="B75" s="330"/>
      <c r="C75" s="330"/>
      <c r="D75" s="330"/>
      <c r="E75" s="330"/>
      <c r="F75" s="330"/>
      <c r="G75" s="380">
        <v>0.25</v>
      </c>
      <c r="H75" s="378">
        <f>G67/G75</f>
        <v>176000</v>
      </c>
      <c r="I75" s="379">
        <f>I62/H75</f>
        <v>39.43181818181818</v>
      </c>
    </row>
    <row r="76" spans="1:9" ht="27" customHeight="1">
      <c r="A76" s="558" t="s">
        <v>257</v>
      </c>
      <c r="B76" s="559"/>
      <c r="C76" s="559"/>
      <c r="D76" s="559"/>
      <c r="E76" s="560"/>
      <c r="F76" s="330"/>
      <c r="G76" s="385">
        <v>0.3</v>
      </c>
      <c r="H76" s="379">
        <f>G67/G76</f>
        <v>146666.66666666669</v>
      </c>
      <c r="I76" s="385">
        <f>I62/H76</f>
        <v>47.318181818181813</v>
      </c>
    </row>
    <row r="77" spans="1:9" ht="19.5" customHeight="1">
      <c r="A77" s="551" t="s">
        <v>258</v>
      </c>
      <c r="B77" s="502"/>
      <c r="C77" s="502"/>
      <c r="D77" s="502"/>
      <c r="E77" s="552"/>
      <c r="F77" s="330"/>
    </row>
    <row r="78" spans="1:9" ht="18.75" customHeight="1">
      <c r="A78" s="553" t="s">
        <v>259</v>
      </c>
      <c r="B78" s="553"/>
      <c r="C78" s="553"/>
      <c r="D78" s="553"/>
      <c r="E78" s="554"/>
      <c r="F78" s="331"/>
    </row>
    <row r="79" spans="1:9" ht="21.75" customHeight="1">
      <c r="A79" s="555" t="s">
        <v>260</v>
      </c>
      <c r="B79" s="556"/>
      <c r="C79" s="556"/>
      <c r="D79" s="556"/>
      <c r="E79" s="557"/>
      <c r="F79" s="330"/>
    </row>
    <row r="80" spans="1:9" ht="17.25" customHeight="1">
      <c r="A80" s="549" t="s">
        <v>261</v>
      </c>
      <c r="B80" s="549"/>
      <c r="C80" s="549"/>
      <c r="D80" s="549"/>
      <c r="E80" s="550"/>
      <c r="F80" s="330"/>
    </row>
    <row r="81" spans="1:6" ht="21" customHeight="1">
      <c r="A81" s="551" t="s">
        <v>262</v>
      </c>
      <c r="B81" s="564"/>
      <c r="C81" s="564"/>
      <c r="D81" s="564"/>
      <c r="E81" s="565"/>
      <c r="F81" s="330"/>
    </row>
    <row r="82" spans="1:6" ht="18" customHeight="1">
      <c r="A82" s="500" t="s">
        <v>263</v>
      </c>
      <c r="B82" s="500"/>
      <c r="C82" s="500"/>
      <c r="D82" s="500"/>
      <c r="E82" s="501"/>
      <c r="F82" s="330"/>
    </row>
    <row r="83" spans="1:6" ht="18" customHeight="1">
      <c r="A83" s="551" t="s">
        <v>264</v>
      </c>
      <c r="B83" s="564"/>
      <c r="C83" s="564"/>
      <c r="D83" s="564"/>
      <c r="E83" s="565"/>
      <c r="F83" s="330"/>
    </row>
    <row r="84" spans="1:6" ht="27" customHeight="1">
      <c r="A84" s="500" t="s">
        <v>263</v>
      </c>
      <c r="B84" s="500"/>
      <c r="C84" s="500"/>
      <c r="D84" s="500"/>
      <c r="E84" s="501"/>
      <c r="F84" s="330"/>
    </row>
    <row r="85" spans="1:6" ht="32.25" customHeight="1">
      <c r="A85" s="561" t="s">
        <v>265</v>
      </c>
      <c r="B85" s="562"/>
      <c r="C85" s="562"/>
      <c r="D85" s="562"/>
      <c r="E85" s="563"/>
      <c r="F85" s="330"/>
    </row>
    <row r="86" spans="1:6" ht="17.25" customHeight="1">
      <c r="A86" s="502" t="s">
        <v>266</v>
      </c>
      <c r="B86" s="509"/>
      <c r="C86" s="509"/>
      <c r="D86" s="509"/>
      <c r="E86" s="510"/>
      <c r="F86" s="330"/>
    </row>
    <row r="87" spans="1:6" ht="23.25" customHeight="1">
      <c r="A87" s="500" t="s">
        <v>267</v>
      </c>
      <c r="B87" s="500"/>
      <c r="C87" s="500"/>
      <c r="D87" s="500"/>
      <c r="E87" s="501"/>
      <c r="F87" s="330"/>
    </row>
    <row r="88" spans="1:6" ht="17.25" customHeight="1">
      <c r="A88" s="502" t="s">
        <v>268</v>
      </c>
      <c r="B88" s="509"/>
      <c r="C88" s="509"/>
      <c r="D88" s="509"/>
      <c r="E88" s="510"/>
      <c r="F88" s="330"/>
    </row>
    <row r="89" spans="1:6" ht="16.5" customHeight="1">
      <c r="A89" s="500" t="s">
        <v>269</v>
      </c>
      <c r="B89" s="500"/>
      <c r="C89" s="500"/>
      <c r="D89" s="500"/>
      <c r="E89" s="501"/>
      <c r="F89" s="330"/>
    </row>
    <row r="90" spans="1:6" ht="15" customHeight="1">
      <c r="A90" s="502" t="s">
        <v>270</v>
      </c>
      <c r="B90" s="509"/>
      <c r="C90" s="509"/>
      <c r="D90" s="509"/>
      <c r="E90" s="510"/>
      <c r="F90" s="330"/>
    </row>
    <row r="91" spans="1:6" ht="21" customHeight="1">
      <c r="A91" s="500" t="s">
        <v>271</v>
      </c>
      <c r="B91" s="500"/>
      <c r="C91" s="500"/>
      <c r="D91" s="500"/>
      <c r="E91" s="501"/>
      <c r="F91" s="330"/>
    </row>
    <row r="92" spans="1:6" ht="15.75" customHeight="1">
      <c r="A92" s="502" t="s">
        <v>272</v>
      </c>
      <c r="B92" s="503"/>
      <c r="C92" s="503"/>
      <c r="D92" s="503"/>
      <c r="E92" s="504"/>
      <c r="F92" s="330"/>
    </row>
    <row r="93" spans="1:6" ht="21" customHeight="1">
      <c r="A93" s="500" t="s">
        <v>273</v>
      </c>
      <c r="B93" s="500"/>
      <c r="C93" s="500"/>
      <c r="D93" s="500"/>
      <c r="E93" s="501"/>
      <c r="F93" s="330"/>
    </row>
    <row r="94" spans="1:6" ht="15.75">
      <c r="A94" s="505" t="s">
        <v>274</v>
      </c>
      <c r="B94" s="506"/>
      <c r="C94" s="506"/>
      <c r="D94" s="506"/>
      <c r="E94" s="507"/>
      <c r="F94" s="330"/>
    </row>
    <row r="95" spans="1:6" ht="20.25" customHeight="1">
      <c r="A95" s="500" t="s">
        <v>275</v>
      </c>
      <c r="B95" s="500"/>
      <c r="C95" s="500"/>
      <c r="D95" s="500"/>
      <c r="E95" s="501"/>
      <c r="F95" s="330"/>
    </row>
    <row r="96" spans="1:6" ht="16.5" customHeight="1">
      <c r="A96" s="508" t="s">
        <v>276</v>
      </c>
      <c r="B96" s="503"/>
      <c r="C96" s="503"/>
      <c r="D96" s="503"/>
      <c r="E96" s="504"/>
      <c r="F96" s="330"/>
    </row>
    <row r="97" spans="1:6">
      <c r="A97" s="498" t="s">
        <v>277</v>
      </c>
      <c r="B97" s="498"/>
      <c r="C97" s="498"/>
      <c r="D97" s="498"/>
      <c r="E97" s="499"/>
      <c r="F97" s="330"/>
    </row>
    <row r="98" spans="1:6">
      <c r="A98" s="330"/>
      <c r="B98" s="330"/>
      <c r="C98" s="330"/>
      <c r="D98" s="330"/>
      <c r="E98" s="330"/>
      <c r="F98" s="330"/>
    </row>
    <row r="99" spans="1:6">
      <c r="A99" s="330"/>
      <c r="B99" s="330"/>
      <c r="C99" s="330"/>
      <c r="D99" s="330"/>
      <c r="E99" s="330"/>
      <c r="F99" s="330"/>
    </row>
    <row r="100" spans="1:6">
      <c r="A100" s="330"/>
      <c r="B100" s="330"/>
      <c r="C100" s="330"/>
      <c r="D100" s="330"/>
      <c r="E100" s="330"/>
      <c r="F100" s="330"/>
    </row>
    <row r="101" spans="1:6">
      <c r="A101" s="330"/>
      <c r="B101" s="330"/>
      <c r="C101" s="330"/>
      <c r="D101" s="330"/>
      <c r="E101" s="330"/>
      <c r="F101" s="330"/>
    </row>
    <row r="102" spans="1:6">
      <c r="A102" s="330"/>
      <c r="B102" s="330"/>
      <c r="C102" s="330"/>
      <c r="D102" s="330"/>
      <c r="E102" s="330"/>
      <c r="F102" s="330"/>
    </row>
    <row r="103" spans="1:6">
      <c r="A103" s="330"/>
      <c r="B103" s="330"/>
      <c r="C103" s="330"/>
      <c r="D103" s="330"/>
      <c r="E103" s="330"/>
      <c r="F103" s="330"/>
    </row>
    <row r="104" spans="1:6">
      <c r="A104" s="330"/>
      <c r="B104" s="330"/>
      <c r="C104" s="330"/>
      <c r="D104" s="330"/>
      <c r="E104" s="330"/>
      <c r="F104" s="330"/>
    </row>
    <row r="105" spans="1:6">
      <c r="A105" s="330"/>
      <c r="B105" s="330"/>
      <c r="C105" s="330"/>
      <c r="D105" s="330"/>
      <c r="E105" s="330"/>
      <c r="F105" s="330"/>
    </row>
    <row r="106" spans="1:6">
      <c r="A106" s="330"/>
      <c r="B106" s="330"/>
      <c r="C106" s="330"/>
      <c r="D106" s="330"/>
      <c r="E106" s="330"/>
      <c r="F106" s="330"/>
    </row>
    <row r="107" spans="1:6">
      <c r="A107" s="330"/>
      <c r="B107" s="330"/>
      <c r="C107" s="330"/>
      <c r="D107" s="330"/>
      <c r="E107" s="330"/>
      <c r="F107" s="330"/>
    </row>
    <row r="108" spans="1:6">
      <c r="A108" s="330"/>
      <c r="B108" s="330"/>
      <c r="C108" s="330"/>
      <c r="D108" s="330"/>
      <c r="E108" s="330"/>
      <c r="F108" s="330"/>
    </row>
    <row r="109" spans="1:6">
      <c r="A109" s="330"/>
      <c r="B109" s="330"/>
      <c r="C109" s="330"/>
      <c r="D109" s="330"/>
      <c r="E109" s="330"/>
      <c r="F109" s="330"/>
    </row>
    <row r="110" spans="1:6">
      <c r="A110" s="330"/>
      <c r="B110" s="330"/>
      <c r="C110" s="330"/>
      <c r="D110" s="330"/>
      <c r="E110" s="330"/>
      <c r="F110" s="330"/>
    </row>
  </sheetData>
  <mergeCells count="51">
    <mergeCell ref="A85:E85"/>
    <mergeCell ref="A81:E81"/>
    <mergeCell ref="A83:E83"/>
    <mergeCell ref="A84:E84"/>
    <mergeCell ref="A82:E82"/>
    <mergeCell ref="A67:A69"/>
    <mergeCell ref="A70:A71"/>
    <mergeCell ref="A41:E41"/>
    <mergeCell ref="A80:E80"/>
    <mergeCell ref="A77:E77"/>
    <mergeCell ref="A78:E78"/>
    <mergeCell ref="A79:E79"/>
    <mergeCell ref="A63:A64"/>
    <mergeCell ref="A76:E76"/>
    <mergeCell ref="D1:D3"/>
    <mergeCell ref="A11:D11"/>
    <mergeCell ref="A58:C59"/>
    <mergeCell ref="A61:A62"/>
    <mergeCell ref="A1:C1"/>
    <mergeCell ref="A13:A16"/>
    <mergeCell ref="A17:A20"/>
    <mergeCell ref="A21:A24"/>
    <mergeCell ref="A26:E26"/>
    <mergeCell ref="A57:C57"/>
    <mergeCell ref="A49:E49"/>
    <mergeCell ref="A31:C31"/>
    <mergeCell ref="F11:I24"/>
    <mergeCell ref="I35:K35"/>
    <mergeCell ref="I36:K36"/>
    <mergeCell ref="H41:L41"/>
    <mergeCell ref="H30:K30"/>
    <mergeCell ref="I31:K31"/>
    <mergeCell ref="I32:K32"/>
    <mergeCell ref="I33:K33"/>
    <mergeCell ref="I34:K34"/>
    <mergeCell ref="G73:I73"/>
    <mergeCell ref="F65:H65"/>
    <mergeCell ref="F58:I58"/>
    <mergeCell ref="A97:E97"/>
    <mergeCell ref="A95:E95"/>
    <mergeCell ref="A91:E91"/>
    <mergeCell ref="A92:E92"/>
    <mergeCell ref="A93:E93"/>
    <mergeCell ref="A94:E94"/>
    <mergeCell ref="A96:E96"/>
    <mergeCell ref="A86:E86"/>
    <mergeCell ref="A87:E87"/>
    <mergeCell ref="A88:E88"/>
    <mergeCell ref="A89:E89"/>
    <mergeCell ref="A90:E90"/>
    <mergeCell ref="A65:A66"/>
  </mergeCells>
  <hyperlinks>
    <hyperlink ref="A80" r:id="rId1" xr:uid="{720959A0-D5A2-4D27-AC4F-59A9E5CF84FB}"/>
    <hyperlink ref="A84" r:id="rId2" xr:uid="{18E5ADCD-D2A2-4986-ACC4-99CE9699130B}"/>
    <hyperlink ref="A82" r:id="rId3" xr:uid="{9729D0C0-3B5C-40AA-AA68-3239188EA9F2}"/>
    <hyperlink ref="A78" r:id="rId4" xr:uid="{3C5C16B1-E33A-478E-A708-CD30AC41EAB0}"/>
    <hyperlink ref="A87" r:id="rId5" xr:uid="{0D6AD0AC-C889-4C68-8F8D-720956A953A7}"/>
    <hyperlink ref="A80:E80" r:id="rId6" display="https://wikifarmer.com/library/en/article/mango-yield-harvest-and-post-harvest-handling" xr:uid="{70DC8ABB-F9AB-4738-8DC1-87159AAC4CA3}"/>
    <hyperlink ref="A82:E82" r:id="rId7" display="https://www.jains.com/Company/news/blog/HOWMUCHWATERDOESMYCROPNEEDPart2PerennialCrops1Mango.htm" xr:uid="{0D7889DD-EF7C-4ED2-A659-5CEE2FF28A14}"/>
    <hyperlink ref="A84:E84" r:id="rId8" display="https://www.jains.com/Company/news/blog/HOWMUCHWATERDOESMYCROPNEEDPart2PerennialCrops1Mango.htm" xr:uid="{05C6116D-9838-42CB-9065-70D4D9DBC5F8}"/>
    <hyperlink ref="A89" r:id="rId9" xr:uid="{985E5EFB-3A7E-4C8B-AB53-40F362BBE8C8}"/>
    <hyperlink ref="A91" r:id="rId10" xr:uid="{FB5BBA12-A64F-4F47-B874-5BC80F037897}"/>
    <hyperlink ref="A93" r:id="rId11" xr:uid="{46DF3114-3E5D-4CA0-8AF5-C10BDB873FD0}"/>
    <hyperlink ref="A95" r:id="rId12" xr:uid="{8910C724-7027-47AC-911D-A6F0F25D6C59}"/>
    <hyperlink ref="A97" r:id="rId13" xr:uid="{29B63216-701D-4B05-8981-621FBF7B750B}"/>
    <hyperlink ref="A87:E87" r:id="rId14" display="https://resources.colead.link/en/system/files/file_fields/2023/10/04/02-driedmangostudyweb.pdf" xr:uid="{71F63CD4-B4FB-46DE-B234-0D223EB05919}"/>
  </hyperlinks>
  <pageMargins left="0.7" right="0.7" top="0.75" bottom="0.75" header="0.3" footer="0.3"/>
  <drawing r:id="rId15"/>
  <tableParts count="1">
    <tablePart r:id="rId1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0EFB5-7FE4-443C-BDFE-33AAFF1BB1E2}">
  <dimension ref="A2:AA43"/>
  <sheetViews>
    <sheetView tabSelected="1" topLeftCell="D1" workbookViewId="0">
      <selection activeCell="I9" sqref="I9:L19"/>
    </sheetView>
  </sheetViews>
  <sheetFormatPr defaultRowHeight="15"/>
  <cols>
    <col min="1" max="1" width="30" customWidth="1"/>
    <col min="2" max="2" width="18.28515625" customWidth="1"/>
    <col min="3" max="3" width="17.140625" customWidth="1"/>
    <col min="4" max="4" width="26.140625" customWidth="1"/>
    <col min="6" max="6" width="19.140625" customWidth="1"/>
    <col min="7" max="7" width="24.42578125" bestFit="1" customWidth="1"/>
    <col min="8" max="8" width="14.42578125" customWidth="1"/>
    <col min="9" max="9" width="16.28515625" customWidth="1"/>
    <col min="10" max="10" width="42.140625" customWidth="1"/>
    <col min="11" max="11" width="19" customWidth="1"/>
    <col min="12" max="12" width="18" customWidth="1"/>
    <col min="13" max="13" width="18" bestFit="1" customWidth="1"/>
    <col min="14" max="14" width="16.42578125" customWidth="1"/>
    <col min="15" max="15" width="36.5703125" bestFit="1" customWidth="1"/>
    <col min="16" max="16" width="33.140625" customWidth="1"/>
    <col min="17" max="17" width="36.5703125" bestFit="1" customWidth="1"/>
    <col min="18" max="18" width="12.7109375" bestFit="1" customWidth="1"/>
    <col min="19" max="19" width="36.5703125" bestFit="1" customWidth="1"/>
    <col min="20" max="20" width="14.140625" customWidth="1"/>
    <col min="21" max="21" width="20.140625" customWidth="1"/>
    <col min="22" max="22" width="12" customWidth="1"/>
    <col min="23" max="23" width="30.7109375" customWidth="1"/>
    <col min="24" max="24" width="23" customWidth="1"/>
    <col min="25" max="25" width="26.42578125" customWidth="1"/>
    <col min="26" max="26" width="23.85546875" customWidth="1"/>
    <col min="27" max="27" width="19.85546875" customWidth="1"/>
  </cols>
  <sheetData>
    <row r="2" spans="1:12" ht="21">
      <c r="A2" s="572" t="s">
        <v>278</v>
      </c>
      <c r="B2" s="572"/>
      <c r="C2" s="572"/>
      <c r="D2" s="572"/>
    </row>
    <row r="3" spans="1:12" ht="36.75" customHeight="1">
      <c r="A3" s="236" t="s">
        <v>279</v>
      </c>
      <c r="B3" s="237" t="s">
        <v>280</v>
      </c>
      <c r="C3" s="236" t="s">
        <v>281</v>
      </c>
      <c r="D3" s="237" t="s">
        <v>282</v>
      </c>
    </row>
    <row r="4" spans="1:12" ht="18.75">
      <c r="A4" s="238" t="s">
        <v>283</v>
      </c>
      <c r="B4" s="239" t="s">
        <v>284</v>
      </c>
      <c r="C4" s="238">
        <v>2</v>
      </c>
      <c r="D4" s="238" t="s">
        <v>285</v>
      </c>
    </row>
    <row r="5" spans="1:12" ht="18.75">
      <c r="A5" s="238" t="s">
        <v>75</v>
      </c>
      <c r="B5" s="238" t="s">
        <v>286</v>
      </c>
      <c r="C5" s="238">
        <v>200</v>
      </c>
      <c r="D5" s="238" t="s">
        <v>287</v>
      </c>
    </row>
    <row r="6" spans="1:12" ht="20.25">
      <c r="A6" s="238" t="s">
        <v>288</v>
      </c>
      <c r="B6" s="239" t="s">
        <v>289</v>
      </c>
      <c r="C6" s="238">
        <v>100</v>
      </c>
      <c r="D6" s="238" t="s">
        <v>290</v>
      </c>
    </row>
    <row r="7" spans="1:12" ht="18.75">
      <c r="A7" s="238" t="s">
        <v>291</v>
      </c>
      <c r="B7" s="238" t="s">
        <v>292</v>
      </c>
      <c r="C7" s="238">
        <v>20</v>
      </c>
      <c r="D7" s="238" t="s">
        <v>293</v>
      </c>
    </row>
    <row r="8" spans="1:12" ht="18.75">
      <c r="A8" s="238" t="s">
        <v>294</v>
      </c>
      <c r="B8" s="238" t="s">
        <v>295</v>
      </c>
      <c r="C8" s="238">
        <v>5</v>
      </c>
      <c r="D8" s="239" t="s">
        <v>296</v>
      </c>
    </row>
    <row r="9" spans="1:12" ht="18.75">
      <c r="A9" s="238" t="s">
        <v>297</v>
      </c>
      <c r="B9" s="238" t="s">
        <v>298</v>
      </c>
      <c r="C9" s="238">
        <v>4</v>
      </c>
      <c r="D9" s="238" t="s">
        <v>299</v>
      </c>
      <c r="I9" s="566" t="s">
        <v>300</v>
      </c>
      <c r="J9" s="567"/>
      <c r="K9" s="567"/>
      <c r="L9" s="568"/>
    </row>
    <row r="10" spans="1:12" ht="18.75">
      <c r="A10" s="238" t="s">
        <v>301</v>
      </c>
      <c r="B10" s="238" t="s">
        <v>302</v>
      </c>
      <c r="C10" s="238" t="s">
        <v>303</v>
      </c>
      <c r="D10" s="238" t="s">
        <v>304</v>
      </c>
      <c r="I10" s="589"/>
      <c r="J10" s="590"/>
      <c r="K10" s="590"/>
      <c r="L10" s="591"/>
    </row>
    <row r="11" spans="1:12" ht="46.5">
      <c r="A11" s="238" t="s">
        <v>305</v>
      </c>
      <c r="B11" s="238" t="s">
        <v>306</v>
      </c>
      <c r="C11" s="238" t="s">
        <v>307</v>
      </c>
      <c r="D11" s="239" t="s">
        <v>308</v>
      </c>
      <c r="I11" s="582" t="s">
        <v>309</v>
      </c>
      <c r="J11" s="242" t="s">
        <v>310</v>
      </c>
      <c r="K11" s="584" t="s">
        <v>311</v>
      </c>
      <c r="L11" s="244" t="s">
        <v>312</v>
      </c>
    </row>
    <row r="12" spans="1:12" ht="61.5">
      <c r="A12" s="238" t="s">
        <v>313</v>
      </c>
      <c r="B12" s="238" t="s">
        <v>314</v>
      </c>
      <c r="C12" s="238" t="s">
        <v>315</v>
      </c>
      <c r="D12" s="238" t="s">
        <v>316</v>
      </c>
      <c r="I12" s="583"/>
      <c r="J12" s="242" t="s">
        <v>317</v>
      </c>
      <c r="K12" s="585"/>
      <c r="L12" s="244" t="s">
        <v>318</v>
      </c>
    </row>
    <row r="13" spans="1:12" ht="77.25">
      <c r="A13" s="238" t="s">
        <v>319</v>
      </c>
      <c r="B13" s="238" t="s">
        <v>320</v>
      </c>
      <c r="C13" s="238">
        <v>4</v>
      </c>
      <c r="D13" s="238" t="s">
        <v>321</v>
      </c>
      <c r="I13" s="583"/>
      <c r="J13" s="242" t="s">
        <v>322</v>
      </c>
      <c r="K13" s="585"/>
      <c r="L13" s="244" t="s">
        <v>323</v>
      </c>
    </row>
    <row r="14" spans="1:12" ht="77.25">
      <c r="A14" s="238" t="s">
        <v>324</v>
      </c>
      <c r="B14" s="238" t="s">
        <v>325</v>
      </c>
      <c r="C14" s="238">
        <v>30</v>
      </c>
      <c r="D14" s="238" t="s">
        <v>326</v>
      </c>
      <c r="I14" s="583"/>
      <c r="J14" s="242" t="s">
        <v>327</v>
      </c>
      <c r="K14" s="585"/>
      <c r="L14" s="245" t="s">
        <v>328</v>
      </c>
    </row>
    <row r="15" spans="1:12" ht="43.5">
      <c r="A15" s="238" t="s">
        <v>329</v>
      </c>
      <c r="B15" s="238" t="s">
        <v>330</v>
      </c>
      <c r="C15" s="238">
        <v>5.42</v>
      </c>
      <c r="D15" s="239" t="s">
        <v>331</v>
      </c>
      <c r="I15" s="583"/>
      <c r="J15" s="243" t="s">
        <v>332</v>
      </c>
      <c r="K15" s="592" t="s">
        <v>333</v>
      </c>
      <c r="L15" s="246" t="s">
        <v>334</v>
      </c>
    </row>
    <row r="16" spans="1:12" ht="72.75">
      <c r="A16" s="238" t="s">
        <v>252</v>
      </c>
      <c r="B16" s="238" t="s">
        <v>335</v>
      </c>
      <c r="C16" s="238" t="s">
        <v>336</v>
      </c>
      <c r="D16" s="238"/>
      <c r="I16" s="586" t="s">
        <v>337</v>
      </c>
      <c r="J16" s="242" t="s">
        <v>338</v>
      </c>
      <c r="K16" s="593"/>
      <c r="L16" s="246" t="s">
        <v>339</v>
      </c>
    </row>
    <row r="17" spans="1:27" ht="57.75">
      <c r="A17" s="238" t="s">
        <v>340</v>
      </c>
      <c r="B17" s="238" t="s">
        <v>330</v>
      </c>
      <c r="C17" s="238">
        <v>800</v>
      </c>
      <c r="D17" s="239" t="s">
        <v>341</v>
      </c>
      <c r="I17" s="587"/>
      <c r="J17" s="242" t="s">
        <v>342</v>
      </c>
      <c r="K17" s="593"/>
      <c r="L17" s="246" t="s">
        <v>343</v>
      </c>
    </row>
    <row r="18" spans="1:27" ht="57.75">
      <c r="A18" s="238" t="s">
        <v>344</v>
      </c>
      <c r="B18" s="238" t="s">
        <v>335</v>
      </c>
      <c r="C18" s="238">
        <v>25</v>
      </c>
      <c r="D18" s="239" t="s">
        <v>345</v>
      </c>
      <c r="I18" s="587"/>
      <c r="J18" s="242" t="s">
        <v>346</v>
      </c>
      <c r="K18" s="593"/>
      <c r="L18" s="246" t="s">
        <v>347</v>
      </c>
    </row>
    <row r="19" spans="1:27" ht="30.75">
      <c r="I19" s="588"/>
      <c r="J19" s="242" t="s">
        <v>348</v>
      </c>
      <c r="K19" s="594"/>
      <c r="L19" s="247"/>
    </row>
    <row r="22" spans="1:27" ht="18.75">
      <c r="C22" s="573" t="s">
        <v>349</v>
      </c>
      <c r="D22" s="574"/>
      <c r="E22" s="574"/>
      <c r="F22" s="574"/>
      <c r="G22" s="574"/>
      <c r="H22" s="574"/>
      <c r="I22" s="574"/>
      <c r="J22" s="574"/>
      <c r="K22" s="574"/>
      <c r="L22" s="574"/>
      <c r="M22" s="574"/>
      <c r="N22" s="574"/>
      <c r="O22" s="574"/>
      <c r="P22" s="575"/>
    </row>
    <row r="23" spans="1:27" ht="30.75">
      <c r="C23" s="26" t="s">
        <v>350</v>
      </c>
      <c r="D23" s="28" t="s">
        <v>351</v>
      </c>
      <c r="E23" s="28" t="s">
        <v>352</v>
      </c>
      <c r="F23" s="27" t="s">
        <v>353</v>
      </c>
      <c r="G23" s="28" t="s">
        <v>354</v>
      </c>
      <c r="H23" s="28" t="s">
        <v>355</v>
      </c>
      <c r="I23" s="28" t="s">
        <v>356</v>
      </c>
      <c r="J23" s="28" t="s">
        <v>357</v>
      </c>
      <c r="K23" s="27" t="s">
        <v>358</v>
      </c>
      <c r="L23" s="27" t="s">
        <v>359</v>
      </c>
      <c r="M23" s="29" t="s">
        <v>360</v>
      </c>
      <c r="N23" s="240" t="s">
        <v>361</v>
      </c>
      <c r="O23" s="241" t="s">
        <v>362</v>
      </c>
      <c r="P23" s="241" t="s">
        <v>252</v>
      </c>
    </row>
    <row r="24" spans="1:27" ht="18.75">
      <c r="C24" s="9" t="s">
        <v>363</v>
      </c>
      <c r="D24" s="8">
        <v>2</v>
      </c>
      <c r="E24" s="8">
        <f>D24*100</f>
        <v>200</v>
      </c>
      <c r="F24" s="8">
        <f>(E24*100)/1000</f>
        <v>20</v>
      </c>
      <c r="G24" s="8">
        <f>F24*7</f>
        <v>140</v>
      </c>
      <c r="H24" s="8">
        <f>F24/5</f>
        <v>4</v>
      </c>
      <c r="I24" s="85">
        <f>(H24*G34)/60</f>
        <v>66.666666666666671</v>
      </c>
      <c r="J24" s="8">
        <f>0.0027*H24*35</f>
        <v>0.378</v>
      </c>
      <c r="K24" s="84">
        <f>J24/0.85</f>
        <v>0.44470588235294117</v>
      </c>
      <c r="L24" s="83">
        <f>K24</f>
        <v>0.44470588235294117</v>
      </c>
      <c r="M24" s="84">
        <f>L24/0.85</f>
        <v>0.52318339100346023</v>
      </c>
      <c r="N24" s="175">
        <v>4</v>
      </c>
      <c r="O24" s="176">
        <f>N36</f>
        <v>5420</v>
      </c>
      <c r="P24" s="177">
        <f>Q33</f>
        <v>7.2266666666666666</v>
      </c>
    </row>
    <row r="27" spans="1:27">
      <c r="C27" s="4"/>
      <c r="D27" s="4"/>
    </row>
    <row r="28" spans="1:27" ht="21">
      <c r="A28" s="400" t="s">
        <v>364</v>
      </c>
      <c r="B28" s="401"/>
      <c r="C28" s="79"/>
      <c r="D28" s="573" t="s">
        <v>365</v>
      </c>
      <c r="E28" s="574"/>
      <c r="F28" s="574"/>
      <c r="G28" s="574"/>
      <c r="H28" s="575"/>
      <c r="J28" s="576" t="s">
        <v>366</v>
      </c>
      <c r="K28" s="577"/>
      <c r="L28" s="577"/>
      <c r="M28" s="577"/>
      <c r="N28" s="578"/>
      <c r="P28" s="579" t="s">
        <v>367</v>
      </c>
      <c r="Q28" s="580"/>
      <c r="R28" s="580"/>
      <c r="S28" s="581"/>
      <c r="U28" s="569" t="s">
        <v>368</v>
      </c>
      <c r="V28" s="570"/>
      <c r="W28" s="570"/>
      <c r="X28" s="570"/>
      <c r="Y28" s="570"/>
      <c r="Z28" s="570"/>
      <c r="AA28" s="571"/>
    </row>
    <row r="29" spans="1:27" ht="18.75">
      <c r="A29" s="24" t="s">
        <v>369</v>
      </c>
      <c r="B29" s="25" t="s">
        <v>370</v>
      </c>
      <c r="C29" s="20"/>
      <c r="D29" s="25" t="s">
        <v>371</v>
      </c>
      <c r="E29" s="25" t="s">
        <v>372</v>
      </c>
      <c r="F29" s="25" t="s">
        <v>373</v>
      </c>
      <c r="G29" s="25" t="s">
        <v>281</v>
      </c>
      <c r="H29" s="25" t="s">
        <v>219</v>
      </c>
      <c r="J29" s="23" t="s">
        <v>374</v>
      </c>
      <c r="K29" s="22" t="s">
        <v>373</v>
      </c>
      <c r="L29" s="22" t="s">
        <v>375</v>
      </c>
      <c r="M29" s="22" t="s">
        <v>376</v>
      </c>
      <c r="N29" s="22" t="s">
        <v>377</v>
      </c>
      <c r="P29" s="25" t="s">
        <v>371</v>
      </c>
      <c r="Q29" s="25" t="s">
        <v>281</v>
      </c>
      <c r="R29" s="25" t="s">
        <v>378</v>
      </c>
      <c r="S29" s="25" t="s">
        <v>379</v>
      </c>
      <c r="U29" s="214" t="s">
        <v>368</v>
      </c>
      <c r="V29" s="214" t="s">
        <v>380</v>
      </c>
      <c r="W29" s="214" t="s">
        <v>381</v>
      </c>
      <c r="X29" s="214" t="s">
        <v>382</v>
      </c>
      <c r="Y29" s="214" t="s">
        <v>383</v>
      </c>
      <c r="Z29" s="214" t="s">
        <v>384</v>
      </c>
      <c r="AA29" s="214" t="s">
        <v>385</v>
      </c>
    </row>
    <row r="30" spans="1:27" ht="54.75">
      <c r="A30" s="90" t="s">
        <v>386</v>
      </c>
      <c r="B30" s="96" t="s">
        <v>387</v>
      </c>
      <c r="C30" s="20"/>
      <c r="D30" s="90" t="s">
        <v>351</v>
      </c>
      <c r="E30" s="90" t="s">
        <v>388</v>
      </c>
      <c r="F30" s="90" t="s">
        <v>389</v>
      </c>
      <c r="G30" s="90">
        <v>2</v>
      </c>
      <c r="H30" s="95" t="s">
        <v>390</v>
      </c>
      <c r="J30" s="88" t="s">
        <v>391</v>
      </c>
      <c r="K30" s="87" t="s">
        <v>392</v>
      </c>
      <c r="L30" s="89">
        <v>1</v>
      </c>
      <c r="M30" s="89">
        <v>1800</v>
      </c>
      <c r="N30" s="89">
        <f>M30*L30</f>
        <v>1800</v>
      </c>
      <c r="P30" s="90" t="s">
        <v>393</v>
      </c>
      <c r="Q30" s="90">
        <v>800</v>
      </c>
      <c r="R30" s="90" t="s">
        <v>394</v>
      </c>
      <c r="S30" s="95" t="s">
        <v>395</v>
      </c>
      <c r="U30" s="213" t="s">
        <v>396</v>
      </c>
      <c r="V30" s="211">
        <v>1</v>
      </c>
      <c r="W30" s="211">
        <f>100*V30</f>
        <v>100</v>
      </c>
      <c r="X30" s="211">
        <f>(E24*W30)/1000</f>
        <v>20</v>
      </c>
      <c r="Y30" s="211">
        <f>X30/H24</f>
        <v>5</v>
      </c>
      <c r="Z30" s="211">
        <f>Y30/V30</f>
        <v>5</v>
      </c>
      <c r="AA30" s="211">
        <f>30/F24</f>
        <v>1.5</v>
      </c>
    </row>
    <row r="31" spans="1:27" ht="54.75">
      <c r="A31" s="90" t="s">
        <v>352</v>
      </c>
      <c r="B31" s="96" t="s">
        <v>397</v>
      </c>
      <c r="C31" s="20"/>
      <c r="D31" s="90" t="s">
        <v>226</v>
      </c>
      <c r="E31" s="90" t="s">
        <v>398</v>
      </c>
      <c r="F31" s="90" t="s">
        <v>399</v>
      </c>
      <c r="G31" s="90">
        <v>8</v>
      </c>
      <c r="H31" s="95" t="s">
        <v>400</v>
      </c>
      <c r="J31" s="92" t="s">
        <v>401</v>
      </c>
      <c r="K31" s="87" t="s">
        <v>402</v>
      </c>
      <c r="L31" s="89">
        <v>2000</v>
      </c>
      <c r="M31" s="89">
        <v>0.25</v>
      </c>
      <c r="N31" s="89">
        <f>M31*L31</f>
        <v>500</v>
      </c>
      <c r="P31" s="90" t="s">
        <v>403</v>
      </c>
      <c r="Q31" s="90">
        <f>N36</f>
        <v>5420</v>
      </c>
      <c r="R31" s="90" t="s">
        <v>404</v>
      </c>
      <c r="S31" s="90" t="s">
        <v>405</v>
      </c>
      <c r="T31" s="20"/>
      <c r="U31" s="213" t="s">
        <v>406</v>
      </c>
      <c r="V31" s="211">
        <v>2</v>
      </c>
      <c r="W31" s="211">
        <f t="shared" ref="W31:W32" si="0">100*V31</f>
        <v>200</v>
      </c>
      <c r="X31" s="212">
        <f>(E24*W31)/1000</f>
        <v>40</v>
      </c>
      <c r="Y31" s="211">
        <f>X31/H24</f>
        <v>10</v>
      </c>
      <c r="Z31" s="211">
        <f t="shared" ref="Z31:Z32" si="1">Y31/V31</f>
        <v>5</v>
      </c>
      <c r="AA31" s="211">
        <f>30/F24</f>
        <v>1.5</v>
      </c>
    </row>
    <row r="32" spans="1:27" ht="90.75">
      <c r="A32" s="95" t="s">
        <v>407</v>
      </c>
      <c r="B32" s="96" t="s">
        <v>408</v>
      </c>
      <c r="C32" s="20"/>
      <c r="D32" s="90" t="s">
        <v>75</v>
      </c>
      <c r="E32" s="90" t="s">
        <v>409</v>
      </c>
      <c r="F32" s="90" t="s">
        <v>410</v>
      </c>
      <c r="G32" s="90">
        <v>200</v>
      </c>
      <c r="H32" s="95" t="s">
        <v>411</v>
      </c>
      <c r="J32" s="90" t="s">
        <v>412</v>
      </c>
      <c r="K32" s="91" t="s">
        <v>392</v>
      </c>
      <c r="L32" s="89">
        <v>4</v>
      </c>
      <c r="M32" s="89">
        <v>105</v>
      </c>
      <c r="N32" s="89">
        <f t="shared" ref="N31:N35" si="2">M32*L32</f>
        <v>420</v>
      </c>
      <c r="O32" t="s">
        <v>413</v>
      </c>
      <c r="P32" s="90" t="s">
        <v>414</v>
      </c>
      <c r="Q32" s="90">
        <v>50</v>
      </c>
      <c r="R32" s="90" t="s">
        <v>394</v>
      </c>
      <c r="S32" s="95" t="s">
        <v>415</v>
      </c>
      <c r="T32" s="20"/>
      <c r="U32" s="213" t="s">
        <v>416</v>
      </c>
      <c r="V32" s="211">
        <v>5</v>
      </c>
      <c r="W32" s="211">
        <f t="shared" si="0"/>
        <v>500</v>
      </c>
      <c r="X32" s="212">
        <f>(E24*W32)/1000</f>
        <v>100</v>
      </c>
      <c r="Y32" s="211">
        <f>X32/H24</f>
        <v>25</v>
      </c>
      <c r="Z32" s="211">
        <f t="shared" si="1"/>
        <v>5</v>
      </c>
      <c r="AA32" s="211">
        <f>30/F24</f>
        <v>1.5</v>
      </c>
    </row>
    <row r="33" spans="1:25" ht="90.75">
      <c r="A33" s="90" t="s">
        <v>298</v>
      </c>
      <c r="B33" s="96" t="s">
        <v>417</v>
      </c>
      <c r="C33" s="20"/>
      <c r="D33" s="95" t="s">
        <v>288</v>
      </c>
      <c r="E33" s="90" t="s">
        <v>418</v>
      </c>
      <c r="F33" s="90" t="s">
        <v>419</v>
      </c>
      <c r="G33" s="90">
        <v>100</v>
      </c>
      <c r="H33" s="95" t="s">
        <v>420</v>
      </c>
      <c r="J33" s="93" t="s">
        <v>421</v>
      </c>
      <c r="K33" s="87" t="s">
        <v>392</v>
      </c>
      <c r="L33" s="89">
        <v>1</v>
      </c>
      <c r="M33" s="89">
        <v>650</v>
      </c>
      <c r="N33" s="89">
        <f t="shared" si="2"/>
        <v>650</v>
      </c>
      <c r="P33" s="128" t="s">
        <v>252</v>
      </c>
      <c r="Q33" s="129">
        <f>Q31/(Q30-Q32)</f>
        <v>7.2266666666666666</v>
      </c>
      <c r="R33" s="128" t="s">
        <v>422</v>
      </c>
      <c r="S33" s="130" t="s">
        <v>423</v>
      </c>
      <c r="T33" s="4"/>
      <c r="U33" s="4"/>
      <c r="V33" s="4"/>
      <c r="W33" s="4"/>
      <c r="X33" s="4"/>
      <c r="Y33" s="4"/>
    </row>
    <row r="34" spans="1:25" ht="54.75">
      <c r="A34" s="90" t="s">
        <v>424</v>
      </c>
      <c r="B34" s="96" t="s">
        <v>425</v>
      </c>
      <c r="C34" s="20"/>
      <c r="D34" s="95" t="s">
        <v>426</v>
      </c>
      <c r="E34" s="90" t="s">
        <v>427</v>
      </c>
      <c r="F34" s="90" t="s">
        <v>427</v>
      </c>
      <c r="G34" s="90">
        <v>1000</v>
      </c>
      <c r="H34" s="95" t="s">
        <v>428</v>
      </c>
      <c r="J34" s="88" t="s">
        <v>429</v>
      </c>
      <c r="K34" s="87" t="s">
        <v>430</v>
      </c>
      <c r="L34" s="89">
        <v>1</v>
      </c>
      <c r="M34" s="89">
        <v>250</v>
      </c>
      <c r="N34" s="89">
        <f t="shared" si="2"/>
        <v>250</v>
      </c>
      <c r="P34" s="90" t="s">
        <v>431</v>
      </c>
      <c r="Q34" s="90">
        <f>Q30-Q32</f>
        <v>750</v>
      </c>
      <c r="R34" s="131" t="s">
        <v>404</v>
      </c>
      <c r="S34" s="127"/>
    </row>
    <row r="35" spans="1:25" ht="54.75">
      <c r="A35" s="90" t="s">
        <v>432</v>
      </c>
      <c r="B35" s="96" t="s">
        <v>433</v>
      </c>
      <c r="C35" s="20"/>
      <c r="D35" s="95" t="s">
        <v>294</v>
      </c>
      <c r="E35" s="90" t="s">
        <v>434</v>
      </c>
      <c r="F35" s="90" t="s">
        <v>435</v>
      </c>
      <c r="G35" s="90">
        <v>5</v>
      </c>
      <c r="H35" s="95" t="s">
        <v>296</v>
      </c>
      <c r="J35" s="88" t="s">
        <v>436</v>
      </c>
      <c r="K35" s="87" t="s">
        <v>430</v>
      </c>
      <c r="L35" s="89">
        <v>1</v>
      </c>
      <c r="M35" s="89">
        <v>1800</v>
      </c>
      <c r="N35" s="89">
        <f t="shared" si="2"/>
        <v>1800</v>
      </c>
      <c r="P35" s="90" t="s">
        <v>344</v>
      </c>
      <c r="Q35" s="90">
        <v>25</v>
      </c>
      <c r="R35" s="90" t="s">
        <v>437</v>
      </c>
      <c r="S35" s="127"/>
    </row>
    <row r="36" spans="1:25" ht="72.75">
      <c r="A36" s="90" t="s">
        <v>438</v>
      </c>
      <c r="B36" s="96" t="s">
        <v>439</v>
      </c>
      <c r="C36" s="4"/>
      <c r="D36" s="95" t="s">
        <v>440</v>
      </c>
      <c r="E36" s="90" t="s">
        <v>441</v>
      </c>
      <c r="F36" s="90" t="s">
        <v>442</v>
      </c>
      <c r="G36" s="90">
        <v>85</v>
      </c>
      <c r="H36" s="95" t="s">
        <v>443</v>
      </c>
      <c r="J36" s="86" t="s">
        <v>444</v>
      </c>
      <c r="K36" s="21" t="s">
        <v>445</v>
      </c>
      <c r="L36" s="21" t="s">
        <v>445</v>
      </c>
      <c r="M36" s="21" t="s">
        <v>445</v>
      </c>
      <c r="N36" s="94">
        <f>N30+N31+N32+N33+N34+N35</f>
        <v>5420</v>
      </c>
      <c r="P36" s="90" t="s">
        <v>446</v>
      </c>
      <c r="Q36" s="90">
        <v>650</v>
      </c>
      <c r="R36" s="131" t="s">
        <v>404</v>
      </c>
      <c r="S36" s="127"/>
    </row>
    <row r="37" spans="1:25" ht="72.75">
      <c r="A37" s="90" t="s">
        <v>447</v>
      </c>
      <c r="B37" s="96" t="s">
        <v>448</v>
      </c>
      <c r="D37" s="90" t="s">
        <v>449</v>
      </c>
      <c r="E37" s="90" t="s">
        <v>450</v>
      </c>
      <c r="F37" s="90" t="s">
        <v>402</v>
      </c>
      <c r="G37" s="90">
        <v>20</v>
      </c>
      <c r="H37" s="95" t="s">
        <v>451</v>
      </c>
      <c r="I37" s="4"/>
      <c r="P37" s="90" t="s">
        <v>452</v>
      </c>
      <c r="Q37" s="90">
        <v>250</v>
      </c>
      <c r="R37" s="131" t="s">
        <v>404</v>
      </c>
      <c r="S37" s="127"/>
    </row>
    <row r="38" spans="1:25" ht="90.75">
      <c r="A38" s="97" t="s">
        <v>453</v>
      </c>
      <c r="B38" s="98" t="s">
        <v>454</v>
      </c>
      <c r="D38" s="90" t="s">
        <v>324</v>
      </c>
      <c r="E38" s="90" t="s">
        <v>427</v>
      </c>
      <c r="F38" s="90" t="s">
        <v>455</v>
      </c>
      <c r="G38" s="90">
        <v>30</v>
      </c>
      <c r="H38" s="95" t="s">
        <v>456</v>
      </c>
      <c r="J38" s="566" t="s">
        <v>457</v>
      </c>
      <c r="K38" s="567"/>
      <c r="L38" s="567"/>
      <c r="M38" s="567"/>
      <c r="N38" s="568"/>
      <c r="P38" s="90" t="s">
        <v>458</v>
      </c>
      <c r="Q38" s="90">
        <v>1000</v>
      </c>
      <c r="R38" s="131" t="s">
        <v>404</v>
      </c>
      <c r="S38" s="127"/>
    </row>
    <row r="39" spans="1:25" ht="272.25">
      <c r="A39" s="88" t="s">
        <v>436</v>
      </c>
      <c r="B39" s="95" t="s">
        <v>459</v>
      </c>
      <c r="D39" s="90" t="s">
        <v>460</v>
      </c>
      <c r="E39" s="90" t="s">
        <v>461</v>
      </c>
      <c r="F39" s="90" t="s">
        <v>462</v>
      </c>
      <c r="G39" s="90">
        <v>1000</v>
      </c>
      <c r="H39" s="95" t="s">
        <v>463</v>
      </c>
      <c r="J39" s="248" t="s">
        <v>464</v>
      </c>
      <c r="K39" s="248" t="s">
        <v>465</v>
      </c>
      <c r="L39" s="249" t="s">
        <v>466</v>
      </c>
      <c r="M39" s="248" t="s">
        <v>467</v>
      </c>
      <c r="N39" s="248" t="s">
        <v>13</v>
      </c>
      <c r="P39" s="90" t="s">
        <v>468</v>
      </c>
      <c r="Q39" s="90">
        <f>(Q36*2)+(Q37*2)+(Q38*2)</f>
        <v>3800</v>
      </c>
      <c r="R39" s="131" t="s">
        <v>404</v>
      </c>
      <c r="S39" s="127"/>
    </row>
    <row r="40" spans="1:25" ht="61.5">
      <c r="D40" s="90" t="s">
        <v>469</v>
      </c>
      <c r="E40" s="90" t="s">
        <v>470</v>
      </c>
      <c r="F40" s="90" t="s">
        <v>471</v>
      </c>
      <c r="G40" s="90">
        <v>9.81</v>
      </c>
      <c r="H40" s="95" t="s">
        <v>472</v>
      </c>
      <c r="J40" s="21" t="s">
        <v>473</v>
      </c>
      <c r="K40" s="21" t="s">
        <v>474</v>
      </c>
      <c r="L40" s="21" t="s">
        <v>475</v>
      </c>
      <c r="M40" s="21" t="s">
        <v>476</v>
      </c>
      <c r="N40" s="244" t="s">
        <v>477</v>
      </c>
      <c r="P40" s="95" t="s">
        <v>478</v>
      </c>
      <c r="Q40" s="90">
        <f>Q34*25</f>
        <v>18750</v>
      </c>
      <c r="R40" s="131" t="s">
        <v>404</v>
      </c>
      <c r="S40" s="127"/>
    </row>
    <row r="41" spans="1:25" ht="72.75">
      <c r="D41" s="90" t="s">
        <v>297</v>
      </c>
      <c r="E41" s="90" t="s">
        <v>479</v>
      </c>
      <c r="F41" s="90" t="s">
        <v>480</v>
      </c>
      <c r="G41" s="90" t="s">
        <v>427</v>
      </c>
      <c r="H41" s="95" t="s">
        <v>481</v>
      </c>
      <c r="J41" s="21" t="s">
        <v>482</v>
      </c>
      <c r="K41" s="21" t="s">
        <v>483</v>
      </c>
      <c r="L41" s="21" t="s">
        <v>484</v>
      </c>
      <c r="M41" s="21" t="s">
        <v>485</v>
      </c>
      <c r="N41" s="244" t="s">
        <v>486</v>
      </c>
      <c r="P41" s="90" t="s">
        <v>487</v>
      </c>
      <c r="Q41" s="90">
        <f>Q31+Q39</f>
        <v>9220</v>
      </c>
      <c r="R41" s="131" t="s">
        <v>404</v>
      </c>
      <c r="S41" s="127"/>
    </row>
    <row r="42" spans="1:25" ht="61.5">
      <c r="J42" s="21" t="s">
        <v>488</v>
      </c>
      <c r="K42" s="21" t="s">
        <v>489</v>
      </c>
      <c r="L42" s="21" t="s">
        <v>490</v>
      </c>
      <c r="M42" s="21" t="s">
        <v>491</v>
      </c>
      <c r="N42" s="244" t="s">
        <v>492</v>
      </c>
    </row>
    <row r="43" spans="1:25" ht="46.5">
      <c r="J43" s="21" t="s">
        <v>493</v>
      </c>
      <c r="K43" s="21" t="s">
        <v>494</v>
      </c>
      <c r="L43" s="21" t="s">
        <v>495</v>
      </c>
      <c r="M43" s="21" t="s">
        <v>491</v>
      </c>
      <c r="N43" s="244" t="s">
        <v>496</v>
      </c>
    </row>
  </sheetData>
  <mergeCells count="12">
    <mergeCell ref="J38:N38"/>
    <mergeCell ref="U28:AA28"/>
    <mergeCell ref="A2:D2"/>
    <mergeCell ref="C22:P22"/>
    <mergeCell ref="D28:H28"/>
    <mergeCell ref="J28:N28"/>
    <mergeCell ref="P28:S28"/>
    <mergeCell ref="I11:I15"/>
    <mergeCell ref="K11:K14"/>
    <mergeCell ref="I16:I19"/>
    <mergeCell ref="I9:L10"/>
    <mergeCell ref="K15:K19"/>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14369-8810-45D6-8563-A5817C7CFDCB}">
  <dimension ref="A1:AD56"/>
  <sheetViews>
    <sheetView workbookViewId="0">
      <selection activeCell="I7" sqref="I7"/>
    </sheetView>
  </sheetViews>
  <sheetFormatPr defaultRowHeight="15"/>
  <cols>
    <col min="1" max="1" width="34.7109375" customWidth="1"/>
    <col min="2" max="2" width="40.5703125" customWidth="1"/>
    <col min="3" max="3" width="23.5703125" customWidth="1"/>
    <col min="4" max="4" width="23.140625" customWidth="1"/>
    <col min="5" max="5" width="26.28515625" customWidth="1"/>
    <col min="6" max="6" width="23.5703125" customWidth="1"/>
    <col min="7" max="7" width="35.42578125" customWidth="1"/>
    <col min="8" max="8" width="29.5703125" customWidth="1"/>
    <col min="9" max="9" width="61.28515625" customWidth="1"/>
    <col min="10" max="10" width="43.42578125" customWidth="1"/>
    <col min="11" max="11" width="23.28515625" customWidth="1"/>
    <col min="12" max="12" width="16" customWidth="1"/>
    <col min="13" max="13" width="41.42578125" customWidth="1"/>
    <col min="14" max="14" width="84.7109375" customWidth="1"/>
    <col min="15" max="15" width="27.140625" customWidth="1"/>
    <col min="16" max="16" width="18" customWidth="1"/>
    <col min="17" max="17" width="18.28515625" customWidth="1"/>
    <col min="18" max="18" width="15.42578125" customWidth="1"/>
    <col min="19" max="19" width="48.7109375" customWidth="1"/>
    <col min="20" max="20" width="48.28515625" customWidth="1"/>
    <col min="21" max="21" width="28.42578125" customWidth="1"/>
  </cols>
  <sheetData>
    <row r="1" spans="1:30" ht="18.75">
      <c r="N1" s="370" t="s">
        <v>497</v>
      </c>
      <c r="O1" s="363"/>
      <c r="P1" s="363"/>
      <c r="Q1" s="363"/>
      <c r="R1" s="363"/>
      <c r="S1" s="363"/>
      <c r="T1" s="363"/>
      <c r="U1" s="363"/>
      <c r="V1" s="363"/>
      <c r="W1" s="363"/>
      <c r="X1" s="363"/>
      <c r="Y1" s="363"/>
      <c r="Z1" s="363"/>
      <c r="AA1" s="363"/>
      <c r="AB1" s="363"/>
    </row>
    <row r="2" spans="1:30" ht="24">
      <c r="A2" s="599" t="s">
        <v>498</v>
      </c>
      <c r="B2" s="600"/>
      <c r="C2" s="600"/>
      <c r="D2" s="600"/>
      <c r="E2" s="600"/>
      <c r="F2" s="600"/>
      <c r="G2" s="600"/>
      <c r="H2" s="600"/>
      <c r="I2" s="600"/>
      <c r="J2" s="403"/>
      <c r="K2" s="403"/>
      <c r="L2" s="403"/>
      <c r="M2" s="403"/>
      <c r="N2" s="403"/>
      <c r="P2" s="362"/>
      <c r="Q2" s="362"/>
      <c r="R2" s="362"/>
      <c r="S2" s="362"/>
      <c r="T2" s="362"/>
      <c r="U2" s="362"/>
      <c r="V2" s="362"/>
      <c r="W2" s="362"/>
      <c r="X2" s="362"/>
      <c r="Y2" s="362"/>
      <c r="Z2" s="362"/>
      <c r="AA2" s="362"/>
      <c r="AB2" s="362"/>
      <c r="AC2" s="362"/>
      <c r="AD2" s="362"/>
    </row>
    <row r="3" spans="1:30" ht="19.5">
      <c r="A3" s="350" t="s">
        <v>499</v>
      </c>
      <c r="B3" s="350" t="s">
        <v>500</v>
      </c>
      <c r="C3" s="350" t="s">
        <v>501</v>
      </c>
      <c r="D3" s="350" t="s">
        <v>502</v>
      </c>
      <c r="E3" s="350" t="s">
        <v>503</v>
      </c>
      <c r="F3" s="350" t="s">
        <v>504</v>
      </c>
      <c r="G3" s="350" t="s">
        <v>505</v>
      </c>
      <c r="H3" s="350" t="s">
        <v>506</v>
      </c>
      <c r="I3" s="350" t="s">
        <v>507</v>
      </c>
      <c r="J3" s="338" t="s">
        <v>508</v>
      </c>
      <c r="K3" s="359"/>
      <c r="M3" s="338" t="s">
        <v>509</v>
      </c>
      <c r="N3" s="364" t="s">
        <v>510</v>
      </c>
      <c r="O3" s="371" t="s">
        <v>371</v>
      </c>
      <c r="P3" s="376" t="s">
        <v>281</v>
      </c>
      <c r="Q3" s="375" t="s">
        <v>511</v>
      </c>
      <c r="S3" s="362"/>
      <c r="T3" s="362"/>
      <c r="U3" s="363"/>
      <c r="V3" s="363"/>
      <c r="W3" s="363"/>
      <c r="X3" s="363"/>
      <c r="Y3" s="363"/>
      <c r="Z3" s="363"/>
      <c r="AA3" s="363"/>
      <c r="AB3" s="363"/>
      <c r="AC3" s="362"/>
      <c r="AD3" s="362"/>
    </row>
    <row r="4" spans="1:30" ht="37.5">
      <c r="A4" s="351">
        <v>1</v>
      </c>
      <c r="B4" s="352">
        <v>2000</v>
      </c>
      <c r="C4" s="352">
        <v>1000</v>
      </c>
      <c r="D4" s="353">
        <v>60</v>
      </c>
      <c r="E4" s="353">
        <v>360</v>
      </c>
      <c r="F4" s="354" t="s">
        <v>512</v>
      </c>
      <c r="G4" s="354">
        <v>686</v>
      </c>
      <c r="H4" s="354" t="s">
        <v>513</v>
      </c>
      <c r="I4" s="354" t="s">
        <v>514</v>
      </c>
      <c r="J4" s="339" t="s">
        <v>515</v>
      </c>
      <c r="K4" s="340" t="s">
        <v>516</v>
      </c>
      <c r="L4" s="362" t="s">
        <v>517</v>
      </c>
      <c r="M4" s="1" t="s">
        <v>518</v>
      </c>
      <c r="N4" s="365" t="s">
        <v>519</v>
      </c>
      <c r="O4" s="372" t="s">
        <v>520</v>
      </c>
      <c r="P4" s="372">
        <v>917</v>
      </c>
      <c r="Q4" s="361" t="s">
        <v>521</v>
      </c>
      <c r="S4" s="362"/>
      <c r="T4" s="362"/>
      <c r="U4" s="363"/>
      <c r="V4" s="363"/>
      <c r="W4" s="363"/>
      <c r="X4" s="363"/>
      <c r="Y4" s="363"/>
      <c r="Z4" s="363"/>
      <c r="AA4" s="363"/>
      <c r="AB4" s="363"/>
      <c r="AC4" s="362"/>
      <c r="AD4" s="362"/>
    </row>
    <row r="5" spans="1:30" ht="37.5">
      <c r="A5" s="350">
        <v>2</v>
      </c>
      <c r="B5" s="355">
        <v>2200</v>
      </c>
      <c r="C5" s="355">
        <v>1100</v>
      </c>
      <c r="D5" s="356">
        <v>66</v>
      </c>
      <c r="E5" s="356">
        <v>396</v>
      </c>
      <c r="F5" s="357" t="s">
        <v>512</v>
      </c>
      <c r="G5" s="358" t="s">
        <v>522</v>
      </c>
      <c r="H5" s="358" t="s">
        <v>523</v>
      </c>
      <c r="I5" s="358" t="s">
        <v>524</v>
      </c>
      <c r="J5" s="339" t="s">
        <v>525</v>
      </c>
      <c r="K5" s="340">
        <v>6</v>
      </c>
      <c r="L5" s="361" t="s">
        <v>526</v>
      </c>
      <c r="M5" s="1" t="s">
        <v>527</v>
      </c>
      <c r="N5" s="366" t="s">
        <v>528</v>
      </c>
      <c r="O5" s="372" t="s">
        <v>529</v>
      </c>
      <c r="P5" s="372">
        <v>229</v>
      </c>
      <c r="Q5" s="361" t="s">
        <v>521</v>
      </c>
      <c r="S5" s="362"/>
      <c r="T5" s="362"/>
      <c r="U5" s="363"/>
      <c r="V5" s="363"/>
      <c r="W5" s="363"/>
      <c r="X5" s="363"/>
      <c r="Y5" s="363"/>
      <c r="Z5" s="363"/>
      <c r="AA5" s="363"/>
      <c r="AB5" s="363"/>
      <c r="AC5" s="362"/>
      <c r="AD5" s="362"/>
    </row>
    <row r="6" spans="1:30" ht="18.75">
      <c r="A6" s="351">
        <v>3</v>
      </c>
      <c r="B6" s="352">
        <v>2500</v>
      </c>
      <c r="C6" s="352">
        <v>1250</v>
      </c>
      <c r="D6" s="353">
        <v>75</v>
      </c>
      <c r="E6" s="353">
        <v>450</v>
      </c>
      <c r="F6" s="357" t="s">
        <v>512</v>
      </c>
      <c r="G6" s="357" t="s">
        <v>530</v>
      </c>
      <c r="H6" s="357" t="s">
        <v>531</v>
      </c>
      <c r="I6" s="357" t="s">
        <v>532</v>
      </c>
      <c r="J6" s="342" t="s">
        <v>533</v>
      </c>
      <c r="K6" s="340" t="s">
        <v>512</v>
      </c>
      <c r="M6" s="1" t="s">
        <v>534</v>
      </c>
      <c r="N6" s="364" t="s">
        <v>535</v>
      </c>
      <c r="O6" s="372" t="s">
        <v>536</v>
      </c>
      <c r="P6" s="372" t="s">
        <v>537</v>
      </c>
      <c r="Q6" s="361" t="s">
        <v>521</v>
      </c>
      <c r="S6" s="362"/>
      <c r="T6" s="362"/>
      <c r="U6" s="363"/>
      <c r="V6" s="363"/>
      <c r="W6" s="363"/>
      <c r="X6" s="363"/>
      <c r="Y6" s="363"/>
      <c r="Z6" s="363"/>
      <c r="AA6" s="363"/>
      <c r="AB6" s="363"/>
      <c r="AC6" s="362"/>
      <c r="AD6" s="362"/>
    </row>
    <row r="7" spans="1:30" ht="37.5">
      <c r="A7" s="350">
        <v>4</v>
      </c>
      <c r="B7" s="355">
        <v>2700</v>
      </c>
      <c r="C7" s="355">
        <v>1350</v>
      </c>
      <c r="D7" s="356">
        <v>81</v>
      </c>
      <c r="E7" s="356">
        <v>486</v>
      </c>
      <c r="F7" s="357" t="s">
        <v>512</v>
      </c>
      <c r="G7" s="358" t="s">
        <v>538</v>
      </c>
      <c r="H7" s="358" t="s">
        <v>539</v>
      </c>
      <c r="I7" s="358" t="s">
        <v>530</v>
      </c>
      <c r="J7" s="342" t="s">
        <v>540</v>
      </c>
      <c r="K7" s="340">
        <v>1</v>
      </c>
      <c r="L7" s="361" t="s">
        <v>541</v>
      </c>
      <c r="M7" s="1" t="s">
        <v>542</v>
      </c>
      <c r="N7" s="366" t="s">
        <v>543</v>
      </c>
      <c r="O7" s="372" t="s">
        <v>544</v>
      </c>
      <c r="P7" s="372">
        <v>688</v>
      </c>
      <c r="Q7" s="361" t="s">
        <v>521</v>
      </c>
      <c r="S7" s="362"/>
      <c r="T7" s="362"/>
      <c r="U7" s="363"/>
      <c r="V7" s="363"/>
      <c r="W7" s="363"/>
      <c r="X7" s="363"/>
      <c r="Y7" s="363"/>
      <c r="Z7" s="363"/>
      <c r="AA7" s="363"/>
      <c r="AB7" s="363"/>
      <c r="AC7" s="362"/>
      <c r="AD7" s="362"/>
    </row>
    <row r="8" spans="1:30" ht="56.25">
      <c r="A8" s="351">
        <v>5</v>
      </c>
      <c r="B8" s="352">
        <v>3000</v>
      </c>
      <c r="C8" s="352">
        <v>1500</v>
      </c>
      <c r="D8" s="353">
        <v>90</v>
      </c>
      <c r="E8" s="353">
        <v>540</v>
      </c>
      <c r="F8" s="357" t="s">
        <v>512</v>
      </c>
      <c r="G8" s="357" t="s">
        <v>545</v>
      </c>
      <c r="H8" s="357" t="s">
        <v>546</v>
      </c>
      <c r="I8" s="357" t="s">
        <v>547</v>
      </c>
      <c r="J8" s="342" t="s">
        <v>548</v>
      </c>
      <c r="K8" s="340" t="s">
        <v>549</v>
      </c>
      <c r="L8" s="361" t="s">
        <v>541</v>
      </c>
      <c r="M8" s="1" t="s">
        <v>550</v>
      </c>
      <c r="N8" s="366" t="s">
        <v>551</v>
      </c>
      <c r="O8" s="372" t="s">
        <v>552</v>
      </c>
      <c r="P8" s="372">
        <v>3.81</v>
      </c>
      <c r="S8" s="362"/>
      <c r="T8" s="362"/>
      <c r="U8" s="363"/>
      <c r="V8" s="363"/>
      <c r="W8" s="363"/>
      <c r="X8" s="363"/>
      <c r="Y8" s="363"/>
      <c r="Z8" s="363"/>
      <c r="AA8" s="363"/>
      <c r="AB8" s="363"/>
      <c r="AC8" s="362"/>
      <c r="AD8" s="362"/>
    </row>
    <row r="9" spans="1:30" ht="21">
      <c r="A9" s="350">
        <v>6</v>
      </c>
      <c r="B9" s="355">
        <v>3200</v>
      </c>
      <c r="C9" s="355">
        <v>1600</v>
      </c>
      <c r="D9" s="356">
        <v>96</v>
      </c>
      <c r="E9" s="356">
        <v>576</v>
      </c>
      <c r="F9" s="357" t="s">
        <v>512</v>
      </c>
      <c r="G9" s="358" t="s">
        <v>553</v>
      </c>
      <c r="H9" s="358" t="s">
        <v>554</v>
      </c>
      <c r="I9" s="358" t="s">
        <v>555</v>
      </c>
      <c r="J9" s="360" t="s">
        <v>556</v>
      </c>
      <c r="K9" s="340"/>
      <c r="M9" s="341"/>
      <c r="N9" s="366" t="s">
        <v>557</v>
      </c>
      <c r="O9" s="372" t="s">
        <v>558</v>
      </c>
      <c r="P9" s="372">
        <v>1.9570000000000001</v>
      </c>
      <c r="S9" s="362"/>
      <c r="T9" s="362"/>
      <c r="U9" s="363"/>
      <c r="V9" s="363"/>
      <c r="W9" s="363"/>
      <c r="X9" s="363"/>
      <c r="Y9" s="363"/>
      <c r="Z9" s="363"/>
      <c r="AA9" s="363"/>
      <c r="AB9" s="363"/>
      <c r="AC9" s="362"/>
      <c r="AD9" s="362"/>
    </row>
    <row r="10" spans="1:30" ht="20.25">
      <c r="A10" s="351">
        <v>7</v>
      </c>
      <c r="B10" s="352">
        <v>2800</v>
      </c>
      <c r="C10" s="352">
        <v>1400</v>
      </c>
      <c r="D10" s="353">
        <v>84</v>
      </c>
      <c r="E10" s="353">
        <v>504</v>
      </c>
      <c r="F10" s="357" t="s">
        <v>512</v>
      </c>
      <c r="G10" s="357" t="s">
        <v>559</v>
      </c>
      <c r="H10" s="357" t="s">
        <v>560</v>
      </c>
      <c r="I10" s="357" t="s">
        <v>561</v>
      </c>
      <c r="J10" s="601" t="s">
        <v>562</v>
      </c>
      <c r="K10" s="602"/>
      <c r="L10" s="602"/>
      <c r="M10" s="602"/>
      <c r="N10" s="364" t="s">
        <v>563</v>
      </c>
      <c r="O10" s="372" t="s">
        <v>564</v>
      </c>
      <c r="P10" s="372">
        <v>1.853</v>
      </c>
      <c r="S10" s="362"/>
      <c r="T10" s="362"/>
      <c r="U10" s="363"/>
      <c r="V10" s="363"/>
      <c r="W10" s="363"/>
      <c r="X10" s="363"/>
      <c r="Y10" s="363"/>
      <c r="Z10" s="363"/>
      <c r="AA10" s="363"/>
      <c r="AB10" s="363"/>
      <c r="AC10" s="362"/>
      <c r="AD10" s="362"/>
    </row>
    <row r="11" spans="1:30" ht="18.75">
      <c r="A11" s="350">
        <v>8</v>
      </c>
      <c r="B11" s="355">
        <v>2600</v>
      </c>
      <c r="C11" s="355">
        <v>1300</v>
      </c>
      <c r="D11" s="356">
        <v>78</v>
      </c>
      <c r="E11" s="356">
        <v>468</v>
      </c>
      <c r="F11" s="357" t="s">
        <v>512</v>
      </c>
      <c r="G11" s="358" t="s">
        <v>565</v>
      </c>
      <c r="H11" s="358" t="s">
        <v>566</v>
      </c>
      <c r="I11" s="358" t="s">
        <v>567</v>
      </c>
      <c r="J11" s="339" t="s">
        <v>568</v>
      </c>
      <c r="K11" s="339" t="s">
        <v>569</v>
      </c>
      <c r="L11" s="339" t="s">
        <v>570</v>
      </c>
      <c r="M11" s="339"/>
      <c r="N11" s="364" t="s">
        <v>571</v>
      </c>
      <c r="O11" s="372" t="s">
        <v>572</v>
      </c>
      <c r="P11" s="372">
        <v>9.3000000000000007</v>
      </c>
      <c r="Q11" s="373"/>
      <c r="S11" s="362"/>
      <c r="T11" s="362"/>
      <c r="U11" s="363"/>
      <c r="V11" s="363"/>
      <c r="W11" s="363"/>
      <c r="X11" s="363"/>
      <c r="Y11" s="363"/>
      <c r="Z11" s="363"/>
      <c r="AA11" s="363"/>
      <c r="AB11" s="363"/>
      <c r="AC11" s="362"/>
      <c r="AD11" s="362"/>
    </row>
    <row r="12" spans="1:30" ht="18.75">
      <c r="A12" s="351">
        <v>9</v>
      </c>
      <c r="B12" s="352">
        <v>2400</v>
      </c>
      <c r="C12" s="352">
        <v>1200</v>
      </c>
      <c r="D12" s="353">
        <v>72</v>
      </c>
      <c r="E12" s="353">
        <v>432</v>
      </c>
      <c r="F12" s="357" t="s">
        <v>512</v>
      </c>
      <c r="G12" s="357" t="s">
        <v>573</v>
      </c>
      <c r="H12" s="357" t="s">
        <v>574</v>
      </c>
      <c r="I12" s="357" t="s">
        <v>575</v>
      </c>
      <c r="J12" s="340" t="s">
        <v>576</v>
      </c>
      <c r="K12" s="343">
        <v>3</v>
      </c>
      <c r="L12" s="340" t="s">
        <v>577</v>
      </c>
      <c r="M12" s="340" t="s">
        <v>578</v>
      </c>
      <c r="N12" s="366" t="s">
        <v>579</v>
      </c>
      <c r="O12" s="372" t="s">
        <v>580</v>
      </c>
      <c r="P12" s="372">
        <v>5</v>
      </c>
      <c r="Q12" s="374" t="s">
        <v>581</v>
      </c>
      <c r="Y12" s="363"/>
      <c r="Z12" s="363"/>
      <c r="AA12" s="363"/>
      <c r="AB12" s="363"/>
      <c r="AC12" s="362"/>
      <c r="AD12" s="362"/>
    </row>
    <row r="13" spans="1:30" ht="18.75">
      <c r="A13" s="350">
        <v>10</v>
      </c>
      <c r="B13" s="355">
        <v>2200</v>
      </c>
      <c r="C13" s="355">
        <v>1100</v>
      </c>
      <c r="D13" s="356">
        <v>66</v>
      </c>
      <c r="E13" s="356">
        <v>396</v>
      </c>
      <c r="F13" s="357" t="s">
        <v>512</v>
      </c>
      <c r="G13" s="358" t="s">
        <v>522</v>
      </c>
      <c r="H13" s="358" t="s">
        <v>523</v>
      </c>
      <c r="I13" s="358" t="s">
        <v>582</v>
      </c>
      <c r="J13" s="340" t="s">
        <v>583</v>
      </c>
      <c r="K13" s="344">
        <v>5</v>
      </c>
      <c r="L13" s="340" t="s">
        <v>584</v>
      </c>
      <c r="M13" s="340" t="s">
        <v>585</v>
      </c>
      <c r="N13" s="366" t="s">
        <v>586</v>
      </c>
      <c r="Q13" s="374"/>
      <c r="Y13" s="363"/>
      <c r="Z13" s="363"/>
      <c r="AA13" s="363"/>
      <c r="AB13" s="363"/>
      <c r="AC13" s="362"/>
      <c r="AD13" s="362"/>
    </row>
    <row r="14" spans="1:30" ht="18.75">
      <c r="A14" s="351">
        <v>11</v>
      </c>
      <c r="B14" s="352">
        <v>2000</v>
      </c>
      <c r="C14" s="352">
        <v>1000</v>
      </c>
      <c r="D14" s="353">
        <v>60</v>
      </c>
      <c r="E14" s="353">
        <v>360</v>
      </c>
      <c r="F14" s="357" t="s">
        <v>512</v>
      </c>
      <c r="G14" s="357">
        <v>686</v>
      </c>
      <c r="H14" s="357" t="s">
        <v>513</v>
      </c>
      <c r="I14" s="357" t="s">
        <v>514</v>
      </c>
      <c r="J14" s="340" t="s">
        <v>587</v>
      </c>
      <c r="K14" s="343">
        <v>450</v>
      </c>
      <c r="L14" s="340" t="s">
        <v>588</v>
      </c>
      <c r="M14" s="340" t="s">
        <v>589</v>
      </c>
      <c r="N14" s="366" t="s">
        <v>590</v>
      </c>
      <c r="O14" s="374"/>
      <c r="P14" s="374"/>
      <c r="Q14" s="374"/>
      <c r="Y14" s="363"/>
      <c r="Z14" s="363"/>
      <c r="AA14" s="363"/>
      <c r="AB14" s="363"/>
      <c r="AC14" s="362"/>
      <c r="AD14" s="362"/>
    </row>
    <row r="15" spans="1:30" ht="21">
      <c r="A15" s="350">
        <v>12</v>
      </c>
      <c r="B15" s="355">
        <v>1800</v>
      </c>
      <c r="C15" s="355">
        <v>900</v>
      </c>
      <c r="D15" s="356">
        <v>54</v>
      </c>
      <c r="E15" s="356">
        <v>324</v>
      </c>
      <c r="F15" s="357" t="s">
        <v>512</v>
      </c>
      <c r="G15" s="358" t="s">
        <v>591</v>
      </c>
      <c r="H15" s="358" t="s">
        <v>592</v>
      </c>
      <c r="I15" s="358" t="s">
        <v>593</v>
      </c>
      <c r="J15" s="340" t="s">
        <v>594</v>
      </c>
      <c r="K15" s="340">
        <v>75</v>
      </c>
      <c r="L15" s="340" t="s">
        <v>595</v>
      </c>
      <c r="M15" s="340" t="s">
        <v>596</v>
      </c>
      <c r="N15" s="366" t="s">
        <v>597</v>
      </c>
      <c r="O15" s="407"/>
      <c r="P15" s="363"/>
      <c r="Y15" s="363"/>
      <c r="Z15" s="363"/>
      <c r="AA15" s="363"/>
      <c r="AB15" s="363"/>
      <c r="AC15" s="362"/>
      <c r="AD15" s="362"/>
    </row>
    <row r="16" spans="1:30" ht="21">
      <c r="A16" s="403"/>
      <c r="B16" s="403"/>
      <c r="C16" s="403"/>
      <c r="D16" s="403"/>
      <c r="E16" s="403"/>
      <c r="F16" s="403"/>
      <c r="G16" s="403"/>
      <c r="H16" s="403"/>
      <c r="I16" s="403"/>
      <c r="J16" s="403"/>
      <c r="N16" s="367" t="s">
        <v>598</v>
      </c>
      <c r="O16" s="407"/>
      <c r="P16" s="363"/>
      <c r="R16" s="362"/>
      <c r="S16" s="362"/>
      <c r="T16" s="362"/>
      <c r="U16" s="363"/>
      <c r="V16" s="363"/>
      <c r="W16" s="363"/>
      <c r="X16" s="363"/>
      <c r="Y16" s="363"/>
      <c r="Z16" s="363"/>
      <c r="AA16" s="363"/>
      <c r="AB16" s="363"/>
      <c r="AC16" s="362"/>
      <c r="AD16" s="362"/>
    </row>
    <row r="17" spans="1:30" ht="20.25">
      <c r="A17" s="597" t="s">
        <v>599</v>
      </c>
      <c r="B17" s="598"/>
      <c r="C17" s="598"/>
      <c r="D17" s="598"/>
      <c r="E17" s="402" t="s">
        <v>600</v>
      </c>
      <c r="F17" s="402"/>
      <c r="G17" s="402"/>
      <c r="H17" s="402"/>
      <c r="I17" s="404" t="s">
        <v>601</v>
      </c>
      <c r="J17" s="403"/>
      <c r="K17" s="403"/>
      <c r="L17" s="403"/>
      <c r="M17" s="403"/>
      <c r="N17" s="364" t="s">
        <v>602</v>
      </c>
      <c r="P17" s="362"/>
      <c r="R17" s="362"/>
      <c r="S17" s="362"/>
      <c r="T17" s="362"/>
      <c r="U17" s="363"/>
      <c r="V17" s="363"/>
      <c r="W17" s="363"/>
      <c r="X17" s="363"/>
      <c r="Y17" s="363"/>
      <c r="Z17" s="363"/>
      <c r="AA17" s="363"/>
      <c r="AB17" s="363"/>
      <c r="AC17" s="362"/>
      <c r="AD17" s="362"/>
    </row>
    <row r="18" spans="1:30" ht="36">
      <c r="A18" s="345" t="s">
        <v>603</v>
      </c>
      <c r="B18" s="346" t="s">
        <v>604</v>
      </c>
      <c r="C18" s="346" t="s">
        <v>605</v>
      </c>
      <c r="D18" s="346" t="s">
        <v>606</v>
      </c>
      <c r="E18" s="345" t="s">
        <v>371</v>
      </c>
      <c r="F18" s="346" t="s">
        <v>607</v>
      </c>
      <c r="G18" s="346" t="s">
        <v>511</v>
      </c>
      <c r="H18" s="346" t="s">
        <v>13</v>
      </c>
      <c r="I18" s="347" t="s">
        <v>608</v>
      </c>
      <c r="J18" s="347" t="s">
        <v>609</v>
      </c>
      <c r="K18" s="403"/>
      <c r="L18" s="403"/>
      <c r="M18" s="403"/>
      <c r="N18" s="366" t="s">
        <v>610</v>
      </c>
      <c r="P18" s="362"/>
      <c r="R18" s="362"/>
      <c r="S18" s="362"/>
      <c r="T18" s="362"/>
      <c r="U18" s="363"/>
      <c r="V18" s="363"/>
      <c r="W18" s="363"/>
      <c r="X18" s="363"/>
      <c r="Y18" s="363"/>
      <c r="Z18" s="363"/>
      <c r="AA18" s="363"/>
      <c r="AB18" s="363"/>
      <c r="AC18" s="362"/>
      <c r="AD18" s="362"/>
    </row>
    <row r="19" spans="1:30" ht="37.5">
      <c r="A19" s="348" t="s">
        <v>611</v>
      </c>
      <c r="B19" s="349">
        <v>1400</v>
      </c>
      <c r="C19" s="349">
        <v>150</v>
      </c>
      <c r="D19" s="349">
        <v>750</v>
      </c>
      <c r="E19" s="348" t="s">
        <v>612</v>
      </c>
      <c r="F19" s="349" t="s">
        <v>613</v>
      </c>
      <c r="G19" s="349" t="s">
        <v>614</v>
      </c>
      <c r="H19" s="349" t="s">
        <v>615</v>
      </c>
      <c r="I19" s="340" t="s">
        <v>616</v>
      </c>
      <c r="J19" s="340" t="s">
        <v>617</v>
      </c>
      <c r="K19" s="403"/>
      <c r="L19" s="403"/>
      <c r="M19" s="403"/>
      <c r="N19" s="366" t="s">
        <v>618</v>
      </c>
      <c r="P19" s="362"/>
      <c r="R19" s="362"/>
      <c r="S19" s="362"/>
      <c r="T19" s="362"/>
      <c r="U19" s="363"/>
      <c r="V19" s="363"/>
      <c r="W19" s="363"/>
      <c r="X19" s="363"/>
      <c r="Y19" s="363"/>
      <c r="Z19" s="363"/>
      <c r="AA19" s="363"/>
      <c r="AB19" s="363"/>
      <c r="AC19" s="362"/>
      <c r="AD19" s="362"/>
    </row>
    <row r="20" spans="1:30" ht="18.75">
      <c r="A20" s="348"/>
      <c r="B20" s="349"/>
      <c r="C20" s="349"/>
      <c r="D20" s="349"/>
      <c r="E20" s="348" t="s">
        <v>619</v>
      </c>
      <c r="F20" s="349">
        <v>5</v>
      </c>
      <c r="G20" s="349" t="s">
        <v>620</v>
      </c>
      <c r="H20" s="349" t="s">
        <v>621</v>
      </c>
      <c r="I20" s="340" t="s">
        <v>622</v>
      </c>
      <c r="J20" s="340" t="s">
        <v>623</v>
      </c>
      <c r="K20" s="403"/>
      <c r="L20" s="403"/>
      <c r="M20" s="403"/>
      <c r="N20" s="366" t="s">
        <v>624</v>
      </c>
      <c r="P20" s="362"/>
      <c r="R20" s="362"/>
      <c r="S20" s="362"/>
      <c r="T20" s="362"/>
      <c r="U20" s="363"/>
      <c r="V20" s="363"/>
      <c r="W20" s="363"/>
      <c r="X20" s="363"/>
      <c r="Y20" s="363"/>
      <c r="Z20" s="363"/>
      <c r="AA20" s="363"/>
      <c r="AB20" s="363"/>
      <c r="AC20" s="362"/>
      <c r="AD20" s="362"/>
    </row>
    <row r="21" spans="1:30" ht="37.5">
      <c r="A21" s="595" t="s">
        <v>625</v>
      </c>
      <c r="B21" s="596"/>
      <c r="C21" s="403"/>
      <c r="D21" s="403"/>
      <c r="E21" s="348" t="s">
        <v>626</v>
      </c>
      <c r="F21" s="349">
        <v>300</v>
      </c>
      <c r="G21" s="349" t="s">
        <v>627</v>
      </c>
      <c r="H21" s="349" t="s">
        <v>628</v>
      </c>
      <c r="I21" s="340" t="s">
        <v>627</v>
      </c>
      <c r="J21" s="340" t="s">
        <v>629</v>
      </c>
      <c r="K21" s="403"/>
      <c r="L21" s="403"/>
      <c r="M21" s="403"/>
      <c r="N21" s="366" t="s">
        <v>630</v>
      </c>
      <c r="P21" s="362"/>
      <c r="R21" s="362"/>
      <c r="S21" s="362"/>
      <c r="T21" s="362"/>
      <c r="U21" s="363"/>
      <c r="V21" s="363"/>
      <c r="W21" s="363"/>
      <c r="X21" s="363"/>
      <c r="Y21" s="363"/>
      <c r="Z21" s="363"/>
      <c r="AA21" s="363"/>
      <c r="AB21" s="363"/>
      <c r="AC21" s="362"/>
      <c r="AD21" s="362"/>
    </row>
    <row r="22" spans="1:30" ht="18.75">
      <c r="A22" s="345" t="s">
        <v>631</v>
      </c>
      <c r="B22" s="346" t="s">
        <v>632</v>
      </c>
      <c r="C22" s="403"/>
      <c r="D22" s="403"/>
      <c r="E22" s="348" t="s">
        <v>633</v>
      </c>
      <c r="F22" s="349">
        <v>6</v>
      </c>
      <c r="G22" s="349" t="s">
        <v>435</v>
      </c>
      <c r="H22" s="349" t="s">
        <v>634</v>
      </c>
      <c r="I22" s="340" t="s">
        <v>635</v>
      </c>
      <c r="J22" s="340" t="s">
        <v>636</v>
      </c>
      <c r="K22" s="403"/>
      <c r="L22" s="403"/>
      <c r="M22" s="403"/>
      <c r="N22" s="362" t="s">
        <v>637</v>
      </c>
      <c r="P22" s="362"/>
      <c r="R22" s="362"/>
      <c r="S22" s="362"/>
      <c r="T22" s="362"/>
      <c r="U22" s="363"/>
      <c r="V22" s="363"/>
      <c r="W22" s="363"/>
      <c r="X22" s="363"/>
      <c r="Y22" s="363"/>
      <c r="Z22" s="363"/>
      <c r="AA22" s="363"/>
      <c r="AB22" s="363"/>
      <c r="AC22" s="362"/>
      <c r="AD22" s="362"/>
    </row>
    <row r="23" spans="1:30" ht="18.75">
      <c r="A23" s="348" t="s">
        <v>638</v>
      </c>
      <c r="B23" s="349" t="s">
        <v>639</v>
      </c>
      <c r="C23" s="403"/>
      <c r="D23" s="403"/>
      <c r="E23" s="348" t="s">
        <v>640</v>
      </c>
      <c r="F23" s="349">
        <v>900</v>
      </c>
      <c r="G23" s="349" t="s">
        <v>641</v>
      </c>
      <c r="H23" s="349" t="s">
        <v>642</v>
      </c>
      <c r="I23" s="340" t="s">
        <v>643</v>
      </c>
      <c r="J23" s="340" t="s">
        <v>644</v>
      </c>
      <c r="K23" s="403"/>
      <c r="L23" s="403"/>
      <c r="M23" s="403"/>
      <c r="N23" s="364" t="s">
        <v>645</v>
      </c>
      <c r="P23" s="362"/>
      <c r="R23" s="362"/>
      <c r="S23" s="362"/>
      <c r="T23" s="362"/>
      <c r="U23" s="363"/>
      <c r="V23" s="363"/>
      <c r="W23" s="363"/>
      <c r="X23" s="363"/>
      <c r="Y23" s="363"/>
      <c r="Z23" s="363"/>
      <c r="AA23" s="363"/>
      <c r="AB23" s="363"/>
      <c r="AC23" s="362"/>
      <c r="AD23" s="362"/>
    </row>
    <row r="24" spans="1:30" ht="18.75">
      <c r="A24" s="348" t="s">
        <v>646</v>
      </c>
      <c r="B24" s="349">
        <v>686</v>
      </c>
      <c r="C24" s="403"/>
      <c r="D24" s="403"/>
      <c r="E24" s="348" t="s">
        <v>647</v>
      </c>
      <c r="F24" s="349">
        <v>150</v>
      </c>
      <c r="G24" s="349" t="s">
        <v>648</v>
      </c>
      <c r="H24" s="349" t="s">
        <v>649</v>
      </c>
      <c r="I24" s="340" t="s">
        <v>650</v>
      </c>
      <c r="J24" s="340" t="s">
        <v>651</v>
      </c>
      <c r="K24" s="403"/>
      <c r="L24" s="403"/>
      <c r="M24" s="403"/>
      <c r="N24" s="366" t="s">
        <v>652</v>
      </c>
      <c r="P24" s="362"/>
      <c r="R24" s="362"/>
      <c r="S24" s="362"/>
      <c r="T24" s="362"/>
      <c r="U24" s="363"/>
      <c r="V24" s="363"/>
      <c r="W24" s="363"/>
      <c r="X24" s="363"/>
      <c r="Y24" s="363"/>
      <c r="Z24" s="363"/>
      <c r="AA24" s="363"/>
      <c r="AB24" s="363"/>
      <c r="AC24" s="362"/>
      <c r="AD24" s="362"/>
    </row>
    <row r="25" spans="1:30" ht="18.75">
      <c r="A25" s="348" t="s">
        <v>653</v>
      </c>
      <c r="B25" s="349" t="s">
        <v>554</v>
      </c>
      <c r="C25" s="403"/>
      <c r="D25" s="403"/>
      <c r="E25" s="403"/>
      <c r="F25" s="403"/>
      <c r="G25" s="403"/>
      <c r="H25" s="403"/>
      <c r="I25" s="340" t="s">
        <v>654</v>
      </c>
      <c r="J25" s="340" t="s">
        <v>655</v>
      </c>
      <c r="K25" s="403"/>
      <c r="L25" s="403"/>
      <c r="M25" s="403"/>
      <c r="N25" s="366" t="s">
        <v>656</v>
      </c>
      <c r="P25" s="362"/>
      <c r="R25" s="362"/>
      <c r="S25" s="362"/>
      <c r="T25" s="362"/>
      <c r="U25" s="363"/>
      <c r="V25" s="363"/>
      <c r="W25" s="363"/>
      <c r="X25" s="363"/>
      <c r="Y25" s="363"/>
      <c r="Z25" s="363"/>
      <c r="AA25" s="363"/>
      <c r="AB25" s="363"/>
      <c r="AC25" s="362"/>
      <c r="AD25" s="362"/>
    </row>
    <row r="26" spans="1:30" ht="18.75">
      <c r="A26" s="348" t="s">
        <v>657</v>
      </c>
      <c r="B26" s="349" t="s">
        <v>555</v>
      </c>
      <c r="C26" s="403"/>
      <c r="D26" s="403"/>
      <c r="E26" s="403"/>
      <c r="F26" s="403"/>
      <c r="G26" s="403"/>
      <c r="H26" s="403"/>
      <c r="I26" s="340" t="s">
        <v>641</v>
      </c>
      <c r="J26" s="340" t="s">
        <v>658</v>
      </c>
      <c r="K26" s="403"/>
      <c r="L26" s="403"/>
      <c r="M26" s="403"/>
      <c r="N26" s="364" t="s">
        <v>659</v>
      </c>
      <c r="P26" s="362"/>
      <c r="R26" s="362"/>
      <c r="S26" s="362"/>
      <c r="T26" s="362"/>
      <c r="U26" s="363"/>
      <c r="V26" s="363"/>
      <c r="W26" s="363"/>
      <c r="X26" s="363"/>
      <c r="Y26" s="363"/>
      <c r="Z26" s="363"/>
      <c r="AA26" s="363"/>
      <c r="AB26" s="363"/>
      <c r="AC26" s="362"/>
      <c r="AD26" s="362"/>
    </row>
    <row r="27" spans="1:30" ht="18.75">
      <c r="A27" s="403"/>
      <c r="B27" s="403"/>
      <c r="C27" s="403"/>
      <c r="D27" s="403"/>
      <c r="E27" s="403"/>
      <c r="F27" s="403"/>
      <c r="G27" s="403"/>
      <c r="H27" s="403"/>
      <c r="I27" s="340" t="s">
        <v>521</v>
      </c>
      <c r="J27" s="340" t="s">
        <v>660</v>
      </c>
      <c r="K27" s="403"/>
      <c r="L27" s="403"/>
      <c r="M27" s="403"/>
      <c r="N27" s="366" t="s">
        <v>661</v>
      </c>
      <c r="P27" s="362"/>
      <c r="R27" s="362"/>
      <c r="S27" s="362"/>
      <c r="T27" s="362"/>
      <c r="U27" s="363"/>
      <c r="V27" s="363"/>
      <c r="W27" s="363"/>
      <c r="X27" s="363"/>
      <c r="Y27" s="363"/>
      <c r="Z27" s="363"/>
      <c r="AA27" s="363"/>
      <c r="AB27" s="363"/>
      <c r="AC27" s="362"/>
      <c r="AD27" s="362"/>
    </row>
    <row r="28" spans="1:30" ht="18.75">
      <c r="N28" s="366" t="s">
        <v>662</v>
      </c>
      <c r="P28" s="362"/>
      <c r="R28" s="362"/>
      <c r="S28" s="362"/>
      <c r="T28" s="362"/>
      <c r="U28" s="363"/>
      <c r="V28" s="363"/>
      <c r="W28" s="363"/>
      <c r="X28" s="363"/>
      <c r="Y28" s="363"/>
      <c r="Z28" s="363"/>
      <c r="AA28" s="363"/>
      <c r="AB28" s="363"/>
      <c r="AC28" s="362"/>
      <c r="AD28" s="362"/>
    </row>
    <row r="29" spans="1:30" ht="18.75">
      <c r="K29" s="332"/>
      <c r="L29" s="332"/>
      <c r="N29" s="366" t="s">
        <v>663</v>
      </c>
      <c r="P29" s="362"/>
      <c r="R29" s="362"/>
      <c r="S29" s="362"/>
      <c r="T29" s="362"/>
      <c r="U29" s="363"/>
      <c r="V29" s="363"/>
      <c r="W29" s="363"/>
      <c r="X29" s="363"/>
      <c r="Y29" s="363"/>
      <c r="Z29" s="363"/>
      <c r="AA29" s="363"/>
      <c r="AB29" s="363"/>
      <c r="AC29" s="362"/>
      <c r="AD29" s="362"/>
    </row>
    <row r="30" spans="1:30" ht="18.75">
      <c r="N30" s="368"/>
      <c r="P30" s="362"/>
      <c r="R30" s="362"/>
      <c r="S30" s="362"/>
      <c r="T30" s="362"/>
      <c r="U30" s="363"/>
      <c r="V30" s="363"/>
      <c r="W30" s="363"/>
      <c r="X30" s="363"/>
      <c r="Y30" s="363"/>
      <c r="Z30" s="363"/>
      <c r="AA30" s="363"/>
      <c r="AB30" s="363"/>
      <c r="AC30" s="362"/>
      <c r="AD30" s="362"/>
    </row>
    <row r="31" spans="1:30" ht="18.75">
      <c r="P31" s="362"/>
      <c r="R31" s="362"/>
      <c r="S31" s="362"/>
      <c r="T31" s="362"/>
      <c r="U31" s="363"/>
      <c r="V31" s="363"/>
      <c r="W31" s="363"/>
      <c r="X31" s="363"/>
      <c r="Y31" s="363"/>
      <c r="Z31" s="363"/>
      <c r="AA31" s="363"/>
      <c r="AB31" s="363"/>
      <c r="AC31" s="362"/>
      <c r="AD31" s="362"/>
    </row>
    <row r="32" spans="1:30" ht="18.75">
      <c r="P32" s="362"/>
      <c r="R32" s="362"/>
      <c r="S32" s="362"/>
      <c r="T32" s="362"/>
      <c r="U32" s="363"/>
      <c r="V32" s="363"/>
      <c r="W32" s="363"/>
      <c r="X32" s="363"/>
      <c r="Y32" s="363"/>
      <c r="Z32" s="363"/>
      <c r="AA32" s="363"/>
      <c r="AB32" s="363"/>
      <c r="AC32" s="362"/>
      <c r="AD32" s="362"/>
    </row>
    <row r="33" spans="16:30" ht="18.75">
      <c r="P33" s="362"/>
      <c r="R33" s="362"/>
      <c r="S33" s="362"/>
      <c r="T33" s="362"/>
      <c r="U33" s="363"/>
      <c r="V33" s="363"/>
      <c r="W33" s="363"/>
      <c r="X33" s="363"/>
      <c r="Y33" s="363"/>
      <c r="Z33" s="363"/>
      <c r="AA33" s="363"/>
      <c r="AB33" s="363"/>
      <c r="AC33" s="362"/>
      <c r="AD33" s="362"/>
    </row>
    <row r="34" spans="16:30" ht="18.75">
      <c r="P34" s="362"/>
      <c r="R34" s="362"/>
      <c r="S34" s="362"/>
      <c r="T34" s="362"/>
      <c r="U34" s="363"/>
      <c r="V34" s="363"/>
      <c r="W34" s="363"/>
      <c r="X34" s="363"/>
      <c r="Y34" s="363"/>
      <c r="Z34" s="363"/>
      <c r="AA34" s="363"/>
      <c r="AB34" s="363"/>
      <c r="AC34" s="362"/>
      <c r="AD34" s="362"/>
    </row>
    <row r="35" spans="16:30" ht="18.75">
      <c r="P35" s="362"/>
      <c r="R35" s="362"/>
      <c r="S35" s="362"/>
      <c r="T35" s="362"/>
      <c r="U35" s="363"/>
      <c r="V35" s="363"/>
      <c r="W35" s="363"/>
      <c r="X35" s="363"/>
      <c r="Y35" s="363"/>
      <c r="Z35" s="363"/>
      <c r="AA35" s="363"/>
      <c r="AB35" s="363"/>
      <c r="AC35" s="362"/>
      <c r="AD35" s="362"/>
    </row>
    <row r="36" spans="16:30" ht="18.75">
      <c r="P36" s="362"/>
      <c r="R36" s="362"/>
      <c r="S36" s="362"/>
      <c r="T36" s="362"/>
      <c r="U36" s="363"/>
      <c r="V36" s="363"/>
      <c r="W36" s="363"/>
      <c r="X36" s="363"/>
      <c r="Y36" s="363"/>
      <c r="Z36" s="363"/>
      <c r="AA36" s="363"/>
      <c r="AB36" s="363"/>
      <c r="AC36" s="362"/>
      <c r="AD36" s="362"/>
    </row>
    <row r="37" spans="16:30" ht="18.75">
      <c r="P37" s="362"/>
      <c r="R37" s="362"/>
      <c r="S37" s="362"/>
      <c r="T37" s="362"/>
      <c r="U37" s="363"/>
      <c r="V37" s="363"/>
      <c r="W37" s="363"/>
      <c r="X37" s="363"/>
      <c r="Y37" s="363"/>
      <c r="Z37" s="363"/>
      <c r="AA37" s="363"/>
      <c r="AB37" s="363"/>
      <c r="AC37" s="362"/>
      <c r="AD37" s="362"/>
    </row>
    <row r="38" spans="16:30" ht="18.75">
      <c r="P38" s="362"/>
      <c r="Q38" s="369"/>
      <c r="R38" s="362"/>
      <c r="S38" s="362"/>
      <c r="T38" s="362"/>
      <c r="U38" s="363"/>
      <c r="V38" s="363"/>
      <c r="W38" s="363"/>
      <c r="X38" s="363"/>
      <c r="Y38" s="363"/>
      <c r="Z38" s="363"/>
      <c r="AA38" s="363"/>
      <c r="AB38" s="363"/>
      <c r="AC38" s="362"/>
      <c r="AD38" s="362"/>
    </row>
    <row r="39" spans="16:30" ht="18.75">
      <c r="P39" s="362"/>
      <c r="S39" s="362"/>
      <c r="T39" s="362"/>
      <c r="U39" s="363"/>
      <c r="V39" s="363"/>
      <c r="W39" s="363"/>
      <c r="X39" s="363"/>
      <c r="Y39" s="363"/>
      <c r="Z39" s="363"/>
      <c r="AA39" s="363"/>
      <c r="AB39" s="363"/>
      <c r="AC39" s="362"/>
      <c r="AD39" s="362"/>
    </row>
    <row r="40" spans="16:30" ht="18.75">
      <c r="P40" s="362"/>
      <c r="S40" s="362"/>
      <c r="T40" s="362"/>
      <c r="U40" s="363"/>
      <c r="V40" s="363"/>
      <c r="W40" s="363"/>
      <c r="X40" s="363"/>
      <c r="Y40" s="363"/>
      <c r="Z40" s="363"/>
      <c r="AA40" s="363"/>
      <c r="AB40" s="363"/>
      <c r="AC40" s="362"/>
      <c r="AD40" s="362"/>
    </row>
    <row r="41" spans="16:30" ht="18.75">
      <c r="P41" s="362"/>
      <c r="S41" s="362"/>
      <c r="T41" s="362"/>
      <c r="U41" s="363"/>
      <c r="V41" s="363"/>
      <c r="W41" s="363"/>
      <c r="X41" s="363"/>
      <c r="Y41" s="363"/>
      <c r="Z41" s="363"/>
      <c r="AA41" s="363"/>
      <c r="AB41" s="363"/>
      <c r="AC41" s="362"/>
      <c r="AD41" s="362"/>
    </row>
    <row r="42" spans="16:30" ht="18.75">
      <c r="P42" s="362"/>
      <c r="S42" s="362"/>
      <c r="T42" s="362"/>
      <c r="U42" s="362"/>
      <c r="V42" s="362"/>
      <c r="W42" s="362"/>
      <c r="X42" s="362"/>
      <c r="Y42" s="362"/>
      <c r="Z42" s="362"/>
      <c r="AA42" s="362"/>
      <c r="AB42" s="362"/>
      <c r="AC42" s="362"/>
      <c r="AD42" s="362"/>
    </row>
    <row r="43" spans="16:30" ht="18.75">
      <c r="P43" s="362"/>
      <c r="S43" s="362"/>
      <c r="T43" s="362"/>
      <c r="U43" s="362"/>
      <c r="V43" s="362"/>
      <c r="W43" s="362"/>
      <c r="X43" s="362"/>
      <c r="Y43" s="362"/>
      <c r="Z43" s="362"/>
      <c r="AA43" s="362"/>
      <c r="AB43" s="362"/>
      <c r="AC43" s="362"/>
      <c r="AD43" s="362"/>
    </row>
    <row r="44" spans="16:30" ht="18.75">
      <c r="P44" s="362"/>
      <c r="S44" s="362"/>
      <c r="T44" s="362"/>
      <c r="U44" s="362"/>
      <c r="V44" s="362"/>
      <c r="W44" s="362"/>
      <c r="X44" s="362"/>
      <c r="Y44" s="362"/>
      <c r="Z44" s="362"/>
      <c r="AA44" s="362"/>
      <c r="AB44" s="362"/>
      <c r="AC44" s="362"/>
      <c r="AD44" s="362"/>
    </row>
    <row r="45" spans="16:30" ht="18.75">
      <c r="P45" s="362"/>
      <c r="S45" s="362"/>
      <c r="T45" s="362"/>
      <c r="U45" s="362"/>
      <c r="V45" s="362"/>
      <c r="W45" s="362"/>
      <c r="X45" s="362"/>
      <c r="Y45" s="362"/>
      <c r="Z45" s="362"/>
      <c r="AA45" s="362"/>
      <c r="AB45" s="362"/>
      <c r="AC45" s="362"/>
      <c r="AD45" s="362"/>
    </row>
    <row r="46" spans="16:30" ht="18.75">
      <c r="P46" s="362"/>
      <c r="S46" s="362"/>
      <c r="T46" s="362"/>
      <c r="U46" s="362"/>
      <c r="V46" s="362"/>
      <c r="W46" s="362"/>
      <c r="X46" s="362"/>
      <c r="Y46" s="362"/>
      <c r="Z46" s="362"/>
      <c r="AA46" s="362"/>
      <c r="AB46" s="362"/>
      <c r="AC46" s="362"/>
      <c r="AD46" s="362"/>
    </row>
    <row r="47" spans="16:30" ht="18.75">
      <c r="P47" s="362"/>
      <c r="S47" s="362"/>
      <c r="T47" s="362"/>
      <c r="U47" s="362"/>
      <c r="V47" s="362"/>
      <c r="W47" s="362"/>
      <c r="X47" s="362"/>
      <c r="Y47" s="362"/>
      <c r="Z47" s="362"/>
      <c r="AA47" s="362"/>
      <c r="AB47" s="362"/>
      <c r="AC47" s="362"/>
      <c r="AD47" s="362"/>
    </row>
    <row r="48" spans="16:30" ht="18.75">
      <c r="P48" s="362"/>
      <c r="S48" s="362"/>
      <c r="T48" s="362"/>
      <c r="U48" s="362"/>
      <c r="V48" s="362"/>
      <c r="W48" s="362"/>
      <c r="X48" s="362"/>
      <c r="Y48" s="362"/>
      <c r="Z48" s="362"/>
      <c r="AA48" s="362"/>
      <c r="AB48" s="362"/>
      <c r="AC48" s="362"/>
      <c r="AD48" s="362"/>
    </row>
    <row r="49" spans="16:30" ht="18.75">
      <c r="P49" s="362"/>
      <c r="S49" s="362"/>
      <c r="T49" s="362"/>
      <c r="U49" s="362"/>
      <c r="V49" s="362"/>
      <c r="W49" s="362"/>
      <c r="X49" s="362"/>
      <c r="Y49" s="362"/>
      <c r="Z49" s="362"/>
      <c r="AA49" s="362"/>
      <c r="AB49" s="362"/>
      <c r="AC49" s="362"/>
      <c r="AD49" s="362"/>
    </row>
    <row r="50" spans="16:30" ht="18.75">
      <c r="P50" s="362"/>
      <c r="Q50" s="362" t="s">
        <v>664</v>
      </c>
      <c r="R50" s="362"/>
      <c r="S50" s="362"/>
      <c r="T50" s="362"/>
      <c r="U50" s="362"/>
      <c r="V50" s="362"/>
      <c r="W50" s="362"/>
      <c r="X50" s="362"/>
      <c r="Y50" s="362"/>
      <c r="Z50" s="362"/>
      <c r="AA50" s="362"/>
      <c r="AB50" s="362"/>
      <c r="AC50" s="362"/>
      <c r="AD50" s="362"/>
    </row>
    <row r="51" spans="16:30" ht="18.75">
      <c r="P51" s="362"/>
      <c r="Q51" s="369" t="s">
        <v>665</v>
      </c>
      <c r="R51" s="362"/>
      <c r="S51" s="362"/>
      <c r="T51" s="362"/>
      <c r="U51" s="362"/>
      <c r="V51" s="362"/>
      <c r="W51" s="362"/>
      <c r="X51" s="362"/>
      <c r="Y51" s="362"/>
      <c r="Z51" s="362"/>
      <c r="AA51" s="362"/>
      <c r="AB51" s="362"/>
      <c r="AC51" s="362"/>
      <c r="AD51" s="362"/>
    </row>
    <row r="52" spans="16:30" ht="18.75">
      <c r="P52" s="362"/>
      <c r="Q52" s="362" t="s">
        <v>666</v>
      </c>
      <c r="R52" s="362"/>
      <c r="S52" s="362"/>
      <c r="T52" s="362"/>
      <c r="U52" s="362"/>
      <c r="V52" s="362"/>
      <c r="W52" s="362"/>
      <c r="X52" s="362"/>
      <c r="Y52" s="362"/>
      <c r="Z52" s="362"/>
      <c r="AA52" s="362"/>
      <c r="AB52" s="362"/>
      <c r="AC52" s="362"/>
      <c r="AD52" s="362"/>
    </row>
    <row r="53" spans="16:30" ht="18.75">
      <c r="P53" s="362"/>
      <c r="Q53" s="362" t="s">
        <v>667</v>
      </c>
      <c r="R53" s="362"/>
      <c r="S53" s="362"/>
      <c r="T53" s="362"/>
      <c r="U53" s="362"/>
      <c r="V53" s="362"/>
      <c r="W53" s="362"/>
      <c r="X53" s="362"/>
      <c r="Y53" s="362"/>
      <c r="Z53" s="362"/>
      <c r="AA53" s="362"/>
      <c r="AB53" s="362"/>
      <c r="AC53" s="362"/>
      <c r="AD53" s="362"/>
    </row>
    <row r="54" spans="16:30" ht="18.75">
      <c r="P54" s="362"/>
      <c r="Q54" s="362" t="s">
        <v>668</v>
      </c>
      <c r="R54" s="362"/>
      <c r="S54" s="362"/>
      <c r="T54" s="362"/>
      <c r="U54" s="362"/>
      <c r="V54" s="362"/>
      <c r="W54" s="362"/>
      <c r="X54" s="362"/>
      <c r="Y54" s="362"/>
      <c r="Z54" s="362"/>
      <c r="AA54" s="362"/>
      <c r="AB54" s="362"/>
      <c r="AC54" s="362"/>
      <c r="AD54" s="362"/>
    </row>
    <row r="55" spans="16:30" ht="18.75">
      <c r="P55" s="362"/>
      <c r="Q55" s="362" t="s">
        <v>669</v>
      </c>
      <c r="R55" s="362"/>
      <c r="S55" s="362"/>
      <c r="T55" s="362"/>
      <c r="U55" s="362"/>
      <c r="V55" s="362"/>
      <c r="W55" s="362"/>
      <c r="X55" s="362"/>
      <c r="Y55" s="362"/>
      <c r="Z55" s="362"/>
      <c r="AA55" s="362"/>
      <c r="AB55" s="362"/>
      <c r="AC55" s="362"/>
      <c r="AD55" s="362"/>
    </row>
    <row r="56" spans="16:30">
      <c r="Q56" s="186"/>
    </row>
  </sheetData>
  <mergeCells count="4">
    <mergeCell ref="A21:B21"/>
    <mergeCell ref="A17:D17"/>
    <mergeCell ref="A2:I2"/>
    <mergeCell ref="J10:M10"/>
  </mergeCells>
  <hyperlinks>
    <hyperlink ref="N4" location="_msocom_1" display="- Annual output: 44,000 kg [AN1] → 44,000 ÷ 12 ≈ 3,667 kg/month" xr:uid="{EF71E718-2295-431F-82C5-68AC9E7371B9}"/>
  </hyperlink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17224-E992-4BED-BF7F-FC1356C7BEDB}">
  <dimension ref="A1:AD118"/>
  <sheetViews>
    <sheetView topLeftCell="A9" workbookViewId="0">
      <selection activeCell="C44" sqref="C44"/>
    </sheetView>
  </sheetViews>
  <sheetFormatPr defaultRowHeight="15"/>
  <cols>
    <col min="1" max="1" width="30.85546875" bestFit="1" customWidth="1"/>
    <col min="2" max="2" width="38" bestFit="1" customWidth="1"/>
    <col min="3" max="3" width="41.7109375" customWidth="1"/>
    <col min="4" max="4" width="29.5703125" bestFit="1" customWidth="1"/>
    <col min="5" max="5" width="29.28515625" bestFit="1" customWidth="1"/>
    <col min="6" max="6" width="26.42578125" bestFit="1" customWidth="1"/>
    <col min="7" max="7" width="32.140625" bestFit="1" customWidth="1"/>
    <col min="8" max="8" width="36.5703125" bestFit="1" customWidth="1"/>
    <col min="9" max="9" width="25.85546875" customWidth="1"/>
    <col min="10" max="10" width="25.85546875" bestFit="1" customWidth="1"/>
    <col min="11" max="11" width="20.7109375" bestFit="1" customWidth="1"/>
    <col min="12" max="12" width="25.140625" bestFit="1" customWidth="1"/>
    <col min="13" max="13" width="20.7109375" bestFit="1" customWidth="1"/>
    <col min="14" max="14" width="30" bestFit="1" customWidth="1"/>
    <col min="15" max="15" width="25.140625" bestFit="1" customWidth="1"/>
    <col min="16" max="16" width="29.28515625" bestFit="1" customWidth="1"/>
    <col min="17" max="17" width="29.5703125" bestFit="1" customWidth="1"/>
    <col min="18" max="18" width="38.28515625" bestFit="1" customWidth="1"/>
    <col min="19" max="19" width="33.42578125" bestFit="1" customWidth="1"/>
    <col min="20" max="20" width="33.5703125" bestFit="1" customWidth="1"/>
    <col min="21" max="21" width="35.5703125" bestFit="1" customWidth="1"/>
    <col min="22" max="22" width="36.5703125" bestFit="1" customWidth="1"/>
    <col min="23" max="23" width="30" bestFit="1" customWidth="1"/>
    <col min="24" max="24" width="23.7109375" bestFit="1" customWidth="1"/>
    <col min="25" max="25" width="23.42578125" bestFit="1" customWidth="1"/>
    <col min="26" max="26" width="27.5703125" bestFit="1" customWidth="1"/>
    <col min="27" max="27" width="30.7109375" bestFit="1" customWidth="1"/>
    <col min="28" max="28" width="31.28515625" bestFit="1" customWidth="1"/>
    <col min="29" max="29" width="30.7109375" bestFit="1" customWidth="1"/>
    <col min="30" max="30" width="34" bestFit="1" customWidth="1"/>
    <col min="31" max="31" width="30.42578125" bestFit="1" customWidth="1"/>
    <col min="32" max="32" width="29.42578125" bestFit="1" customWidth="1"/>
    <col min="33" max="33" width="30.7109375" bestFit="1" customWidth="1"/>
    <col min="34" max="34" width="38.140625" bestFit="1" customWidth="1"/>
  </cols>
  <sheetData>
    <row r="1" spans="1:26" ht="59.25">
      <c r="A1" s="607" t="s">
        <v>670</v>
      </c>
      <c r="B1" s="607"/>
      <c r="C1" s="607"/>
      <c r="D1" s="607"/>
      <c r="E1" s="607"/>
      <c r="F1" s="607"/>
      <c r="G1" s="607"/>
      <c r="H1" s="607"/>
      <c r="I1" s="607"/>
      <c r="J1" s="607"/>
      <c r="K1" s="607"/>
      <c r="L1" s="607"/>
      <c r="M1" s="607"/>
      <c r="N1" s="607"/>
      <c r="O1" s="607"/>
      <c r="P1" s="607"/>
      <c r="Q1" s="607"/>
      <c r="R1" s="607"/>
      <c r="S1" s="607"/>
      <c r="T1" s="607"/>
      <c r="U1" s="607"/>
      <c r="V1" s="607"/>
      <c r="W1" s="607"/>
      <c r="X1" s="607"/>
      <c r="Y1" s="607"/>
      <c r="Z1" s="607"/>
    </row>
    <row r="2" spans="1:26">
      <c r="A2" s="3"/>
      <c r="D2" s="4"/>
    </row>
    <row r="3" spans="1:26" ht="18.75">
      <c r="D3" s="5"/>
    </row>
    <row r="4" spans="1:26">
      <c r="D4" s="4"/>
    </row>
    <row r="6" spans="1:26">
      <c r="D6" s="398"/>
    </row>
    <row r="8" spans="1:26" ht="18">
      <c r="B8" s="608" t="s">
        <v>671</v>
      </c>
      <c r="C8" s="608"/>
      <c r="D8" s="473">
        <v>655</v>
      </c>
      <c r="F8" s="215" t="s">
        <v>672</v>
      </c>
      <c r="K8" s="216"/>
    </row>
    <row r="9" spans="1:26">
      <c r="B9" s="608"/>
      <c r="C9" s="608"/>
      <c r="D9" s="474"/>
      <c r="K9" s="217"/>
      <c r="R9" s="2"/>
      <c r="S9" s="2"/>
      <c r="T9" s="2"/>
      <c r="U9" s="2"/>
      <c r="V9" s="308"/>
    </row>
    <row r="10" spans="1:26" ht="19.5">
      <c r="B10" s="475" t="s">
        <v>673</v>
      </c>
      <c r="C10" s="476"/>
      <c r="D10" s="7">
        <v>1525</v>
      </c>
      <c r="R10" s="2"/>
      <c r="T10" s="2"/>
      <c r="U10" s="2"/>
      <c r="V10" s="30"/>
    </row>
    <row r="11" spans="1:26">
      <c r="I11" s="99"/>
      <c r="J11" s="6"/>
      <c r="K11" s="6"/>
      <c r="T11" s="2"/>
      <c r="U11" s="2"/>
      <c r="V11" s="30"/>
    </row>
    <row r="12" spans="1:26" ht="15" customHeight="1">
      <c r="I12" s="99"/>
      <c r="J12" s="6"/>
      <c r="K12" s="6"/>
      <c r="L12" s="622" t="s">
        <v>674</v>
      </c>
      <c r="M12" s="622"/>
      <c r="N12" s="622"/>
      <c r="O12" s="622"/>
      <c r="P12" s="622"/>
      <c r="R12" s="2"/>
      <c r="T12" s="2"/>
      <c r="V12" s="30"/>
    </row>
    <row r="13" spans="1:26" ht="15" customHeight="1">
      <c r="I13" s="99"/>
      <c r="J13" s="6"/>
      <c r="K13" s="6"/>
      <c r="L13" s="623"/>
      <c r="M13" s="623"/>
      <c r="N13" s="623"/>
      <c r="O13" s="623"/>
      <c r="P13" s="623"/>
      <c r="T13" s="2"/>
      <c r="V13" s="30"/>
    </row>
    <row r="14" spans="1:26" ht="30">
      <c r="B14" s="610" t="s">
        <v>675</v>
      </c>
      <c r="C14" s="611"/>
      <c r="D14" s="611"/>
      <c r="E14" s="611"/>
      <c r="F14" s="612"/>
      <c r="H14" s="99"/>
      <c r="I14" s="99"/>
      <c r="J14" s="6"/>
      <c r="L14" s="613" t="s">
        <v>676</v>
      </c>
      <c r="M14" s="613" t="s">
        <v>677</v>
      </c>
      <c r="N14" s="618" t="s">
        <v>678</v>
      </c>
      <c r="O14" s="619"/>
      <c r="P14" s="620" t="s">
        <v>679</v>
      </c>
      <c r="T14" s="2"/>
      <c r="V14" s="30"/>
    </row>
    <row r="15" spans="1:26" ht="16.5" customHeight="1">
      <c r="B15" s="73" t="s">
        <v>371</v>
      </c>
      <c r="C15" s="74" t="s">
        <v>281</v>
      </c>
      <c r="D15" s="75" t="s">
        <v>680</v>
      </c>
      <c r="E15" s="78" t="s">
        <v>681</v>
      </c>
      <c r="F15" s="78" t="s">
        <v>679</v>
      </c>
      <c r="H15" s="320" t="s">
        <v>682</v>
      </c>
      <c r="I15" s="320" t="s">
        <v>683</v>
      </c>
      <c r="J15" s="320" t="s">
        <v>684</v>
      </c>
      <c r="L15" s="614"/>
      <c r="M15" s="614"/>
      <c r="N15" s="106" t="s">
        <v>685</v>
      </c>
      <c r="O15" s="47" t="s">
        <v>686</v>
      </c>
      <c r="P15" s="621"/>
      <c r="T15" s="2"/>
      <c r="V15" s="30"/>
      <c r="X15" s="6"/>
    </row>
    <row r="16" spans="1:26" ht="24" customHeight="1">
      <c r="B16" s="67" t="s">
        <v>687</v>
      </c>
      <c r="C16" s="68">
        <v>10000</v>
      </c>
      <c r="D16" s="69" t="s">
        <v>688</v>
      </c>
      <c r="E16" s="116" t="s">
        <v>427</v>
      </c>
      <c r="F16" s="113" t="s">
        <v>689</v>
      </c>
      <c r="H16" s="68" t="s">
        <v>690</v>
      </c>
      <c r="I16" s="68">
        <v>600000</v>
      </c>
      <c r="J16" s="68">
        <v>913</v>
      </c>
      <c r="L16" s="615" t="s">
        <v>691</v>
      </c>
      <c r="M16" s="107" t="s">
        <v>692</v>
      </c>
      <c r="N16" s="100">
        <v>91.67</v>
      </c>
      <c r="O16" s="100">
        <v>100</v>
      </c>
      <c r="P16" s="624" t="s">
        <v>693</v>
      </c>
      <c r="T16" s="2"/>
      <c r="V16" s="30"/>
      <c r="X16" s="6"/>
    </row>
    <row r="17" spans="1:22">
      <c r="B17" s="67" t="s">
        <v>694</v>
      </c>
      <c r="C17" s="68">
        <v>0.8</v>
      </c>
      <c r="D17" s="69" t="s">
        <v>695</v>
      </c>
      <c r="E17" s="116" t="s">
        <v>427</v>
      </c>
      <c r="F17" s="113" t="s">
        <v>689</v>
      </c>
      <c r="H17" s="68" t="s">
        <v>696</v>
      </c>
      <c r="I17" s="68">
        <v>700000</v>
      </c>
      <c r="J17" s="68">
        <v>1065</v>
      </c>
      <c r="L17" s="616"/>
      <c r="M17" s="108" t="s">
        <v>697</v>
      </c>
      <c r="N17" s="108">
        <v>8.33</v>
      </c>
      <c r="O17" s="100">
        <v>0</v>
      </c>
      <c r="P17" s="625"/>
      <c r="R17" s="2"/>
      <c r="U17" s="2"/>
      <c r="V17" s="30"/>
    </row>
    <row r="18" spans="1:22">
      <c r="B18" s="67" t="s">
        <v>698</v>
      </c>
      <c r="C18" s="68">
        <v>4</v>
      </c>
      <c r="D18" s="69" t="s">
        <v>699</v>
      </c>
      <c r="E18" s="119" t="s">
        <v>427</v>
      </c>
      <c r="F18" s="113" t="s">
        <v>700</v>
      </c>
      <c r="H18" s="68" t="s">
        <v>701</v>
      </c>
      <c r="I18" s="68">
        <v>1500000</v>
      </c>
      <c r="J18" s="68">
        <v>2282</v>
      </c>
      <c r="L18" s="615" t="s">
        <v>702</v>
      </c>
      <c r="M18" s="109" t="s">
        <v>703</v>
      </c>
      <c r="N18" s="100">
        <v>10.83</v>
      </c>
      <c r="O18" s="100" t="s">
        <v>427</v>
      </c>
      <c r="P18" s="625"/>
      <c r="T18" s="2"/>
      <c r="U18" s="2"/>
      <c r="V18" s="30"/>
    </row>
    <row r="19" spans="1:22">
      <c r="B19" s="67" t="s">
        <v>704</v>
      </c>
      <c r="C19" s="68">
        <v>150</v>
      </c>
      <c r="D19" s="69" t="s">
        <v>705</v>
      </c>
      <c r="E19" s="120" t="s">
        <v>706</v>
      </c>
      <c r="F19" s="117" t="s">
        <v>427</v>
      </c>
      <c r="H19" s="68" t="s">
        <v>707</v>
      </c>
      <c r="I19" s="68">
        <v>500000</v>
      </c>
      <c r="J19" s="68">
        <v>761</v>
      </c>
      <c r="L19" s="617"/>
      <c r="M19" s="109" t="s">
        <v>708</v>
      </c>
      <c r="N19" s="100" t="s">
        <v>709</v>
      </c>
      <c r="O19" s="100" t="s">
        <v>427</v>
      </c>
      <c r="P19" s="625"/>
      <c r="U19" s="2"/>
      <c r="V19" s="30"/>
    </row>
    <row r="20" spans="1:22">
      <c r="B20" s="67" t="s">
        <v>710</v>
      </c>
      <c r="C20" s="68">
        <v>20000</v>
      </c>
      <c r="D20" s="69" t="s">
        <v>711</v>
      </c>
      <c r="E20" s="80">
        <v>31</v>
      </c>
      <c r="F20" s="114" t="s">
        <v>712</v>
      </c>
      <c r="H20" s="68" t="s">
        <v>713</v>
      </c>
      <c r="I20" s="68">
        <v>1750000</v>
      </c>
      <c r="J20" s="68">
        <v>2662</v>
      </c>
      <c r="L20" s="617"/>
      <c r="M20" s="109" t="s">
        <v>714</v>
      </c>
      <c r="N20" s="100">
        <v>53.61</v>
      </c>
      <c r="O20" s="100" t="s">
        <v>427</v>
      </c>
      <c r="P20" s="625"/>
      <c r="T20" s="2"/>
      <c r="U20" s="2"/>
      <c r="V20" s="30"/>
    </row>
    <row r="21" spans="1:22">
      <c r="B21" s="67" t="s">
        <v>715</v>
      </c>
      <c r="C21" s="68">
        <v>500</v>
      </c>
      <c r="D21" s="69" t="s">
        <v>716</v>
      </c>
      <c r="E21" s="118" t="s">
        <v>427</v>
      </c>
      <c r="F21" s="113" t="s">
        <v>717</v>
      </c>
      <c r="H21" s="71" t="s">
        <v>718</v>
      </c>
      <c r="I21" s="71">
        <v>800000</v>
      </c>
      <c r="J21" s="71">
        <v>1217</v>
      </c>
      <c r="L21" s="617"/>
      <c r="M21" s="109" t="s">
        <v>719</v>
      </c>
      <c r="N21" s="100">
        <v>18.329999999999998</v>
      </c>
      <c r="O21" s="100" t="s">
        <v>427</v>
      </c>
      <c r="P21" s="625"/>
      <c r="T21" s="2"/>
      <c r="V21" s="30"/>
    </row>
    <row r="22" spans="1:22">
      <c r="B22" s="67" t="s">
        <v>720</v>
      </c>
      <c r="C22" s="68">
        <v>120</v>
      </c>
      <c r="D22" s="69" t="s">
        <v>721</v>
      </c>
      <c r="E22" s="116" t="s">
        <v>427</v>
      </c>
      <c r="F22" s="113" t="s">
        <v>722</v>
      </c>
      <c r="H22" s="327" t="s">
        <v>723</v>
      </c>
      <c r="I22" s="327">
        <f>I16+I17++I18+I19+I20+I21</f>
        <v>5850000</v>
      </c>
      <c r="J22" s="327">
        <f>J16+J17+J18+J19+J20+J21</f>
        <v>8900</v>
      </c>
      <c r="L22" s="616"/>
      <c r="M22" s="100" t="s">
        <v>724</v>
      </c>
      <c r="N22" s="100">
        <v>8.89</v>
      </c>
      <c r="O22" s="100" t="s">
        <v>427</v>
      </c>
      <c r="P22" s="625"/>
      <c r="R22" s="2"/>
      <c r="T22" s="2"/>
      <c r="U22" s="2"/>
      <c r="V22" s="30"/>
    </row>
    <row r="23" spans="1:22">
      <c r="B23" s="67" t="s">
        <v>725</v>
      </c>
      <c r="C23" s="68">
        <v>32</v>
      </c>
      <c r="D23" s="69" t="s">
        <v>726</v>
      </c>
      <c r="E23" s="119" t="s">
        <v>427</v>
      </c>
      <c r="F23" s="116" t="s">
        <v>427</v>
      </c>
      <c r="H23" s="309"/>
      <c r="I23" s="309"/>
      <c r="J23" s="309"/>
      <c r="L23" s="615" t="s">
        <v>727</v>
      </c>
      <c r="M23" s="100" t="s">
        <v>728</v>
      </c>
      <c r="N23" s="100" t="s">
        <v>427</v>
      </c>
      <c r="O23" s="109" t="s">
        <v>729</v>
      </c>
      <c r="P23" s="625"/>
      <c r="T23" s="2"/>
      <c r="U23" s="2"/>
      <c r="V23" s="30"/>
    </row>
    <row r="24" spans="1:22">
      <c r="B24" s="67" t="s">
        <v>730</v>
      </c>
      <c r="C24" s="68">
        <v>1750000</v>
      </c>
      <c r="D24" s="69" t="s">
        <v>731</v>
      </c>
      <c r="E24" s="115">
        <v>1144</v>
      </c>
      <c r="F24" s="117" t="s">
        <v>427</v>
      </c>
      <c r="H24" s="309"/>
      <c r="I24" s="309"/>
      <c r="J24" s="309"/>
      <c r="L24" s="617"/>
      <c r="M24" s="100" t="s">
        <v>732</v>
      </c>
      <c r="N24" s="100">
        <v>4.17</v>
      </c>
      <c r="O24" s="109" t="s">
        <v>733</v>
      </c>
      <c r="P24" s="625"/>
      <c r="T24" s="2"/>
      <c r="U24" s="2"/>
      <c r="V24" s="30"/>
    </row>
    <row r="25" spans="1:22" ht="18.75">
      <c r="B25" s="70" t="s">
        <v>734</v>
      </c>
      <c r="C25" s="71">
        <v>1820</v>
      </c>
      <c r="D25" s="72" t="s">
        <v>711</v>
      </c>
      <c r="E25" s="315">
        <v>2.77</v>
      </c>
      <c r="F25" s="316" t="s">
        <v>735</v>
      </c>
      <c r="G25" s="5"/>
      <c r="H25" s="309"/>
      <c r="I25" s="309"/>
      <c r="J25" s="309"/>
      <c r="L25" s="617"/>
      <c r="M25" s="100" t="s">
        <v>736</v>
      </c>
      <c r="N25" s="100" t="s">
        <v>427</v>
      </c>
      <c r="O25" s="109" t="s">
        <v>737</v>
      </c>
      <c r="P25" s="625"/>
      <c r="T25" s="2"/>
      <c r="U25" s="2"/>
      <c r="V25" s="30"/>
    </row>
    <row r="26" spans="1:22" ht="18.75">
      <c r="A26" s="4"/>
      <c r="B26" s="309"/>
      <c r="C26" s="309"/>
      <c r="D26" s="309"/>
      <c r="E26" s="317"/>
      <c r="F26" s="318"/>
      <c r="G26" s="5"/>
      <c r="H26" s="5"/>
      <c r="I26" s="99"/>
      <c r="J26" s="6"/>
      <c r="L26" s="617"/>
      <c r="M26" s="110" t="s">
        <v>738</v>
      </c>
      <c r="N26" s="110" t="s">
        <v>739</v>
      </c>
      <c r="O26" s="109" t="s">
        <v>733</v>
      </c>
      <c r="P26" s="625"/>
    </row>
    <row r="27" spans="1:22" ht="18.75">
      <c r="A27" s="4"/>
      <c r="B27" s="309"/>
      <c r="C27" s="309"/>
      <c r="D27" s="309"/>
      <c r="E27" s="317"/>
      <c r="F27" s="318"/>
      <c r="G27" s="5"/>
      <c r="H27" s="5"/>
      <c r="I27" s="99"/>
      <c r="J27" s="6"/>
      <c r="L27" s="616"/>
      <c r="M27" s="110" t="s">
        <v>740</v>
      </c>
      <c r="N27" s="102" t="s">
        <v>741</v>
      </c>
      <c r="O27" s="112" t="s">
        <v>427</v>
      </c>
      <c r="P27" s="625"/>
    </row>
    <row r="28" spans="1:22" ht="18.75">
      <c r="A28" s="4"/>
      <c r="B28" s="309"/>
      <c r="C28" s="309"/>
      <c r="D28" s="309"/>
      <c r="E28" s="317"/>
      <c r="F28" s="318"/>
      <c r="G28" s="5"/>
      <c r="H28" s="5"/>
      <c r="I28" s="99"/>
      <c r="J28" s="6"/>
      <c r="L28" s="615" t="s">
        <v>742</v>
      </c>
      <c r="M28" s="111" t="s">
        <v>743</v>
      </c>
      <c r="N28" s="109" t="s">
        <v>744</v>
      </c>
      <c r="O28" s="109" t="s">
        <v>745</v>
      </c>
      <c r="P28" s="625"/>
    </row>
    <row r="29" spans="1:22" ht="18.75">
      <c r="A29" s="4"/>
      <c r="B29" s="5"/>
      <c r="C29" s="5"/>
      <c r="D29" s="5"/>
      <c r="E29" s="5"/>
      <c r="F29" s="5"/>
      <c r="G29" s="5"/>
      <c r="H29" s="5"/>
      <c r="I29" s="5"/>
      <c r="J29" s="5"/>
      <c r="L29" s="617"/>
      <c r="M29" s="111" t="s">
        <v>746</v>
      </c>
      <c r="N29" s="109" t="s">
        <v>747</v>
      </c>
      <c r="O29" s="109" t="s">
        <v>748</v>
      </c>
      <c r="P29" s="625"/>
    </row>
    <row r="30" spans="1:22" ht="18.75">
      <c r="B30" s="5"/>
      <c r="C30" s="5"/>
      <c r="D30" s="5"/>
      <c r="E30" s="5"/>
      <c r="F30" s="5"/>
      <c r="G30" s="5"/>
      <c r="H30" s="5"/>
      <c r="I30" s="5"/>
      <c r="J30" s="5"/>
      <c r="L30" s="617"/>
      <c r="M30" s="111" t="s">
        <v>749</v>
      </c>
      <c r="N30" s="109" t="s">
        <v>750</v>
      </c>
      <c r="O30" s="109" t="s">
        <v>729</v>
      </c>
      <c r="P30" s="625"/>
    </row>
    <row r="31" spans="1:22" ht="18.75">
      <c r="B31" s="5"/>
      <c r="C31" s="5"/>
      <c r="D31" s="5"/>
      <c r="E31" s="5"/>
      <c r="F31" s="5"/>
      <c r="G31" s="5"/>
      <c r="H31" s="5"/>
      <c r="I31" s="5"/>
      <c r="J31" s="5"/>
      <c r="L31" s="616"/>
      <c r="M31" s="109" t="s">
        <v>751</v>
      </c>
      <c r="N31" s="103" t="s">
        <v>747</v>
      </c>
      <c r="O31" s="103" t="s">
        <v>733</v>
      </c>
      <c r="P31" s="626"/>
    </row>
    <row r="32" spans="1:22">
      <c r="B32" s="609" t="s">
        <v>752</v>
      </c>
      <c r="C32" s="609"/>
      <c r="D32" s="609"/>
      <c r="E32" s="609"/>
      <c r="F32" s="609"/>
      <c r="G32" s="609"/>
      <c r="H32" s="609"/>
      <c r="I32" s="609"/>
      <c r="J32" s="609"/>
      <c r="L32" s="6"/>
      <c r="M32" s="105"/>
      <c r="N32" s="105"/>
      <c r="O32" s="105"/>
      <c r="P32" s="104"/>
    </row>
    <row r="33" spans="1:30">
      <c r="B33" s="76" t="s">
        <v>753</v>
      </c>
      <c r="C33" s="77" t="s">
        <v>754</v>
      </c>
      <c r="D33" s="77" t="s">
        <v>755</v>
      </c>
      <c r="E33" s="77" t="s">
        <v>756</v>
      </c>
      <c r="F33" s="77" t="s">
        <v>757</v>
      </c>
      <c r="G33" s="77" t="s">
        <v>758</v>
      </c>
      <c r="H33" s="77" t="s">
        <v>759</v>
      </c>
    </row>
    <row r="34" spans="1:30">
      <c r="B34" s="82">
        <v>1.5</v>
      </c>
      <c r="C34" s="81">
        <v>50000</v>
      </c>
      <c r="D34" s="81">
        <v>150000</v>
      </c>
      <c r="E34" s="81">
        <v>1000</v>
      </c>
      <c r="F34" s="81">
        <v>120000</v>
      </c>
      <c r="G34" s="81">
        <v>20000</v>
      </c>
      <c r="H34" s="81">
        <v>5</v>
      </c>
    </row>
    <row r="35" spans="1:30">
      <c r="A35" s="121" t="s">
        <v>681</v>
      </c>
      <c r="B35" s="123" t="s">
        <v>427</v>
      </c>
      <c r="C35" s="71">
        <v>76.2</v>
      </c>
      <c r="D35" s="71">
        <v>228.6</v>
      </c>
      <c r="E35" s="71">
        <v>1.5</v>
      </c>
      <c r="F35" s="71">
        <v>182.88</v>
      </c>
      <c r="G35" s="71">
        <v>31</v>
      </c>
      <c r="H35" s="122" t="s">
        <v>427</v>
      </c>
    </row>
    <row r="39" spans="1:30">
      <c r="B39" s="627" t="s">
        <v>760</v>
      </c>
      <c r="C39" s="628"/>
      <c r="D39" s="628"/>
      <c r="E39" s="628"/>
      <c r="F39" s="628"/>
      <c r="G39" s="628"/>
      <c r="H39" s="628"/>
      <c r="I39" s="628"/>
      <c r="J39" s="628"/>
      <c r="K39" s="628"/>
      <c r="L39" s="628"/>
      <c r="M39" s="628"/>
      <c r="N39" s="628"/>
      <c r="O39" s="628"/>
    </row>
    <row r="40" spans="1:30">
      <c r="B40" s="628"/>
      <c r="C40" s="628"/>
      <c r="D40" s="628"/>
      <c r="E40" s="628"/>
      <c r="F40" s="628"/>
      <c r="G40" s="628"/>
      <c r="H40" s="628"/>
      <c r="I40" s="628"/>
      <c r="J40" s="628"/>
      <c r="K40" s="628"/>
      <c r="L40" s="628"/>
      <c r="M40" s="628"/>
      <c r="N40" s="628"/>
      <c r="O40" s="628"/>
    </row>
    <row r="41" spans="1:30">
      <c r="B41" s="628"/>
      <c r="C41" s="628"/>
      <c r="D41" s="628"/>
      <c r="E41" s="628"/>
      <c r="F41" s="628"/>
      <c r="G41" s="628"/>
      <c r="H41" s="628"/>
      <c r="I41" s="628"/>
      <c r="J41" s="628"/>
      <c r="K41" s="628"/>
      <c r="L41" s="628"/>
      <c r="M41" s="628"/>
      <c r="N41" s="628"/>
      <c r="O41" s="628"/>
      <c r="Q41" s="605"/>
      <c r="R41" s="606"/>
      <c r="S41" s="606"/>
      <c r="T41" s="606"/>
      <c r="U41" s="606"/>
      <c r="V41" s="606"/>
      <c r="W41" s="606"/>
      <c r="X41" s="606"/>
      <c r="Y41" s="606"/>
      <c r="Z41" s="606"/>
      <c r="AA41" s="606"/>
      <c r="AB41" s="606"/>
      <c r="AC41" s="606"/>
      <c r="AD41" s="606"/>
    </row>
    <row r="42" spans="1:30">
      <c r="Q42" s="606"/>
      <c r="R42" s="606"/>
      <c r="S42" s="606"/>
      <c r="T42" s="606"/>
      <c r="U42" s="606"/>
      <c r="V42" s="606"/>
      <c r="W42" s="606"/>
      <c r="X42" s="606"/>
      <c r="Y42" s="606"/>
      <c r="Z42" s="606"/>
      <c r="AA42" s="606"/>
      <c r="AB42" s="606"/>
      <c r="AC42" s="606"/>
      <c r="AD42" s="606"/>
    </row>
    <row r="43" spans="1:30">
      <c r="Q43" s="606"/>
      <c r="R43" s="606"/>
      <c r="S43" s="606"/>
      <c r="T43" s="606"/>
      <c r="U43" s="606"/>
      <c r="V43" s="606"/>
      <c r="W43" s="606"/>
      <c r="X43" s="606"/>
      <c r="Y43" s="606"/>
      <c r="Z43" s="606"/>
      <c r="AA43" s="606"/>
      <c r="AB43" s="606"/>
      <c r="AC43" s="606"/>
      <c r="AD43" s="606"/>
    </row>
    <row r="44" spans="1:30" ht="17.25" customHeight="1">
      <c r="B44" s="321" t="s">
        <v>761</v>
      </c>
      <c r="C44" s="321" t="s">
        <v>762</v>
      </c>
      <c r="D44" s="321" t="s">
        <v>763</v>
      </c>
      <c r="E44" s="321" t="s">
        <v>764</v>
      </c>
      <c r="F44" s="321" t="s">
        <v>765</v>
      </c>
      <c r="G44" s="321" t="s">
        <v>766</v>
      </c>
      <c r="H44" s="321" t="s">
        <v>767</v>
      </c>
      <c r="I44" s="321" t="s">
        <v>768</v>
      </c>
      <c r="P44" s="125"/>
      <c r="Q44" s="312"/>
      <c r="R44" s="312"/>
      <c r="S44" s="312"/>
      <c r="T44" s="312"/>
      <c r="U44" s="312"/>
      <c r="V44" s="312"/>
      <c r="W44" s="312"/>
      <c r="X44" s="312"/>
      <c r="Y44" s="312"/>
      <c r="Z44" s="311"/>
      <c r="AA44" s="311"/>
      <c r="AB44" s="311"/>
      <c r="AC44" s="311"/>
      <c r="AD44" s="311"/>
    </row>
    <row r="45" spans="1:30">
      <c r="B45" s="80"/>
      <c r="C45" s="80"/>
      <c r="D45" s="80"/>
      <c r="E45" s="80"/>
      <c r="F45" s="80"/>
      <c r="G45" s="80"/>
      <c r="H45" s="80"/>
      <c r="I45" s="80"/>
      <c r="P45" s="4"/>
      <c r="Q45" s="311"/>
      <c r="R45" s="311"/>
      <c r="S45" s="311"/>
      <c r="T45" s="311"/>
      <c r="U45" s="311"/>
      <c r="V45" s="311"/>
      <c r="W45" s="311"/>
      <c r="X45" s="311"/>
      <c r="Y45" s="311"/>
      <c r="Z45" s="311"/>
      <c r="AA45" s="311"/>
      <c r="AB45" s="311"/>
      <c r="AC45" s="311"/>
      <c r="AD45" s="311"/>
    </row>
    <row r="46" spans="1:30">
      <c r="B46" s="80">
        <v>2</v>
      </c>
      <c r="C46" s="80">
        <v>31</v>
      </c>
      <c r="D46" s="80">
        <v>615385</v>
      </c>
      <c r="E46" s="80">
        <v>56000</v>
      </c>
      <c r="F46" s="80">
        <v>1731</v>
      </c>
      <c r="G46" s="80">
        <v>577</v>
      </c>
      <c r="H46" s="80">
        <v>557077</v>
      </c>
      <c r="I46" s="80">
        <v>851</v>
      </c>
      <c r="J46" s="311"/>
      <c r="K46" s="311"/>
      <c r="L46" s="311"/>
      <c r="M46" s="311"/>
      <c r="N46" s="311"/>
      <c r="O46" s="311"/>
      <c r="P46" s="4"/>
      <c r="Q46" s="311"/>
      <c r="R46" s="311"/>
      <c r="S46" s="311"/>
      <c r="T46" s="311"/>
      <c r="U46" s="311"/>
      <c r="V46" s="311"/>
      <c r="W46" s="311"/>
      <c r="X46" s="311"/>
      <c r="Y46" s="311"/>
      <c r="Z46" s="311"/>
      <c r="AA46" s="311"/>
      <c r="AB46" s="311"/>
      <c r="AC46" s="311"/>
      <c r="AD46" s="311"/>
    </row>
    <row r="47" spans="1:30" ht="13.5" customHeight="1">
      <c r="A47" s="4"/>
      <c r="B47" s="311"/>
      <c r="C47" s="311"/>
      <c r="D47" s="311"/>
      <c r="E47" s="311"/>
      <c r="F47" s="311"/>
      <c r="G47" s="311"/>
      <c r="H47" s="311"/>
      <c r="I47" s="311"/>
      <c r="J47" s="312"/>
      <c r="K47" s="312"/>
      <c r="L47" s="312"/>
      <c r="M47" s="312"/>
      <c r="N47" s="312"/>
      <c r="O47" s="312"/>
      <c r="P47" s="4"/>
      <c r="Q47" s="311"/>
      <c r="R47" s="311"/>
      <c r="S47" s="311"/>
      <c r="T47" s="311"/>
      <c r="U47" s="311"/>
      <c r="V47" s="311"/>
      <c r="W47" s="311"/>
      <c r="X47" s="311"/>
      <c r="Y47" s="311"/>
      <c r="Z47" s="311"/>
      <c r="AA47" s="311"/>
      <c r="AB47" s="311"/>
      <c r="AC47" s="311"/>
      <c r="AD47" s="311"/>
    </row>
    <row r="48" spans="1:30">
      <c r="A48" s="4"/>
      <c r="B48" s="311"/>
      <c r="C48" s="311"/>
      <c r="D48" s="311"/>
      <c r="E48" s="311"/>
      <c r="F48" s="311"/>
      <c r="G48" s="311"/>
      <c r="H48" s="311"/>
      <c r="I48" s="311"/>
      <c r="J48" s="310"/>
      <c r="K48" s="310"/>
      <c r="L48" s="310"/>
      <c r="M48" s="310"/>
      <c r="N48" s="310"/>
      <c r="O48" s="310"/>
      <c r="P48" s="4"/>
      <c r="Q48" s="319"/>
      <c r="R48" s="319"/>
      <c r="S48" s="319"/>
      <c r="T48" s="319"/>
      <c r="U48" s="319"/>
      <c r="V48" s="319"/>
      <c r="W48" s="319"/>
      <c r="X48" s="319"/>
      <c r="Y48" s="311"/>
      <c r="Z48" s="311"/>
      <c r="AA48" s="311"/>
      <c r="AB48" s="311"/>
      <c r="AC48" s="311"/>
      <c r="AD48" s="311"/>
    </row>
    <row r="49" spans="1:30">
      <c r="A49" s="4"/>
      <c r="B49" s="311"/>
      <c r="C49" s="311"/>
      <c r="D49" s="311"/>
      <c r="E49" s="311"/>
      <c r="F49" s="311"/>
      <c r="G49" s="311"/>
      <c r="H49" s="311"/>
      <c r="I49" s="311"/>
      <c r="J49" s="309"/>
      <c r="K49" s="309"/>
      <c r="L49" s="309"/>
      <c r="M49" s="309"/>
      <c r="N49" s="309"/>
      <c r="O49" s="309"/>
      <c r="P49" s="4"/>
      <c r="Q49" s="311"/>
      <c r="R49" s="311"/>
      <c r="S49" s="311"/>
      <c r="T49" s="311"/>
      <c r="U49" s="311"/>
      <c r="V49" s="311"/>
      <c r="W49" s="311"/>
      <c r="X49" s="311"/>
      <c r="Y49" s="311"/>
      <c r="Z49" s="311"/>
      <c r="AA49" s="311"/>
      <c r="AB49" s="311"/>
      <c r="AC49" s="311"/>
      <c r="AD49" s="311"/>
    </row>
    <row r="50" spans="1:30">
      <c r="A50" s="4"/>
      <c r="B50" s="311"/>
      <c r="C50" s="311"/>
      <c r="D50" s="311"/>
      <c r="E50" s="311"/>
      <c r="F50" s="311"/>
      <c r="G50" s="311"/>
      <c r="H50" s="311"/>
      <c r="I50" s="311"/>
      <c r="J50" s="309"/>
      <c r="K50" s="309"/>
      <c r="L50" s="309"/>
      <c r="M50" s="309"/>
      <c r="N50" s="309"/>
      <c r="O50" s="309"/>
      <c r="P50" s="4"/>
      <c r="Q50" s="311"/>
      <c r="R50" s="311"/>
      <c r="S50" s="311"/>
      <c r="T50" s="311"/>
      <c r="U50" s="311"/>
      <c r="V50" s="311"/>
      <c r="W50" s="311"/>
      <c r="X50" s="311"/>
      <c r="Y50" s="311"/>
      <c r="Z50" s="311"/>
      <c r="AA50" s="311"/>
      <c r="AB50" s="311"/>
      <c r="AC50" s="311"/>
      <c r="AD50" s="311"/>
    </row>
    <row r="51" spans="1:30">
      <c r="A51" s="4"/>
      <c r="B51" s="309"/>
      <c r="C51" s="309"/>
      <c r="D51" s="309"/>
      <c r="E51" s="309"/>
      <c r="F51" s="309"/>
      <c r="G51" s="309"/>
      <c r="H51" s="309"/>
      <c r="I51" s="309"/>
      <c r="J51" s="309"/>
      <c r="K51" s="309"/>
      <c r="L51" s="309"/>
      <c r="M51" s="309"/>
      <c r="N51" s="309"/>
      <c r="O51" s="309"/>
      <c r="P51" s="4"/>
      <c r="Q51" s="311"/>
      <c r="R51" s="311"/>
      <c r="S51" s="311"/>
      <c r="T51" s="311"/>
      <c r="U51" s="311"/>
      <c r="V51" s="311"/>
      <c r="W51" s="311"/>
      <c r="X51" s="311"/>
      <c r="Y51" s="311"/>
      <c r="Z51" s="311"/>
      <c r="AA51" s="311"/>
      <c r="AB51" s="311"/>
      <c r="AC51" s="311"/>
      <c r="AD51" s="311"/>
    </row>
    <row r="52" spans="1:30">
      <c r="B52" s="309"/>
      <c r="C52" s="309"/>
      <c r="D52" s="309"/>
      <c r="E52" s="309"/>
      <c r="F52" s="309"/>
      <c r="G52" s="309"/>
      <c r="H52" s="309"/>
      <c r="I52" s="309"/>
      <c r="J52" s="309"/>
      <c r="K52" s="309"/>
      <c r="L52" s="309"/>
      <c r="M52" s="309"/>
      <c r="N52" s="309"/>
      <c r="O52" s="309"/>
      <c r="P52" s="4"/>
      <c r="Q52" s="311"/>
      <c r="R52" s="311"/>
      <c r="S52" s="311"/>
      <c r="T52" s="311"/>
      <c r="U52" s="311"/>
      <c r="V52" s="311"/>
      <c r="W52" s="311"/>
      <c r="X52" s="311"/>
      <c r="Y52" s="311"/>
      <c r="Z52" s="311"/>
      <c r="AA52" s="311"/>
      <c r="AB52" s="311"/>
      <c r="AC52" s="311"/>
      <c r="AD52" s="311"/>
    </row>
    <row r="53" spans="1:30">
      <c r="B53" s="309"/>
      <c r="C53" s="309"/>
      <c r="D53" s="309"/>
      <c r="E53" s="309"/>
      <c r="F53" s="309"/>
      <c r="G53" s="309"/>
      <c r="H53" s="309"/>
      <c r="I53" s="309"/>
      <c r="J53" s="309"/>
      <c r="K53" s="309"/>
      <c r="L53" s="309"/>
      <c r="M53" s="309"/>
      <c r="N53" s="309"/>
      <c r="O53" s="309"/>
      <c r="P53" s="4"/>
      <c r="Q53" s="311"/>
      <c r="R53" s="311"/>
      <c r="S53" s="311"/>
      <c r="T53" s="311"/>
      <c r="U53" s="311"/>
      <c r="V53" s="311"/>
      <c r="W53" s="311"/>
      <c r="X53" s="311"/>
      <c r="Y53" s="311"/>
      <c r="Z53" s="311"/>
      <c r="AA53" s="311"/>
      <c r="AB53" s="311"/>
      <c r="AC53" s="311"/>
      <c r="AD53" s="311"/>
    </row>
    <row r="54" spans="1:30">
      <c r="B54" s="309"/>
      <c r="C54" s="309"/>
      <c r="D54" s="309"/>
      <c r="E54" s="309"/>
      <c r="F54" s="309"/>
      <c r="G54" s="309"/>
      <c r="H54" s="309"/>
      <c r="I54" s="309"/>
      <c r="J54" s="309"/>
      <c r="K54" s="309"/>
      <c r="L54" s="309"/>
      <c r="M54" s="309"/>
      <c r="N54" s="309"/>
      <c r="O54" s="309"/>
      <c r="P54" s="4"/>
      <c r="Q54" s="311"/>
      <c r="R54" s="311"/>
      <c r="S54" s="311"/>
      <c r="T54" s="311"/>
      <c r="U54" s="311"/>
      <c r="V54" s="311"/>
      <c r="W54" s="311"/>
      <c r="X54" s="311"/>
      <c r="Y54" s="311"/>
      <c r="Z54" s="311"/>
      <c r="AA54" s="311"/>
      <c r="AB54" s="311"/>
      <c r="AC54" s="311"/>
      <c r="AD54" s="311"/>
    </row>
    <row r="55" spans="1:30" ht="15" customHeight="1">
      <c r="P55" s="4"/>
      <c r="Q55" s="4"/>
      <c r="R55" s="4"/>
      <c r="S55" s="4"/>
      <c r="T55" s="4"/>
      <c r="U55" s="4"/>
      <c r="V55" s="4"/>
      <c r="W55" s="4"/>
      <c r="X55" s="4"/>
      <c r="Y55" s="4"/>
    </row>
    <row r="56" spans="1:30" ht="15" customHeight="1">
      <c r="B56" s="627" t="s">
        <v>769</v>
      </c>
      <c r="C56" s="627"/>
      <c r="D56" s="627"/>
      <c r="E56" s="627"/>
      <c r="F56" s="627"/>
      <c r="G56" s="627"/>
      <c r="H56" s="627"/>
      <c r="I56" s="627"/>
      <c r="J56" s="627"/>
      <c r="K56" s="627"/>
      <c r="L56" s="627"/>
      <c r="M56" s="627"/>
      <c r="N56" s="627"/>
      <c r="O56" s="627"/>
      <c r="P56" s="4"/>
      <c r="Q56" s="4"/>
      <c r="R56" s="4"/>
      <c r="S56" s="4"/>
      <c r="T56" s="4"/>
      <c r="U56" s="4"/>
      <c r="V56" s="4"/>
      <c r="W56" s="4"/>
      <c r="X56" s="4"/>
      <c r="Y56" s="4"/>
    </row>
    <row r="57" spans="1:30" ht="15" customHeight="1">
      <c r="B57" s="627"/>
      <c r="C57" s="627"/>
      <c r="D57" s="627"/>
      <c r="E57" s="627"/>
      <c r="F57" s="627"/>
      <c r="G57" s="627"/>
      <c r="H57" s="627"/>
      <c r="I57" s="627"/>
      <c r="J57" s="627"/>
      <c r="K57" s="627"/>
      <c r="L57" s="627"/>
      <c r="M57" s="627"/>
      <c r="N57" s="627"/>
      <c r="O57" s="627"/>
      <c r="P57" s="4"/>
      <c r="Q57" s="4"/>
      <c r="R57" s="4"/>
      <c r="S57" s="4"/>
      <c r="T57" s="4"/>
      <c r="U57" s="4"/>
      <c r="V57" s="4"/>
      <c r="W57" s="4"/>
      <c r="X57" s="4"/>
      <c r="Y57" s="4"/>
    </row>
    <row r="58" spans="1:30" ht="30" customHeight="1">
      <c r="B58" s="627"/>
      <c r="C58" s="627"/>
      <c r="D58" s="627"/>
      <c r="E58" s="627"/>
      <c r="F58" s="627"/>
      <c r="G58" s="627"/>
      <c r="H58" s="627"/>
      <c r="I58" s="627"/>
      <c r="J58" s="627"/>
      <c r="K58" s="627"/>
      <c r="L58" s="627"/>
      <c r="M58" s="627"/>
      <c r="N58" s="627"/>
      <c r="O58" s="627"/>
      <c r="P58" s="4"/>
      <c r="Q58" s="197"/>
      <c r="R58" s="197"/>
      <c r="S58" s="197"/>
      <c r="T58" s="197"/>
      <c r="U58" s="197"/>
      <c r="V58" s="197"/>
      <c r="W58" s="197"/>
      <c r="X58" s="197"/>
      <c r="Y58" s="197"/>
    </row>
    <row r="59" spans="1:30">
      <c r="P59" s="4"/>
      <c r="Q59" s="4"/>
      <c r="R59" s="4"/>
      <c r="S59" s="4"/>
      <c r="T59" s="4"/>
      <c r="U59" s="4"/>
      <c r="V59" s="4"/>
      <c r="W59" s="4"/>
      <c r="X59" s="4"/>
      <c r="Y59" s="4"/>
    </row>
    <row r="61" spans="1:30" ht="29.25">
      <c r="B61" s="202" t="s">
        <v>761</v>
      </c>
      <c r="C61" s="203" t="s">
        <v>770</v>
      </c>
      <c r="D61" s="322" t="s">
        <v>771</v>
      </c>
      <c r="E61" s="203" t="s">
        <v>772</v>
      </c>
      <c r="F61" s="203" t="s">
        <v>773</v>
      </c>
      <c r="G61" s="203" t="s">
        <v>774</v>
      </c>
      <c r="H61" s="203" t="s">
        <v>775</v>
      </c>
      <c r="I61" s="203" t="s">
        <v>776</v>
      </c>
    </row>
    <row r="62" spans="1:30">
      <c r="B62" s="80"/>
      <c r="C62" s="80"/>
      <c r="D62" s="80"/>
      <c r="E62" s="80"/>
      <c r="F62" s="80"/>
      <c r="G62" s="201"/>
      <c r="H62" s="80"/>
      <c r="I62" s="80"/>
    </row>
    <row r="63" spans="1:30">
      <c r="B63" s="198">
        <v>2</v>
      </c>
      <c r="C63" s="199">
        <v>133</v>
      </c>
      <c r="D63" s="323">
        <v>2666667</v>
      </c>
      <c r="E63" s="324">
        <v>242667</v>
      </c>
      <c r="F63" s="324">
        <v>7500</v>
      </c>
      <c r="G63" s="325">
        <v>2500</v>
      </c>
      <c r="H63" s="324">
        <v>2414000</v>
      </c>
      <c r="I63" s="324">
        <v>3690</v>
      </c>
      <c r="J63" s="311"/>
      <c r="K63" s="311"/>
      <c r="L63" s="311"/>
      <c r="M63" s="311"/>
      <c r="N63" s="311"/>
      <c r="O63" s="311"/>
    </row>
    <row r="64" spans="1:30" ht="15" customHeight="1">
      <c r="B64" s="201"/>
      <c r="C64" s="200"/>
      <c r="D64" s="201"/>
      <c r="E64" s="201"/>
      <c r="F64" s="201"/>
      <c r="G64" s="326"/>
      <c r="H64" s="201"/>
      <c r="I64" s="201"/>
      <c r="J64" s="312"/>
      <c r="K64" s="312"/>
      <c r="L64" s="312"/>
      <c r="M64" s="312"/>
      <c r="N64" s="312"/>
      <c r="O64" s="312"/>
    </row>
    <row r="65" spans="2:15">
      <c r="B65" s="311"/>
      <c r="C65" s="311"/>
      <c r="D65" s="311"/>
      <c r="E65" s="311"/>
      <c r="F65" s="311"/>
      <c r="G65" s="311"/>
      <c r="H65" s="311"/>
      <c r="I65" s="311"/>
      <c r="J65" s="310"/>
      <c r="K65" s="310"/>
      <c r="L65" s="310"/>
      <c r="M65" s="310"/>
      <c r="N65" s="310"/>
      <c r="O65" s="310"/>
    </row>
    <row r="66" spans="2:15">
      <c r="B66" s="311"/>
      <c r="C66" s="311"/>
      <c r="D66" s="311"/>
      <c r="E66" s="311"/>
      <c r="F66" s="311"/>
      <c r="G66" s="311"/>
      <c r="H66" s="311"/>
      <c r="I66" s="311"/>
      <c r="J66" s="309"/>
      <c r="K66" s="309"/>
      <c r="L66" s="309"/>
      <c r="M66" s="309"/>
      <c r="N66" s="309"/>
      <c r="O66" s="309"/>
    </row>
    <row r="67" spans="2:15">
      <c r="B67" s="311"/>
      <c r="C67" s="311"/>
      <c r="D67" s="311"/>
      <c r="E67" s="311"/>
      <c r="F67" s="311"/>
      <c r="G67" s="311"/>
      <c r="H67" s="311"/>
      <c r="I67" s="311"/>
      <c r="J67" s="309"/>
      <c r="K67" s="309"/>
      <c r="L67" s="309"/>
      <c r="M67" s="309"/>
      <c r="N67" s="309"/>
      <c r="O67" s="309"/>
    </row>
    <row r="77" spans="2:15">
      <c r="B77" s="629" t="s">
        <v>777</v>
      </c>
      <c r="C77" s="629"/>
      <c r="D77" s="629"/>
      <c r="E77" s="629"/>
      <c r="F77" s="629"/>
      <c r="G77" s="629"/>
      <c r="H77" s="629"/>
      <c r="I77" s="629"/>
      <c r="J77" s="629"/>
      <c r="K77" s="629"/>
      <c r="L77" s="629"/>
      <c r="M77" s="629"/>
      <c r="N77" s="629"/>
      <c r="O77" s="629"/>
    </row>
    <row r="78" spans="2:15">
      <c r="B78" s="629"/>
      <c r="C78" s="629"/>
      <c r="D78" s="629"/>
      <c r="E78" s="629"/>
      <c r="F78" s="629"/>
      <c r="G78" s="629"/>
      <c r="H78" s="629"/>
      <c r="I78" s="629"/>
      <c r="J78" s="629"/>
      <c r="K78" s="629"/>
      <c r="L78" s="629"/>
      <c r="M78" s="629"/>
      <c r="N78" s="629"/>
      <c r="O78" s="629"/>
    </row>
    <row r="79" spans="2:15">
      <c r="B79" s="603"/>
      <c r="C79" s="603"/>
      <c r="D79" s="603"/>
      <c r="E79" s="603"/>
      <c r="F79" s="603"/>
      <c r="G79" s="603"/>
      <c r="H79" s="603"/>
      <c r="I79" s="603"/>
      <c r="J79" s="603"/>
      <c r="K79" s="603"/>
      <c r="L79" s="603"/>
      <c r="M79" s="603"/>
      <c r="N79" s="603"/>
      <c r="O79" s="603"/>
    </row>
    <row r="82" spans="2:15" ht="30">
      <c r="B82" s="313" t="s">
        <v>778</v>
      </c>
      <c r="C82" s="66"/>
      <c r="D82" s="66"/>
      <c r="E82" s="66"/>
      <c r="F82" s="66"/>
      <c r="G82" s="66"/>
      <c r="H82" s="66"/>
      <c r="I82" s="66"/>
      <c r="J82" s="66"/>
      <c r="K82" s="66"/>
      <c r="L82" s="66"/>
      <c r="M82" s="66"/>
      <c r="N82" s="66"/>
      <c r="O82" s="66"/>
    </row>
    <row r="83" spans="2:15">
      <c r="B83" s="73" t="s">
        <v>761</v>
      </c>
      <c r="C83" s="74" t="s">
        <v>779</v>
      </c>
      <c r="D83" s="74" t="s">
        <v>780</v>
      </c>
      <c r="E83" s="74" t="s">
        <v>781</v>
      </c>
      <c r="F83" s="74" t="s">
        <v>782</v>
      </c>
      <c r="G83" s="74" t="s">
        <v>783</v>
      </c>
      <c r="H83" s="74" t="s">
        <v>784</v>
      </c>
      <c r="I83" s="74" t="s">
        <v>785</v>
      </c>
      <c r="J83" s="74" t="s">
        <v>786</v>
      </c>
      <c r="K83" s="74" t="s">
        <v>787</v>
      </c>
      <c r="L83" s="74" t="s">
        <v>788</v>
      </c>
      <c r="M83" s="74" t="s">
        <v>789</v>
      </c>
      <c r="N83" s="75" t="s">
        <v>790</v>
      </c>
      <c r="O83" s="126" t="s">
        <v>791</v>
      </c>
    </row>
    <row r="84" spans="2:15">
      <c r="B84" s="67">
        <v>2</v>
      </c>
      <c r="C84" s="68">
        <v>1</v>
      </c>
      <c r="D84" s="68">
        <f>C16*C17*Tableau210[[#This Row],[Scenario_ha]]</f>
        <v>16000</v>
      </c>
      <c r="E84" s="68">
        <f>Tableau210[[#This Row],[Usable_fresh_kg]]*0.1</f>
        <v>1600</v>
      </c>
      <c r="F84" s="68">
        <f>Tableau210[[#This Row],[Dried_kg]]*C20</f>
        <v>32000000</v>
      </c>
      <c r="G84" s="68">
        <v>1820</v>
      </c>
      <c r="H84" s="68">
        <f>Tableau210[[#This Row],[Unit_cost_FCFA_per_kg]]*Tableau210[[#This Row],[Dried_kg]]</f>
        <v>2912000</v>
      </c>
      <c r="I84" s="68">
        <v>16</v>
      </c>
      <c r="J84" s="68">
        <v>90000</v>
      </c>
      <c r="K84" s="68">
        <v>30000</v>
      </c>
      <c r="L84" s="68">
        <f>Tableau210[[#This Row],[Cost_yearly_dried_mango_FCFA]]+Tableau210[[#This Row],[Export_price_FCFA]]</f>
        <v>34912000</v>
      </c>
      <c r="M84" s="68">
        <f>Tableau210[[#This Row],[Cost_yearly_dried_mango_FCFA]]-Tableau210[[#This Row],[Energy_cost_FCFA]]-Tableau210[[#This Row],[Maintenance_FCFA]]</f>
        <v>2792000</v>
      </c>
      <c r="N84" s="69">
        <v>4.6100000000000003</v>
      </c>
      <c r="O84" s="69">
        <v>2</v>
      </c>
    </row>
    <row r="85" spans="2:15">
      <c r="B85" s="67">
        <v>2</v>
      </c>
      <c r="C85" s="68">
        <v>2</v>
      </c>
      <c r="D85" s="68">
        <f>C16*C17*Tableau210[[#This Row],[Scenario_ha]]</f>
        <v>16000</v>
      </c>
      <c r="E85" s="68">
        <f>Tableau210[[#This Row],[Usable_fresh_kg]]*0.1</f>
        <v>1600</v>
      </c>
      <c r="F85" s="68">
        <f>Tableau210[[#This Row],[Dried_kg]]*C20</f>
        <v>32000000</v>
      </c>
      <c r="G85" s="68">
        <v>1820</v>
      </c>
      <c r="H85" s="68">
        <f>Tableau210[[#This Row],[Unit_cost_FCFA_per_kg]]*Tableau210[[#This Row],[Dried_kg]]</f>
        <v>2912000</v>
      </c>
      <c r="I85" s="68">
        <v>16</v>
      </c>
      <c r="J85" s="68">
        <v>90000</v>
      </c>
      <c r="K85" s="68">
        <v>30000</v>
      </c>
      <c r="L85" s="68">
        <f>Tableau210[[#This Row],[Cost_yearly_dried_mango_FCFA]]+Tableau210[[#This Row],[Export_price_FCFA]]</f>
        <v>34912000</v>
      </c>
      <c r="M85" s="68">
        <f>Tableau210[[#This Row],[Cost_yearly_dried_mango_FCFA]]-Tableau210[[#This Row],[Energy_cost_FCFA]]-Tableau210[[#This Row],[Maintenance_FCFA]]</f>
        <v>2792000</v>
      </c>
      <c r="N85" s="69">
        <v>4.67</v>
      </c>
      <c r="O85" s="69">
        <v>2</v>
      </c>
    </row>
    <row r="86" spans="2:15" ht="18.75" customHeight="1">
      <c r="B86" s="67">
        <v>2</v>
      </c>
      <c r="C86" s="68">
        <v>3</v>
      </c>
      <c r="D86" s="68">
        <f>C16*C17*Tableau210[[#This Row],[Scenario_ha]]</f>
        <v>16000</v>
      </c>
      <c r="E86" s="68">
        <f>Tableau210[[#This Row],[Usable_fresh_kg]]*0.1</f>
        <v>1600</v>
      </c>
      <c r="F86" s="68">
        <f>Tableau210[[#This Row],[Dried_kg]]*C20</f>
        <v>32000000</v>
      </c>
      <c r="G86" s="68">
        <v>1820</v>
      </c>
      <c r="H86" s="68">
        <f>Tableau210[[#This Row],[Unit_cost_FCFA_per_kg]]*Tableau210[[#This Row],[Dried_kg]]</f>
        <v>2912000</v>
      </c>
      <c r="I86" s="68">
        <v>16</v>
      </c>
      <c r="J86" s="68">
        <v>90000</v>
      </c>
      <c r="K86" s="68">
        <v>30000</v>
      </c>
      <c r="L86" s="68">
        <f>Tableau210[[#This Row],[Cost_yearly_dried_mango_FCFA]]+Tableau210[[#This Row],[Export_price_FCFA]]</f>
        <v>34912000</v>
      </c>
      <c r="M86" s="68">
        <f>Tableau210[[#This Row],[Cost_yearly_dried_mango_FCFA]]-Tableau210[[#This Row],[Energy_cost_FCFA]]-Tableau210[[#This Row],[Maintenance_FCFA]]</f>
        <v>2792000</v>
      </c>
      <c r="N86" s="68">
        <v>4.7300000000000004</v>
      </c>
      <c r="O86" s="69">
        <v>2</v>
      </c>
    </row>
    <row r="87" spans="2:15" ht="15" customHeight="1">
      <c r="B87" s="67">
        <v>2</v>
      </c>
      <c r="C87" s="68">
        <v>4</v>
      </c>
      <c r="D87" s="68">
        <f>C16*C17*Tableau210[[#This Row],[Scenario_ha]]</f>
        <v>16000</v>
      </c>
      <c r="E87" s="68">
        <f>Tableau210[[#This Row],[Usable_fresh_kg]]*0.1</f>
        <v>1600</v>
      </c>
      <c r="F87" s="68">
        <f>Tableau210[[#This Row],[Dried_kg]]*C20</f>
        <v>32000000</v>
      </c>
      <c r="G87" s="68">
        <v>1820</v>
      </c>
      <c r="H87" s="68">
        <f>Tableau210[[#This Row],[Unit_cost_FCFA_per_kg]]*Tableau210[[#This Row],[Dried_kg]]</f>
        <v>2912000</v>
      </c>
      <c r="I87" s="68">
        <v>16</v>
      </c>
      <c r="J87" s="68">
        <v>90000</v>
      </c>
      <c r="K87" s="68">
        <v>30000</v>
      </c>
      <c r="L87" s="68">
        <f>Tableau210[[#This Row],[Cost_yearly_dried_mango_FCFA]]+Tableau210[[#This Row],[Export_price_FCFA]]</f>
        <v>34912000</v>
      </c>
      <c r="M87" s="68">
        <f>Tableau210[[#This Row],[Cost_yearly_dried_mango_FCFA]]-Tableau210[[#This Row],[Energy_cost_FCFA]]-Tableau210[[#This Row],[Maintenance_FCFA]]</f>
        <v>2792000</v>
      </c>
      <c r="N87" s="68">
        <v>4.79</v>
      </c>
      <c r="O87" s="69">
        <v>2</v>
      </c>
    </row>
    <row r="88" spans="2:15" ht="15" customHeight="1">
      <c r="B88" s="67">
        <v>2</v>
      </c>
      <c r="C88" s="68">
        <v>5</v>
      </c>
      <c r="D88" s="68">
        <f>C16*C17*Tableau210[[#This Row],[Scenario_ha]]</f>
        <v>16000</v>
      </c>
      <c r="E88" s="68">
        <f>Tableau210[[#This Row],[Usable_fresh_kg]]*0.1</f>
        <v>1600</v>
      </c>
      <c r="F88" s="68">
        <f>Tableau210[[#This Row],[Dried_kg]]*C20</f>
        <v>32000000</v>
      </c>
      <c r="G88" s="68">
        <v>1820</v>
      </c>
      <c r="H88" s="68">
        <f>Tableau210[[#This Row],[Unit_cost_FCFA_per_kg]]*Tableau210[[#This Row],[Dried_kg]]</f>
        <v>2912000</v>
      </c>
      <c r="I88" s="68">
        <v>16</v>
      </c>
      <c r="J88" s="68">
        <v>90000</v>
      </c>
      <c r="K88" s="68">
        <v>30000</v>
      </c>
      <c r="L88" s="68">
        <f>Tableau210[[#This Row],[Cost_yearly_dried_mango_FCFA]]+Tableau210[[#This Row],[Export_price_FCFA]]</f>
        <v>34912000</v>
      </c>
      <c r="M88" s="68">
        <f>Tableau210[[#This Row],[Cost_yearly_dried_mango_FCFA]]-Tableau210[[#This Row],[Energy_cost_FCFA]]-Tableau210[[#This Row],[Maintenance_FCFA]]</f>
        <v>2792000</v>
      </c>
      <c r="N88" s="68">
        <v>4.8600000000000003</v>
      </c>
      <c r="O88" s="69">
        <v>2</v>
      </c>
    </row>
    <row r="89" spans="2:15">
      <c r="B89" s="67">
        <v>2</v>
      </c>
      <c r="C89" s="68">
        <v>6</v>
      </c>
      <c r="D89" s="68">
        <f>C16*C17*Tableau210[[#This Row],[Scenario_ha]]</f>
        <v>16000</v>
      </c>
      <c r="E89" s="68">
        <f>Tableau210[[#This Row],[Usable_fresh_kg]]*0.1</f>
        <v>1600</v>
      </c>
      <c r="F89" s="68">
        <f>Tableau210[[#This Row],[Dried_kg]]*C20</f>
        <v>32000000</v>
      </c>
      <c r="G89" s="68">
        <v>1820</v>
      </c>
      <c r="H89" s="68">
        <f>Tableau210[[#This Row],[Unit_cost_FCFA_per_kg]]*Tableau210[[#This Row],[Dried_kg]]</f>
        <v>2912000</v>
      </c>
      <c r="I89" s="68">
        <v>16</v>
      </c>
      <c r="J89" s="68">
        <v>90000</v>
      </c>
      <c r="K89" s="68">
        <v>30000</v>
      </c>
      <c r="L89" s="68">
        <f>Tableau210[[#This Row],[Cost_yearly_dried_mango_FCFA]]+Tableau210[[#This Row],[Export_price_FCFA]]</f>
        <v>34912000</v>
      </c>
      <c r="M89" s="68">
        <f>Tableau210[[#This Row],[Cost_yearly_dried_mango_FCFA]]-Tableau210[[#This Row],[Energy_cost_FCFA]]-Tableau210[[#This Row],[Maintenance_FCFA]]</f>
        <v>2792000</v>
      </c>
      <c r="N89" s="68">
        <v>4.92</v>
      </c>
      <c r="O89" s="69">
        <v>2</v>
      </c>
    </row>
    <row r="90" spans="2:15">
      <c r="B90" s="67">
        <v>2</v>
      </c>
      <c r="C90" s="68">
        <v>7</v>
      </c>
      <c r="D90" s="68">
        <f>C16*C17*Tableau210[[#This Row],[Scenario_ha]]</f>
        <v>16000</v>
      </c>
      <c r="E90" s="68">
        <f>Tableau210[[#This Row],[Usable_fresh_kg]]*0.1</f>
        <v>1600</v>
      </c>
      <c r="F90" s="68">
        <f>Tableau210[[#This Row],[Dried_kg]]*C20</f>
        <v>32000000</v>
      </c>
      <c r="G90" s="68">
        <v>1820</v>
      </c>
      <c r="H90" s="68">
        <f>Tableau210[[#This Row],[Unit_cost_FCFA_per_kg]]*Tableau210[[#This Row],[Dried_kg]]</f>
        <v>2912000</v>
      </c>
      <c r="I90" s="68">
        <v>16</v>
      </c>
      <c r="J90" s="68">
        <v>90000</v>
      </c>
      <c r="K90" s="68">
        <v>30000</v>
      </c>
      <c r="L90" s="68">
        <f>Tableau210[[#This Row],[Cost_yearly_dried_mango_FCFA]]+Tableau210[[#This Row],[Export_price_FCFA]]</f>
        <v>34912000</v>
      </c>
      <c r="M90" s="68">
        <f>Tableau210[[#This Row],[Cost_yearly_dried_mango_FCFA]]-Tableau210[[#This Row],[Energy_cost_FCFA]]-Tableau210[[#This Row],[Maintenance_FCFA]]</f>
        <v>2792000</v>
      </c>
      <c r="N90" s="68">
        <v>4.9800000000000004</v>
      </c>
      <c r="O90" s="69">
        <v>2</v>
      </c>
    </row>
    <row r="91" spans="2:15">
      <c r="B91" s="67">
        <v>2</v>
      </c>
      <c r="C91" s="68">
        <v>8</v>
      </c>
      <c r="D91" s="68">
        <f>C16*C17*Tableau210[[#This Row],[Scenario_ha]]</f>
        <v>16000</v>
      </c>
      <c r="E91" s="68">
        <f>Tableau210[[#This Row],[Usable_fresh_kg]]*0.1</f>
        <v>1600</v>
      </c>
      <c r="F91" s="68">
        <f>Tableau210[[#This Row],[Dried_kg]]*C20</f>
        <v>32000000</v>
      </c>
      <c r="G91" s="68">
        <v>1820</v>
      </c>
      <c r="H91" s="68">
        <f>Tableau210[[#This Row],[Unit_cost_FCFA_per_kg]]*Tableau210[[#This Row],[Dried_kg]]</f>
        <v>2912000</v>
      </c>
      <c r="I91" s="68">
        <v>16</v>
      </c>
      <c r="J91" s="68">
        <v>90000</v>
      </c>
      <c r="K91" s="68">
        <v>30000</v>
      </c>
      <c r="L91" s="68">
        <f>Tableau210[[#This Row],[Cost_yearly_dried_mango_FCFA]]+Tableau210[[#This Row],[Export_price_FCFA]]</f>
        <v>34912000</v>
      </c>
      <c r="M91" s="68">
        <f>Tableau210[[#This Row],[Cost_yearly_dried_mango_FCFA]]-Tableau210[[#This Row],[Energy_cost_FCFA]]-Tableau210[[#This Row],[Maintenance_FCFA]]</f>
        <v>2792000</v>
      </c>
      <c r="N91" s="68">
        <v>5.04</v>
      </c>
      <c r="O91" s="69">
        <v>2</v>
      </c>
    </row>
    <row r="92" spans="2:15">
      <c r="B92" s="67">
        <v>2</v>
      </c>
      <c r="C92" s="68">
        <v>9</v>
      </c>
      <c r="D92" s="68">
        <f>C16*C17*Tableau210[[#This Row],[Scenario_ha]]</f>
        <v>16000</v>
      </c>
      <c r="E92" s="68">
        <f>Tableau210[[#This Row],[Usable_fresh_kg]]*0.1</f>
        <v>1600</v>
      </c>
      <c r="F92" s="68">
        <f>Tableau210[[#This Row],[Dried_kg]]*C20</f>
        <v>32000000</v>
      </c>
      <c r="G92" s="68">
        <v>1820</v>
      </c>
      <c r="H92" s="68">
        <f>Tableau210[[#This Row],[Unit_cost_FCFA_per_kg]]*Tableau210[[#This Row],[Dried_kg]]</f>
        <v>2912000</v>
      </c>
      <c r="I92" s="68">
        <v>16</v>
      </c>
      <c r="J92" s="68">
        <v>90000</v>
      </c>
      <c r="K92" s="68">
        <v>30000</v>
      </c>
      <c r="L92" s="68">
        <f>Tableau210[[#This Row],[Cost_yearly_dried_mango_FCFA]]+Tableau210[[#This Row],[Export_price_FCFA]]</f>
        <v>34912000</v>
      </c>
      <c r="M92" s="68">
        <f>Tableau210[[#This Row],[Cost_yearly_dried_mango_FCFA]]-Tableau210[[#This Row],[Energy_cost_FCFA]]-Tableau210[[#This Row],[Maintenance_FCFA]]</f>
        <v>2792000</v>
      </c>
      <c r="N92" s="68">
        <v>5.0999999999999996</v>
      </c>
      <c r="O92" s="69">
        <v>2</v>
      </c>
    </row>
    <row r="93" spans="2:15">
      <c r="B93" s="70">
        <v>2</v>
      </c>
      <c r="C93" s="71">
        <v>10</v>
      </c>
      <c r="D93" s="68">
        <f>C16*C17*Tableau210[[#This Row],[Scenario_ha]]</f>
        <v>16000</v>
      </c>
      <c r="E93" s="68">
        <f>Tableau210[[#This Row],[Usable_fresh_kg]]*0.1</f>
        <v>1600</v>
      </c>
      <c r="F93" s="68">
        <f>Tableau210[[#This Row],[Dried_kg]]*C20</f>
        <v>32000000</v>
      </c>
      <c r="G93" s="68">
        <v>1820</v>
      </c>
      <c r="H93" s="68">
        <f>Tableau210[[#This Row],[Unit_cost_FCFA_per_kg]]*Tableau210[[#This Row],[Dried_kg]]</f>
        <v>2912000</v>
      </c>
      <c r="I93" s="71">
        <v>16</v>
      </c>
      <c r="J93" s="68">
        <v>90000</v>
      </c>
      <c r="K93" s="124">
        <v>30000</v>
      </c>
      <c r="L93" s="124">
        <f>Tableau210[[#This Row],[Cost_yearly_dried_mango_FCFA]]+Tableau210[[#This Row],[Export_price_FCFA]]</f>
        <v>34912000</v>
      </c>
      <c r="M93" s="68">
        <f>Tableau210[[#This Row],[Cost_yearly_dried_mango_FCFA]]-Tableau210[[#This Row],[Energy_cost_FCFA]]-Tableau210[[#This Row],[Maintenance_FCFA]]</f>
        <v>2792000</v>
      </c>
      <c r="N93" s="71">
        <v>5.17</v>
      </c>
      <c r="O93" s="69">
        <v>2</v>
      </c>
    </row>
    <row r="96" spans="2:15" ht="14.25" customHeight="1"/>
    <row r="102" spans="2:15">
      <c r="B102" s="603" t="s">
        <v>792</v>
      </c>
      <c r="C102" s="604"/>
      <c r="D102" s="604"/>
      <c r="E102" s="604"/>
      <c r="F102" s="604"/>
      <c r="G102" s="604"/>
      <c r="H102" s="604"/>
      <c r="I102" s="604"/>
      <c r="J102" s="604"/>
      <c r="K102" s="604"/>
      <c r="L102" s="604"/>
      <c r="M102" s="604"/>
      <c r="N102" s="604"/>
      <c r="O102" s="604"/>
    </row>
    <row r="103" spans="2:15">
      <c r="B103" s="604"/>
      <c r="C103" s="604"/>
      <c r="D103" s="604"/>
      <c r="E103" s="604"/>
      <c r="F103" s="604"/>
      <c r="G103" s="604"/>
      <c r="H103" s="604"/>
      <c r="I103" s="604"/>
      <c r="J103" s="604"/>
      <c r="K103" s="604"/>
      <c r="L103" s="604"/>
      <c r="M103" s="604"/>
      <c r="N103" s="604"/>
      <c r="O103" s="604"/>
    </row>
    <row r="104" spans="2:15">
      <c r="B104" s="604"/>
      <c r="C104" s="604"/>
      <c r="D104" s="604"/>
      <c r="E104" s="604"/>
      <c r="F104" s="604"/>
      <c r="G104" s="604"/>
      <c r="H104" s="604"/>
      <c r="I104" s="604"/>
      <c r="J104" s="604"/>
      <c r="K104" s="604"/>
      <c r="L104" s="604"/>
      <c r="M104" s="604"/>
      <c r="N104" s="604"/>
      <c r="O104" s="604"/>
    </row>
    <row r="105" spans="2:15">
      <c r="B105" s="6"/>
      <c r="C105" s="6"/>
      <c r="D105" s="6"/>
      <c r="E105" s="6"/>
      <c r="F105" s="6"/>
      <c r="G105" s="6"/>
      <c r="H105" s="6"/>
      <c r="I105" s="6"/>
      <c r="J105" s="6"/>
      <c r="K105" s="6"/>
      <c r="L105" s="6"/>
      <c r="M105" s="6"/>
      <c r="N105" s="6"/>
      <c r="O105" s="6"/>
    </row>
    <row r="106" spans="2:15">
      <c r="B106" s="6"/>
      <c r="C106" s="6"/>
      <c r="D106" s="6"/>
      <c r="E106" s="6"/>
      <c r="F106" s="6"/>
      <c r="G106" s="6"/>
      <c r="H106" s="6"/>
      <c r="I106" s="6"/>
      <c r="J106" s="6"/>
      <c r="K106" s="6"/>
      <c r="L106" s="6"/>
      <c r="M106" s="6"/>
      <c r="N106" s="6"/>
      <c r="O106" s="6"/>
    </row>
    <row r="107" spans="2:15" ht="30">
      <c r="B107" s="314" t="s">
        <v>778</v>
      </c>
      <c r="C107" s="6"/>
      <c r="D107" s="6"/>
      <c r="E107" s="6"/>
      <c r="F107" s="6"/>
      <c r="G107" s="6"/>
      <c r="H107" s="6"/>
      <c r="I107" s="6"/>
      <c r="J107" s="6"/>
      <c r="K107" s="6"/>
      <c r="L107" s="6"/>
      <c r="M107" s="6"/>
      <c r="N107" s="6"/>
      <c r="O107" s="6"/>
    </row>
    <row r="108" spans="2:15">
      <c r="B108" s="172" t="s">
        <v>761</v>
      </c>
      <c r="C108" s="173" t="s">
        <v>779</v>
      </c>
      <c r="D108" s="173" t="s">
        <v>780</v>
      </c>
      <c r="E108" s="173" t="s">
        <v>781</v>
      </c>
      <c r="F108" s="173" t="s">
        <v>782</v>
      </c>
      <c r="G108" s="173" t="s">
        <v>783</v>
      </c>
      <c r="H108" s="173" t="s">
        <v>784</v>
      </c>
      <c r="I108" s="173" t="s">
        <v>785</v>
      </c>
      <c r="J108" s="173" t="s">
        <v>786</v>
      </c>
      <c r="K108" s="173" t="s">
        <v>787</v>
      </c>
      <c r="L108" s="173" t="s">
        <v>788</v>
      </c>
      <c r="M108" s="173" t="s">
        <v>789</v>
      </c>
      <c r="N108" s="173" t="s">
        <v>790</v>
      </c>
      <c r="O108" s="174" t="s">
        <v>791</v>
      </c>
    </row>
    <row r="109" spans="2:15">
      <c r="B109" s="167">
        <v>2</v>
      </c>
      <c r="C109" s="166">
        <v>1</v>
      </c>
      <c r="D109" s="166">
        <v>16000</v>
      </c>
      <c r="E109" s="166">
        <v>1600</v>
      </c>
      <c r="F109" s="166" t="s">
        <v>793</v>
      </c>
      <c r="G109" s="166" t="s">
        <v>794</v>
      </c>
      <c r="H109" s="166" t="s">
        <v>795</v>
      </c>
      <c r="I109" s="166">
        <v>16</v>
      </c>
      <c r="J109" s="166" t="s">
        <v>796</v>
      </c>
      <c r="K109" s="166" t="s">
        <v>797</v>
      </c>
      <c r="L109" s="166" t="s">
        <v>798</v>
      </c>
      <c r="M109" s="166" t="s">
        <v>799</v>
      </c>
      <c r="N109" s="166">
        <v>4.6100000000000003</v>
      </c>
      <c r="O109" s="168">
        <v>2</v>
      </c>
    </row>
    <row r="110" spans="2:15">
      <c r="B110" s="167">
        <v>2</v>
      </c>
      <c r="C110" s="166">
        <v>2</v>
      </c>
      <c r="D110" s="166">
        <v>16000</v>
      </c>
      <c r="E110" s="166">
        <v>1600</v>
      </c>
      <c r="F110" s="166" t="s">
        <v>793</v>
      </c>
      <c r="G110" s="166" t="s">
        <v>794</v>
      </c>
      <c r="H110" s="166" t="s">
        <v>795</v>
      </c>
      <c r="I110" s="166">
        <v>16</v>
      </c>
      <c r="J110" s="166" t="s">
        <v>796</v>
      </c>
      <c r="K110" s="166" t="s">
        <v>797</v>
      </c>
      <c r="L110" s="166" t="s">
        <v>798</v>
      </c>
      <c r="M110" s="166" t="s">
        <v>799</v>
      </c>
      <c r="N110" s="166">
        <v>4.67</v>
      </c>
      <c r="O110" s="168">
        <v>2</v>
      </c>
    </row>
    <row r="111" spans="2:15">
      <c r="B111" s="167">
        <v>2</v>
      </c>
      <c r="C111" s="166">
        <v>3</v>
      </c>
      <c r="D111" s="166">
        <v>16000</v>
      </c>
      <c r="E111" s="166">
        <v>1600</v>
      </c>
      <c r="F111" s="166" t="s">
        <v>793</v>
      </c>
      <c r="G111" s="166" t="s">
        <v>794</v>
      </c>
      <c r="H111" s="166" t="s">
        <v>795</v>
      </c>
      <c r="I111" s="166">
        <v>16</v>
      </c>
      <c r="J111" s="166" t="s">
        <v>796</v>
      </c>
      <c r="K111" s="166" t="s">
        <v>797</v>
      </c>
      <c r="L111" s="166" t="s">
        <v>798</v>
      </c>
      <c r="M111" s="166" t="s">
        <v>799</v>
      </c>
      <c r="N111" s="166">
        <v>4.7300000000000004</v>
      </c>
      <c r="O111" s="168">
        <v>2</v>
      </c>
    </row>
    <row r="112" spans="2:15">
      <c r="B112" s="167">
        <v>2</v>
      </c>
      <c r="C112" s="166">
        <v>4</v>
      </c>
      <c r="D112" s="166">
        <v>16000</v>
      </c>
      <c r="E112" s="166">
        <v>1600</v>
      </c>
      <c r="F112" s="166" t="s">
        <v>793</v>
      </c>
      <c r="G112" s="166" t="s">
        <v>794</v>
      </c>
      <c r="H112" s="166" t="s">
        <v>795</v>
      </c>
      <c r="I112" s="166">
        <v>16</v>
      </c>
      <c r="J112" s="166" t="s">
        <v>796</v>
      </c>
      <c r="K112" s="166" t="s">
        <v>797</v>
      </c>
      <c r="L112" s="166" t="s">
        <v>798</v>
      </c>
      <c r="M112" s="166" t="s">
        <v>799</v>
      </c>
      <c r="N112" s="166">
        <v>4.79</v>
      </c>
      <c r="O112" s="168">
        <v>2</v>
      </c>
    </row>
    <row r="113" spans="2:15">
      <c r="B113" s="167">
        <v>2</v>
      </c>
      <c r="C113" s="166">
        <v>5</v>
      </c>
      <c r="D113" s="166">
        <v>16000</v>
      </c>
      <c r="E113" s="166">
        <v>1600</v>
      </c>
      <c r="F113" s="166" t="s">
        <v>793</v>
      </c>
      <c r="G113" s="166" t="s">
        <v>794</v>
      </c>
      <c r="H113" s="166" t="s">
        <v>795</v>
      </c>
      <c r="I113" s="166">
        <v>16</v>
      </c>
      <c r="J113" s="166" t="s">
        <v>796</v>
      </c>
      <c r="K113" s="166" t="s">
        <v>797</v>
      </c>
      <c r="L113" s="166" t="s">
        <v>798</v>
      </c>
      <c r="M113" s="166" t="s">
        <v>799</v>
      </c>
      <c r="N113" s="166">
        <v>4.8600000000000003</v>
      </c>
      <c r="O113" s="168">
        <v>2</v>
      </c>
    </row>
    <row r="114" spans="2:15">
      <c r="B114" s="167">
        <v>2</v>
      </c>
      <c r="C114" s="166">
        <v>6</v>
      </c>
      <c r="D114" s="166">
        <v>16000</v>
      </c>
      <c r="E114" s="166">
        <v>1600</v>
      </c>
      <c r="F114" s="166" t="s">
        <v>793</v>
      </c>
      <c r="G114" s="166" t="s">
        <v>794</v>
      </c>
      <c r="H114" s="166" t="s">
        <v>795</v>
      </c>
      <c r="I114" s="166">
        <v>16</v>
      </c>
      <c r="J114" s="166" t="s">
        <v>796</v>
      </c>
      <c r="K114" s="166" t="s">
        <v>797</v>
      </c>
      <c r="L114" s="166" t="s">
        <v>798</v>
      </c>
      <c r="M114" s="166" t="s">
        <v>799</v>
      </c>
      <c r="N114" s="166">
        <v>4.92</v>
      </c>
      <c r="O114" s="168">
        <v>2</v>
      </c>
    </row>
    <row r="115" spans="2:15">
      <c r="B115" s="167">
        <v>2</v>
      </c>
      <c r="C115" s="166">
        <v>7</v>
      </c>
      <c r="D115" s="166">
        <v>16000</v>
      </c>
      <c r="E115" s="166">
        <v>1600</v>
      </c>
      <c r="F115" s="166" t="s">
        <v>793</v>
      </c>
      <c r="G115" s="166" t="s">
        <v>794</v>
      </c>
      <c r="H115" s="166" t="s">
        <v>795</v>
      </c>
      <c r="I115" s="166">
        <v>16</v>
      </c>
      <c r="J115" s="166" t="s">
        <v>796</v>
      </c>
      <c r="K115" s="166" t="s">
        <v>797</v>
      </c>
      <c r="L115" s="166" t="s">
        <v>798</v>
      </c>
      <c r="M115" s="166" t="s">
        <v>799</v>
      </c>
      <c r="N115" s="166">
        <v>4.9800000000000004</v>
      </c>
      <c r="O115" s="168">
        <v>2</v>
      </c>
    </row>
    <row r="116" spans="2:15">
      <c r="B116" s="167">
        <v>2</v>
      </c>
      <c r="C116" s="166">
        <v>8</v>
      </c>
      <c r="D116" s="166">
        <v>16000</v>
      </c>
      <c r="E116" s="166">
        <v>1600</v>
      </c>
      <c r="F116" s="166" t="s">
        <v>793</v>
      </c>
      <c r="G116" s="166" t="s">
        <v>794</v>
      </c>
      <c r="H116" s="166" t="s">
        <v>795</v>
      </c>
      <c r="I116" s="166">
        <v>16</v>
      </c>
      <c r="J116" s="166" t="s">
        <v>796</v>
      </c>
      <c r="K116" s="166" t="s">
        <v>797</v>
      </c>
      <c r="L116" s="166" t="s">
        <v>798</v>
      </c>
      <c r="M116" s="166" t="s">
        <v>799</v>
      </c>
      <c r="N116" s="166">
        <v>5.04</v>
      </c>
      <c r="O116" s="168">
        <v>2</v>
      </c>
    </row>
    <row r="117" spans="2:15">
      <c r="B117" s="167">
        <v>2</v>
      </c>
      <c r="C117" s="166">
        <v>9</v>
      </c>
      <c r="D117" s="166">
        <v>16000</v>
      </c>
      <c r="E117" s="166">
        <v>1600</v>
      </c>
      <c r="F117" s="166" t="s">
        <v>793</v>
      </c>
      <c r="G117" s="166" t="s">
        <v>794</v>
      </c>
      <c r="H117" s="166" t="s">
        <v>795</v>
      </c>
      <c r="I117" s="166">
        <v>16</v>
      </c>
      <c r="J117" s="166" t="s">
        <v>796</v>
      </c>
      <c r="K117" s="166" t="s">
        <v>797</v>
      </c>
      <c r="L117" s="166" t="s">
        <v>798</v>
      </c>
      <c r="M117" s="166" t="s">
        <v>799</v>
      </c>
      <c r="N117" s="166">
        <v>5.0999999999999996</v>
      </c>
      <c r="O117" s="168">
        <v>2</v>
      </c>
    </row>
    <row r="118" spans="2:15">
      <c r="B118" s="169">
        <v>2</v>
      </c>
      <c r="C118" s="170">
        <v>10</v>
      </c>
      <c r="D118" s="170">
        <v>16000</v>
      </c>
      <c r="E118" s="170">
        <v>1600</v>
      </c>
      <c r="F118" s="170" t="s">
        <v>793</v>
      </c>
      <c r="G118" s="170" t="s">
        <v>794</v>
      </c>
      <c r="H118" s="170" t="s">
        <v>795</v>
      </c>
      <c r="I118" s="170">
        <v>16</v>
      </c>
      <c r="J118" s="170" t="s">
        <v>796</v>
      </c>
      <c r="K118" s="170" t="s">
        <v>797</v>
      </c>
      <c r="L118" s="170" t="s">
        <v>798</v>
      </c>
      <c r="M118" s="170" t="s">
        <v>799</v>
      </c>
      <c r="N118" s="170">
        <v>5.17</v>
      </c>
      <c r="O118" s="171">
        <v>2</v>
      </c>
    </row>
  </sheetData>
  <mergeCells count="21">
    <mergeCell ref="P16:P31"/>
    <mergeCell ref="L28:L31"/>
    <mergeCell ref="B39:O41"/>
    <mergeCell ref="B77:O79"/>
    <mergeCell ref="B56:O58"/>
    <mergeCell ref="B102:O104"/>
    <mergeCell ref="Q41:AD43"/>
    <mergeCell ref="A1:Z1"/>
    <mergeCell ref="B8:C9"/>
    <mergeCell ref="D8:D9"/>
    <mergeCell ref="B10:C10"/>
    <mergeCell ref="B32:J32"/>
    <mergeCell ref="B14:F14"/>
    <mergeCell ref="L14:L15"/>
    <mergeCell ref="L16:L17"/>
    <mergeCell ref="L18:L22"/>
    <mergeCell ref="N14:O14"/>
    <mergeCell ref="P14:P15"/>
    <mergeCell ref="L12:P13"/>
    <mergeCell ref="M14:M15"/>
    <mergeCell ref="L23:L27"/>
  </mergeCells>
  <hyperlinks>
    <hyperlink ref="P16:P31" r:id="rId1" display="BOBO-DIOULASSO AND ORODARA AREAS  ASSESSMENT (BURKINA FASO)" xr:uid="{D31B20DC-DBD7-47F5-A068-326E7FCAA69D}"/>
    <hyperlink ref="F18" r:id="rId2" xr:uid="{0785F72E-3BFA-42BB-8D26-8029A43CB7E9}"/>
    <hyperlink ref="F17" r:id="rId3" xr:uid="{82C79400-EC0F-4561-BBDD-C2789A35BE31}"/>
    <hyperlink ref="F20" r:id="rId4" xr:uid="{85A91FAF-3567-4ABE-8839-B907F181BCD1}"/>
    <hyperlink ref="F16" r:id="rId5" location="read" xr:uid="{9BC0BF8E-9098-4886-8CBF-3E39828904D8}"/>
    <hyperlink ref="F21" r:id="rId6" xr:uid="{87A56E00-7900-43EF-92A6-71863580F049}"/>
    <hyperlink ref="F22" r:id="rId7" xr:uid="{483D044A-0AEA-48AF-B2FC-1E3B01F91E96}"/>
    <hyperlink ref="F25" r:id="rId8" xr:uid="{B680B412-460C-49FC-B527-5A3031406CFD}"/>
  </hyperlinks>
  <pageMargins left="0.7" right="0.7" top="0.75" bottom="0.75" header="0.3" footer="0.3"/>
  <drawing r:id="rId9"/>
  <legacyDrawing r:id="rId10"/>
  <tableParts count="6">
    <tablePart r:id="rId11"/>
    <tablePart r:id="rId12"/>
    <tablePart r:id="rId13"/>
    <tablePart r:id="rId14"/>
    <tablePart r:id="rId15"/>
    <tablePart r:id="rId16"/>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5F9DD-CC96-4F39-ACC3-FD9DE8D7D975}">
  <dimension ref="B1:L25"/>
  <sheetViews>
    <sheetView workbookViewId="0">
      <selection activeCell="H15" sqref="H15"/>
    </sheetView>
  </sheetViews>
  <sheetFormatPr defaultRowHeight="15"/>
  <cols>
    <col min="2" max="2" width="17.5703125" customWidth="1"/>
    <col min="3" max="3" width="18.28515625" customWidth="1"/>
    <col min="4" max="4" width="40.28515625" customWidth="1"/>
    <col min="6" max="6" width="16.42578125" customWidth="1"/>
    <col min="7" max="7" width="20.7109375" customWidth="1"/>
    <col min="8" max="8" width="39" customWidth="1"/>
    <col min="10" max="10" width="20.42578125" customWidth="1"/>
    <col min="11" max="11" width="16.28515625" customWidth="1"/>
    <col min="12" max="12" width="41" customWidth="1"/>
  </cols>
  <sheetData>
    <row r="1" spans="2:12">
      <c r="C1" s="398" t="s">
        <v>800</v>
      </c>
      <c r="G1" s="398"/>
      <c r="K1" s="398"/>
    </row>
    <row r="3" spans="2:12">
      <c r="B3" s="10" t="s">
        <v>801</v>
      </c>
      <c r="C3" s="11" t="s">
        <v>281</v>
      </c>
      <c r="D3" s="11" t="s">
        <v>802</v>
      </c>
      <c r="F3" s="14"/>
      <c r="G3" s="14"/>
      <c r="H3" s="14"/>
      <c r="J3" s="14"/>
      <c r="K3" s="14"/>
      <c r="L3" s="14"/>
    </row>
    <row r="4" spans="2:12">
      <c r="B4" s="12" t="s">
        <v>803</v>
      </c>
      <c r="C4" s="17">
        <v>1.5</v>
      </c>
      <c r="D4" s="17" t="s">
        <v>804</v>
      </c>
      <c r="F4" s="14"/>
      <c r="G4" s="14"/>
      <c r="H4" s="14"/>
      <c r="J4" s="14"/>
      <c r="K4" s="14"/>
      <c r="L4" s="14"/>
    </row>
    <row r="5" spans="2:12">
      <c r="B5" s="12" t="s">
        <v>805</v>
      </c>
      <c r="C5" s="17">
        <v>4</v>
      </c>
      <c r="D5" s="17" t="s">
        <v>806</v>
      </c>
      <c r="F5" s="14"/>
      <c r="G5" s="14"/>
      <c r="H5" s="14"/>
      <c r="J5" s="14"/>
      <c r="K5" s="14"/>
      <c r="L5" s="14"/>
    </row>
    <row r="6" spans="2:12">
      <c r="B6" s="12" t="s">
        <v>807</v>
      </c>
      <c r="C6" s="17">
        <v>2</v>
      </c>
      <c r="D6" s="17" t="s">
        <v>804</v>
      </c>
      <c r="F6" s="14"/>
      <c r="G6" s="14"/>
      <c r="H6" s="14"/>
      <c r="J6" s="14"/>
      <c r="K6" s="14"/>
      <c r="L6" s="14"/>
    </row>
    <row r="7" spans="2:12">
      <c r="B7" s="12" t="s">
        <v>808</v>
      </c>
      <c r="C7" s="17">
        <v>4</v>
      </c>
      <c r="D7" s="17" t="s">
        <v>806</v>
      </c>
      <c r="F7" s="14"/>
      <c r="G7" s="14"/>
      <c r="H7" s="14"/>
      <c r="J7" s="14"/>
      <c r="K7" s="14"/>
      <c r="L7" s="14"/>
    </row>
    <row r="8" spans="2:12">
      <c r="B8" s="12" t="s">
        <v>809</v>
      </c>
      <c r="C8" s="17">
        <v>3</v>
      </c>
      <c r="D8" s="17" t="s">
        <v>804</v>
      </c>
      <c r="F8" s="14"/>
      <c r="G8" s="14"/>
      <c r="H8" s="14"/>
      <c r="J8" s="14"/>
      <c r="K8" s="14"/>
      <c r="L8" s="14"/>
    </row>
    <row r="9" spans="2:12">
      <c r="B9" s="12" t="s">
        <v>810</v>
      </c>
      <c r="C9" s="17">
        <v>5</v>
      </c>
      <c r="D9" s="17" t="s">
        <v>806</v>
      </c>
      <c r="F9" s="14"/>
      <c r="G9" s="14"/>
      <c r="H9" s="14"/>
      <c r="J9" s="14"/>
      <c r="K9" s="14"/>
      <c r="L9" s="14"/>
    </row>
    <row r="10" spans="2:12">
      <c r="B10" s="12" t="s">
        <v>811</v>
      </c>
      <c r="C10" s="17">
        <f>C4*C5+C5*C7+C8*C9</f>
        <v>37</v>
      </c>
      <c r="D10" s="17" t="s">
        <v>812</v>
      </c>
      <c r="F10" s="14"/>
      <c r="G10" s="14"/>
      <c r="H10" s="14"/>
      <c r="J10" s="14"/>
      <c r="K10" s="14"/>
      <c r="L10" s="14"/>
    </row>
    <row r="11" spans="2:12">
      <c r="B11" s="13" t="s">
        <v>813</v>
      </c>
      <c r="C11" s="18" t="s">
        <v>813</v>
      </c>
      <c r="D11" s="18" t="s">
        <v>813</v>
      </c>
      <c r="F11" s="15"/>
      <c r="G11" s="15"/>
      <c r="H11" s="15"/>
      <c r="J11" s="15"/>
      <c r="K11" s="15"/>
      <c r="L11" s="15"/>
    </row>
    <row r="12" spans="2:12">
      <c r="B12" s="12" t="s">
        <v>814</v>
      </c>
      <c r="C12" s="17">
        <v>5.5</v>
      </c>
      <c r="D12" s="17" t="s">
        <v>806</v>
      </c>
      <c r="F12" s="14"/>
      <c r="G12" s="14"/>
      <c r="H12" s="14"/>
      <c r="J12" s="14"/>
      <c r="K12" s="14"/>
      <c r="L12" s="14"/>
    </row>
    <row r="13" spans="2:12">
      <c r="B13" s="12" t="s">
        <v>815</v>
      </c>
      <c r="C13" s="19">
        <v>0.2</v>
      </c>
      <c r="D13" s="17" t="s">
        <v>816</v>
      </c>
      <c r="F13" s="14"/>
      <c r="G13" s="16"/>
      <c r="H13" s="14"/>
      <c r="J13" s="14"/>
      <c r="K13" s="16"/>
      <c r="L13" s="14"/>
    </row>
    <row r="14" spans="2:12">
      <c r="B14" s="12" t="s">
        <v>817</v>
      </c>
      <c r="C14" s="17">
        <v>6.6</v>
      </c>
      <c r="D14" s="17" t="s">
        <v>818</v>
      </c>
      <c r="F14" s="14"/>
      <c r="G14" s="14"/>
      <c r="H14" s="14"/>
      <c r="J14" s="14"/>
      <c r="K14" s="14"/>
      <c r="L14" s="14"/>
    </row>
    <row r="15" spans="2:12">
      <c r="B15" s="12" t="s">
        <v>819</v>
      </c>
      <c r="C15" s="17">
        <v>0.75</v>
      </c>
      <c r="D15" s="17" t="s">
        <v>816</v>
      </c>
      <c r="F15" s="14"/>
      <c r="G15" s="14"/>
      <c r="H15" s="14"/>
      <c r="J15" s="14"/>
      <c r="K15" s="14"/>
      <c r="L15" s="14"/>
    </row>
    <row r="16" spans="2:12">
      <c r="B16" s="12" t="s">
        <v>820</v>
      </c>
      <c r="C16" s="17">
        <f>C10/(C14*C15)</f>
        <v>7.4747474747474758</v>
      </c>
      <c r="D16" s="17" t="s">
        <v>821</v>
      </c>
      <c r="F16" s="14"/>
      <c r="G16" s="14"/>
      <c r="H16" s="14"/>
      <c r="J16" s="14"/>
      <c r="K16" s="14"/>
      <c r="L16" s="14"/>
    </row>
    <row r="17" spans="2:12">
      <c r="B17" s="12" t="s">
        <v>822</v>
      </c>
      <c r="C17" s="17">
        <v>400</v>
      </c>
      <c r="D17" s="17" t="s">
        <v>823</v>
      </c>
      <c r="F17" s="14"/>
      <c r="G17" s="14"/>
      <c r="H17" s="14"/>
      <c r="J17" s="14"/>
      <c r="K17" s="14"/>
      <c r="L17" s="14"/>
    </row>
    <row r="18" spans="2:12">
      <c r="B18" s="12" t="s">
        <v>824</v>
      </c>
      <c r="C18" s="17">
        <f>(C16*1000)/400</f>
        <v>18.686868686868692</v>
      </c>
      <c r="D18" s="17" t="s">
        <v>825</v>
      </c>
      <c r="F18" s="14"/>
      <c r="G18" s="14"/>
      <c r="H18" s="14"/>
      <c r="J18" s="14"/>
      <c r="K18" s="14"/>
      <c r="L18" s="14"/>
    </row>
    <row r="19" spans="2:12">
      <c r="B19" s="13" t="s">
        <v>813</v>
      </c>
      <c r="C19" s="18" t="s">
        <v>813</v>
      </c>
      <c r="D19" s="18" t="s">
        <v>813</v>
      </c>
      <c r="F19" s="15"/>
      <c r="G19" s="15"/>
      <c r="H19" s="15"/>
      <c r="J19" s="15"/>
      <c r="K19" s="15"/>
      <c r="L19" s="15"/>
    </row>
    <row r="20" spans="2:12">
      <c r="B20" s="12" t="s">
        <v>826</v>
      </c>
      <c r="C20" s="17">
        <v>0.9</v>
      </c>
      <c r="D20" s="17"/>
      <c r="F20" s="14"/>
      <c r="G20" s="14"/>
      <c r="H20" s="14"/>
      <c r="J20" s="14"/>
      <c r="K20" s="14"/>
      <c r="L20" s="14"/>
    </row>
    <row r="21" spans="2:12">
      <c r="B21" s="12" t="s">
        <v>827</v>
      </c>
      <c r="C21" s="17">
        <v>0.8</v>
      </c>
      <c r="D21" s="17"/>
      <c r="F21" s="14"/>
      <c r="G21" s="14"/>
      <c r="H21" s="14"/>
      <c r="J21" s="14"/>
      <c r="K21" s="14"/>
      <c r="L21" s="14"/>
    </row>
    <row r="22" spans="2:12" ht="24.75">
      <c r="B22" s="12" t="s">
        <v>828</v>
      </c>
      <c r="C22" s="17">
        <f>C10/(C20*C21)</f>
        <v>51.388888888888886</v>
      </c>
      <c r="D22" s="17" t="s">
        <v>812</v>
      </c>
      <c r="F22" s="14"/>
      <c r="G22" s="14"/>
      <c r="H22" s="14"/>
      <c r="J22" s="14"/>
      <c r="K22" s="14"/>
      <c r="L22" s="14"/>
    </row>
    <row r="23" spans="2:12">
      <c r="B23" s="13" t="s">
        <v>813</v>
      </c>
      <c r="C23" s="18" t="s">
        <v>813</v>
      </c>
      <c r="D23" s="18" t="s">
        <v>813</v>
      </c>
      <c r="F23" s="15"/>
      <c r="G23" s="15"/>
      <c r="H23" s="15"/>
      <c r="J23" s="15"/>
      <c r="K23" s="15"/>
      <c r="L23" s="15"/>
    </row>
    <row r="24" spans="2:12">
      <c r="B24" s="12" t="s">
        <v>829</v>
      </c>
      <c r="C24" s="17">
        <v>6.5</v>
      </c>
      <c r="D24" s="17" t="s">
        <v>804</v>
      </c>
      <c r="F24" s="14"/>
      <c r="G24" s="14"/>
      <c r="H24" s="14"/>
      <c r="J24" s="14"/>
      <c r="K24" s="14"/>
      <c r="L24" s="14"/>
    </row>
    <row r="25" spans="2:12">
      <c r="B25" t="s">
        <v>830</v>
      </c>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D1EB9-DCF8-4E0D-A2D2-EFBE00CED3CD}">
  <dimension ref="B4:G74"/>
  <sheetViews>
    <sheetView topLeftCell="A9" workbookViewId="0">
      <selection activeCell="D40" sqref="D40"/>
    </sheetView>
  </sheetViews>
  <sheetFormatPr defaultRowHeight="15"/>
  <cols>
    <col min="2" max="2" width="71.28515625" customWidth="1"/>
    <col min="3" max="3" width="50.28515625" customWidth="1"/>
    <col min="4" max="4" width="26" customWidth="1"/>
    <col min="5" max="5" width="46" customWidth="1"/>
    <col min="6" max="6" width="31" customWidth="1"/>
    <col min="7" max="7" width="23.28515625" bestFit="1" customWidth="1"/>
  </cols>
  <sheetData>
    <row r="4" spans="2:7">
      <c r="B4" s="207" t="s">
        <v>831</v>
      </c>
      <c r="C4" s="208" t="s">
        <v>832</v>
      </c>
      <c r="D4" s="208" t="s">
        <v>833</v>
      </c>
      <c r="E4" s="208" t="s">
        <v>834</v>
      </c>
      <c r="F4" s="208" t="s">
        <v>835</v>
      </c>
      <c r="G4" s="209" t="s">
        <v>836</v>
      </c>
    </row>
    <row r="5" spans="2:7" ht="14.25">
      <c r="B5" s="210" t="s">
        <v>837</v>
      </c>
      <c r="C5" s="17">
        <v>37</v>
      </c>
      <c r="D5" s="17">
        <v>7.5</v>
      </c>
      <c r="E5" s="17">
        <v>19</v>
      </c>
      <c r="F5" s="17">
        <v>52</v>
      </c>
      <c r="G5" s="17">
        <v>6.3</v>
      </c>
    </row>
    <row r="6" spans="2:7">
      <c r="D6" t="s">
        <v>83</v>
      </c>
    </row>
    <row r="7" spans="2:7" ht="21">
      <c r="B7" s="632" t="s">
        <v>838</v>
      </c>
      <c r="C7" s="632"/>
      <c r="D7" s="632"/>
    </row>
    <row r="8" spans="2:7" ht="18">
      <c r="B8" s="196"/>
    </row>
    <row r="9" spans="2:7" ht="21">
      <c r="B9" s="406" t="s">
        <v>371</v>
      </c>
      <c r="C9" s="406" t="s">
        <v>839</v>
      </c>
      <c r="D9" s="406" t="s">
        <v>840</v>
      </c>
    </row>
    <row r="10" spans="2:7" ht="21">
      <c r="B10" s="407" t="s">
        <v>811</v>
      </c>
      <c r="C10" s="407" t="s">
        <v>841</v>
      </c>
      <c r="D10" s="407" t="s">
        <v>841</v>
      </c>
    </row>
    <row r="11" spans="2:7" ht="21">
      <c r="B11" s="407" t="s">
        <v>842</v>
      </c>
      <c r="C11" s="407" t="s">
        <v>843</v>
      </c>
      <c r="D11" s="407" t="s">
        <v>844</v>
      </c>
    </row>
    <row r="12" spans="2:7" ht="21">
      <c r="B12" s="407" t="s">
        <v>845</v>
      </c>
      <c r="C12" s="407">
        <v>19</v>
      </c>
      <c r="D12" s="407">
        <v>15</v>
      </c>
    </row>
    <row r="13" spans="2:7" ht="21">
      <c r="B13" s="407" t="s">
        <v>846</v>
      </c>
      <c r="C13" s="407">
        <v>43825</v>
      </c>
      <c r="D13" s="407">
        <v>42850</v>
      </c>
    </row>
    <row r="14" spans="2:7" ht="21">
      <c r="B14" s="407" t="s">
        <v>847</v>
      </c>
      <c r="C14" s="407" t="s">
        <v>848</v>
      </c>
      <c r="D14" s="407" t="s">
        <v>849</v>
      </c>
    </row>
    <row r="15" spans="2:7" ht="21">
      <c r="B15" s="407" t="s">
        <v>850</v>
      </c>
      <c r="C15" s="407" t="s">
        <v>851</v>
      </c>
      <c r="D15" s="407" t="s">
        <v>851</v>
      </c>
    </row>
    <row r="19" spans="2:5" ht="21">
      <c r="B19" s="632" t="s">
        <v>852</v>
      </c>
      <c r="C19" s="632"/>
      <c r="D19" s="632"/>
      <c r="E19" s="632"/>
    </row>
    <row r="21" spans="2:5" ht="21">
      <c r="B21" s="406" t="s">
        <v>853</v>
      </c>
      <c r="C21" s="406" t="s">
        <v>854</v>
      </c>
      <c r="D21" s="406" t="s">
        <v>855</v>
      </c>
      <c r="E21" s="406" t="s">
        <v>856</v>
      </c>
    </row>
    <row r="22" spans="2:5" ht="21">
      <c r="B22" s="407" t="s">
        <v>857</v>
      </c>
      <c r="C22" s="407" t="s">
        <v>858</v>
      </c>
      <c r="D22" s="204">
        <v>0.46</v>
      </c>
      <c r="E22" s="407" t="s">
        <v>859</v>
      </c>
    </row>
    <row r="23" spans="2:5" ht="21">
      <c r="B23" s="407" t="s">
        <v>860</v>
      </c>
      <c r="C23" s="407" t="s">
        <v>861</v>
      </c>
      <c r="D23" s="204">
        <v>0.19</v>
      </c>
      <c r="E23" s="407" t="s">
        <v>862</v>
      </c>
    </row>
    <row r="24" spans="2:5" ht="21">
      <c r="B24" s="407" t="s">
        <v>863</v>
      </c>
      <c r="C24" s="407" t="s">
        <v>864</v>
      </c>
      <c r="D24" s="204">
        <v>0.14000000000000001</v>
      </c>
      <c r="E24" s="407" t="s">
        <v>865</v>
      </c>
    </row>
    <row r="25" spans="2:5" ht="21">
      <c r="B25" s="407" t="s">
        <v>866</v>
      </c>
      <c r="C25" s="407" t="s">
        <v>867</v>
      </c>
      <c r="D25" s="204">
        <v>0.11</v>
      </c>
      <c r="E25" s="407" t="s">
        <v>868</v>
      </c>
    </row>
    <row r="26" spans="2:5" ht="21">
      <c r="B26" s="407" t="s">
        <v>869</v>
      </c>
      <c r="C26" s="407" t="s">
        <v>870</v>
      </c>
      <c r="D26" s="204">
        <v>0.05</v>
      </c>
      <c r="E26" s="407" t="s">
        <v>871</v>
      </c>
    </row>
    <row r="27" spans="2:5" ht="21">
      <c r="B27" s="407" t="s">
        <v>872</v>
      </c>
      <c r="C27" s="407" t="s">
        <v>870</v>
      </c>
      <c r="D27" s="204">
        <v>0.05</v>
      </c>
      <c r="E27" s="407" t="s">
        <v>873</v>
      </c>
    </row>
    <row r="28" spans="2:5" ht="21">
      <c r="B28" s="407" t="s">
        <v>444</v>
      </c>
      <c r="C28" s="407" t="s">
        <v>874</v>
      </c>
      <c r="D28" s="204">
        <v>1</v>
      </c>
      <c r="E28" s="407" t="s">
        <v>875</v>
      </c>
    </row>
    <row r="32" spans="2:5" ht="21">
      <c r="B32" s="632" t="s">
        <v>876</v>
      </c>
      <c r="C32" s="632"/>
      <c r="D32" s="632"/>
      <c r="E32" s="632"/>
    </row>
    <row r="33" spans="2:6" ht="21">
      <c r="B33" s="406"/>
      <c r="C33" s="406"/>
      <c r="D33" s="406"/>
      <c r="E33" s="406"/>
    </row>
    <row r="34" spans="2:6" ht="21">
      <c r="B34" s="634" t="s">
        <v>877</v>
      </c>
      <c r="C34" s="635"/>
      <c r="D34" s="635"/>
      <c r="E34" s="406"/>
    </row>
    <row r="35" spans="2:6" ht="21">
      <c r="B35" s="635"/>
      <c r="C35" s="635"/>
      <c r="D35" s="635"/>
      <c r="E35" s="406"/>
    </row>
    <row r="36" spans="2:6">
      <c r="B36" s="635"/>
      <c r="C36" s="635"/>
      <c r="D36" s="635"/>
    </row>
    <row r="37" spans="2:6" ht="30" customHeight="1">
      <c r="B37" s="635"/>
      <c r="C37" s="635"/>
      <c r="D37" s="635"/>
    </row>
    <row r="38" spans="2:6" ht="21">
      <c r="B38" s="406"/>
    </row>
    <row r="39" spans="2:6" ht="21">
      <c r="B39" s="218" t="s">
        <v>878</v>
      </c>
      <c r="C39" s="218" t="s">
        <v>879</v>
      </c>
      <c r="D39" s="218" t="s">
        <v>880</v>
      </c>
      <c r="E39" s="218" t="s">
        <v>881</v>
      </c>
      <c r="F39" s="218" t="s">
        <v>882</v>
      </c>
    </row>
    <row r="40" spans="2:6" ht="21">
      <c r="B40" s="219" t="s">
        <v>883</v>
      </c>
      <c r="C40" s="219" t="s">
        <v>884</v>
      </c>
      <c r="D40" s="219">
        <v>9000</v>
      </c>
      <c r="E40" s="219">
        <v>7200</v>
      </c>
      <c r="F40" s="219">
        <v>-1800</v>
      </c>
    </row>
    <row r="41" spans="2:6" ht="21">
      <c r="B41" s="219" t="s">
        <v>885</v>
      </c>
      <c r="C41" s="219" t="s">
        <v>886</v>
      </c>
      <c r="D41" s="219">
        <v>0</v>
      </c>
      <c r="E41" s="219">
        <v>3000</v>
      </c>
      <c r="F41" s="219">
        <v>3000</v>
      </c>
    </row>
    <row r="42" spans="2:6" ht="21">
      <c r="B42" s="219" t="s">
        <v>887</v>
      </c>
      <c r="C42" s="219" t="s">
        <v>888</v>
      </c>
      <c r="D42" s="219">
        <v>10875</v>
      </c>
      <c r="E42" s="219">
        <v>8700</v>
      </c>
      <c r="F42" s="219">
        <v>-2175</v>
      </c>
    </row>
    <row r="43" spans="2:6" ht="21">
      <c r="B43" s="219" t="s">
        <v>889</v>
      </c>
      <c r="C43" s="219" t="s">
        <v>890</v>
      </c>
      <c r="D43" s="219">
        <v>20800</v>
      </c>
      <c r="E43" s="219">
        <v>20800</v>
      </c>
      <c r="F43" s="219">
        <v>0</v>
      </c>
    </row>
    <row r="44" spans="2:6" ht="21">
      <c r="B44" s="219" t="s">
        <v>891</v>
      </c>
      <c r="C44" s="219" t="s">
        <v>892</v>
      </c>
      <c r="D44" s="219">
        <v>3150</v>
      </c>
      <c r="E44" s="219">
        <v>3150</v>
      </c>
      <c r="F44" s="219">
        <v>0</v>
      </c>
    </row>
    <row r="45" spans="2:6" ht="21">
      <c r="B45" s="220" t="s">
        <v>444</v>
      </c>
      <c r="C45" s="221" t="s">
        <v>427</v>
      </c>
      <c r="D45" s="220">
        <v>43825</v>
      </c>
      <c r="E45" s="220">
        <v>42850</v>
      </c>
      <c r="F45" s="220">
        <v>-975</v>
      </c>
    </row>
    <row r="47" spans="2:6" ht="21">
      <c r="B47" s="633" t="s">
        <v>893</v>
      </c>
      <c r="C47" s="633"/>
      <c r="D47" s="633"/>
      <c r="E47" s="633"/>
    </row>
    <row r="49" spans="2:5" ht="21">
      <c r="B49" s="632" t="s">
        <v>894</v>
      </c>
      <c r="C49" s="632"/>
      <c r="D49" s="632"/>
      <c r="E49" s="632"/>
    </row>
    <row r="51" spans="2:5" ht="21">
      <c r="B51" s="406" t="s">
        <v>371</v>
      </c>
      <c r="C51" s="406" t="s">
        <v>880</v>
      </c>
      <c r="D51" s="406" t="s">
        <v>881</v>
      </c>
      <c r="E51" s="406" t="s">
        <v>895</v>
      </c>
    </row>
    <row r="52" spans="2:5" ht="21">
      <c r="B52" s="407" t="s">
        <v>896</v>
      </c>
      <c r="C52" s="407" t="s">
        <v>897</v>
      </c>
      <c r="D52" s="407" t="s">
        <v>897</v>
      </c>
      <c r="E52" s="205" t="s">
        <v>898</v>
      </c>
    </row>
    <row r="53" spans="2:5" ht="21">
      <c r="B53" s="407" t="s">
        <v>899</v>
      </c>
      <c r="C53" s="407" t="s">
        <v>900</v>
      </c>
      <c r="D53" s="407" t="s">
        <v>900</v>
      </c>
      <c r="E53" s="407" t="s">
        <v>901</v>
      </c>
    </row>
    <row r="54" spans="2:5" ht="21">
      <c r="B54" s="407" t="s">
        <v>850</v>
      </c>
      <c r="C54" s="407">
        <v>1351</v>
      </c>
      <c r="D54" s="407">
        <v>1351</v>
      </c>
      <c r="E54" s="205" t="s">
        <v>902</v>
      </c>
    </row>
    <row r="55" spans="2:5" ht="21">
      <c r="B55" s="407" t="s">
        <v>903</v>
      </c>
      <c r="C55" s="407">
        <v>43825</v>
      </c>
      <c r="D55" s="407">
        <v>42850</v>
      </c>
      <c r="E55" s="407" t="s">
        <v>904</v>
      </c>
    </row>
    <row r="56" spans="2:5" ht="21">
      <c r="B56" s="407" t="s">
        <v>252</v>
      </c>
      <c r="C56" s="407" t="s">
        <v>848</v>
      </c>
      <c r="D56" s="407" t="s">
        <v>849</v>
      </c>
      <c r="E56" s="205" t="s">
        <v>905</v>
      </c>
    </row>
    <row r="59" spans="2:5" ht="18" customHeight="1">
      <c r="B59" s="206"/>
    </row>
    <row r="60" spans="2:5" ht="15" customHeight="1">
      <c r="B60" s="405"/>
    </row>
    <row r="61" spans="2:5" ht="15" customHeight="1">
      <c r="B61" s="630" t="s">
        <v>906</v>
      </c>
      <c r="C61" s="631"/>
    </row>
    <row r="62" spans="2:5" ht="15" customHeight="1">
      <c r="B62" s="631"/>
      <c r="C62" s="631"/>
    </row>
    <row r="63" spans="2:5" ht="15" customHeight="1">
      <c r="B63" s="631"/>
      <c r="C63" s="631"/>
    </row>
    <row r="64" spans="2:5" ht="15" customHeight="1">
      <c r="B64" s="631"/>
      <c r="C64" s="631"/>
    </row>
    <row r="65" spans="2:3" ht="15" customHeight="1">
      <c r="B65" s="631"/>
      <c r="C65" s="631"/>
    </row>
    <row r="66" spans="2:3">
      <c r="B66" s="631"/>
      <c r="C66" s="631"/>
    </row>
    <row r="67" spans="2:3">
      <c r="B67" s="631"/>
      <c r="C67" s="631"/>
    </row>
    <row r="68" spans="2:3">
      <c r="B68" s="631"/>
      <c r="C68" s="631"/>
    </row>
    <row r="69" spans="2:3">
      <c r="B69" s="631"/>
      <c r="C69" s="631"/>
    </row>
    <row r="70" spans="2:3">
      <c r="B70" s="631"/>
      <c r="C70" s="631"/>
    </row>
    <row r="71" spans="2:3">
      <c r="B71" s="631"/>
      <c r="C71" s="631"/>
    </row>
    <row r="72" spans="2:3">
      <c r="B72" s="631"/>
      <c r="C72" s="631"/>
    </row>
    <row r="73" spans="2:3">
      <c r="B73" s="631"/>
      <c r="C73" s="631"/>
    </row>
    <row r="74" spans="2:3">
      <c r="B74" s="631"/>
      <c r="C74" s="631"/>
    </row>
  </sheetData>
  <mergeCells count="7">
    <mergeCell ref="B61:C74"/>
    <mergeCell ref="B49:E49"/>
    <mergeCell ref="B7:D7"/>
    <mergeCell ref="B19:E19"/>
    <mergeCell ref="B32:E32"/>
    <mergeCell ref="B47:E47"/>
    <mergeCell ref="B34:D3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54EDA-2722-47B6-B216-52DE8B402746}">
  <dimension ref="B2:N48"/>
  <sheetViews>
    <sheetView workbookViewId="0">
      <selection activeCell="D39" sqref="D39"/>
    </sheetView>
  </sheetViews>
  <sheetFormatPr defaultRowHeight="15"/>
  <cols>
    <col min="2" max="2" width="93.28515625" customWidth="1"/>
    <col min="3" max="3" width="125" customWidth="1"/>
    <col min="4" max="4" width="21.42578125" customWidth="1"/>
    <col min="5" max="5" width="17.7109375" customWidth="1"/>
    <col min="6" max="6" width="21.42578125" customWidth="1"/>
    <col min="7" max="8" width="40.85546875" customWidth="1"/>
    <col min="9" max="9" width="70.140625" customWidth="1"/>
    <col min="10" max="10" width="110.28515625" customWidth="1"/>
    <col min="11" max="11" width="29.28515625" customWidth="1"/>
    <col min="12" max="12" width="40.7109375" customWidth="1"/>
    <col min="13" max="13" width="38.85546875" customWidth="1"/>
  </cols>
  <sheetData>
    <row r="2" spans="2:14" ht="24">
      <c r="B2" s="636" t="s">
        <v>907</v>
      </c>
      <c r="C2" s="636"/>
      <c r="D2" s="636"/>
      <c r="E2" s="636"/>
      <c r="F2" s="636"/>
      <c r="G2" s="636"/>
      <c r="H2" s="636"/>
      <c r="I2" s="636"/>
      <c r="J2" s="636"/>
      <c r="K2" s="636"/>
    </row>
    <row r="4" spans="2:14" ht="21">
      <c r="B4" s="222" t="s">
        <v>908</v>
      </c>
      <c r="C4" s="222" t="s">
        <v>909</v>
      </c>
      <c r="D4" s="222" t="s">
        <v>910</v>
      </c>
      <c r="E4" s="222" t="s">
        <v>911</v>
      </c>
      <c r="F4" s="222" t="s">
        <v>912</v>
      </c>
      <c r="G4" s="230" t="s">
        <v>913</v>
      </c>
      <c r="H4" s="231" t="s">
        <v>914</v>
      </c>
      <c r="I4" s="222" t="s">
        <v>133</v>
      </c>
      <c r="J4" s="231" t="s">
        <v>915</v>
      </c>
      <c r="K4" s="222" t="s">
        <v>916</v>
      </c>
      <c r="L4" s="222" t="s">
        <v>917</v>
      </c>
      <c r="M4" s="222" t="s">
        <v>918</v>
      </c>
      <c r="N4" s="407"/>
    </row>
    <row r="5" spans="2:14" ht="21">
      <c r="B5" s="223" t="s">
        <v>919</v>
      </c>
      <c r="C5" s="223" t="s">
        <v>920</v>
      </c>
      <c r="D5" s="223">
        <v>8</v>
      </c>
      <c r="E5" s="223">
        <v>6</v>
      </c>
      <c r="F5" s="223">
        <v>48</v>
      </c>
      <c r="G5" s="225" t="s">
        <v>921</v>
      </c>
      <c r="H5" s="232" t="s">
        <v>922</v>
      </c>
      <c r="I5" s="223" t="s">
        <v>923</v>
      </c>
      <c r="J5" s="232" t="s">
        <v>924</v>
      </c>
      <c r="K5" s="224">
        <v>3000</v>
      </c>
      <c r="L5" s="223">
        <v>500</v>
      </c>
      <c r="M5" s="223">
        <v>1.5</v>
      </c>
      <c r="N5" s="407"/>
    </row>
    <row r="6" spans="2:14" ht="21">
      <c r="B6" s="223" t="s">
        <v>925</v>
      </c>
      <c r="C6" s="223" t="s">
        <v>926</v>
      </c>
      <c r="D6" s="223">
        <v>6</v>
      </c>
      <c r="E6" s="223">
        <v>5</v>
      </c>
      <c r="F6" s="223">
        <v>30</v>
      </c>
      <c r="G6" s="225" t="s">
        <v>927</v>
      </c>
      <c r="H6" s="232" t="s">
        <v>928</v>
      </c>
      <c r="I6" s="223" t="s">
        <v>929</v>
      </c>
      <c r="J6" s="232" t="s">
        <v>930</v>
      </c>
      <c r="K6" s="224">
        <v>5000</v>
      </c>
      <c r="L6" s="224">
        <v>1000</v>
      </c>
      <c r="M6" s="223" t="s">
        <v>931</v>
      </c>
      <c r="N6" s="407"/>
    </row>
    <row r="7" spans="2:14" ht="21">
      <c r="B7" s="223" t="s">
        <v>932</v>
      </c>
      <c r="C7" s="223" t="s">
        <v>933</v>
      </c>
      <c r="D7" s="223">
        <v>20</v>
      </c>
      <c r="E7" s="223">
        <v>12</v>
      </c>
      <c r="F7" s="223">
        <v>240</v>
      </c>
      <c r="G7" s="225" t="s">
        <v>934</v>
      </c>
      <c r="H7" s="232" t="s">
        <v>935</v>
      </c>
      <c r="I7" s="223" t="s">
        <v>936</v>
      </c>
      <c r="J7" s="232" t="s">
        <v>937</v>
      </c>
      <c r="K7" s="224">
        <v>10000</v>
      </c>
      <c r="L7" s="224">
        <v>1500</v>
      </c>
      <c r="M7" s="223">
        <v>8</v>
      </c>
      <c r="N7" s="407"/>
    </row>
    <row r="8" spans="2:14" ht="21">
      <c r="B8" s="223" t="s">
        <v>938</v>
      </c>
      <c r="C8" s="223" t="s">
        <v>939</v>
      </c>
      <c r="D8" s="223">
        <v>7</v>
      </c>
      <c r="E8" s="223">
        <v>5</v>
      </c>
      <c r="F8" s="223">
        <v>35</v>
      </c>
      <c r="G8" s="225" t="s">
        <v>940</v>
      </c>
      <c r="H8" s="232" t="s">
        <v>941</v>
      </c>
      <c r="I8" s="223" t="s">
        <v>942</v>
      </c>
      <c r="J8" s="232" t="s">
        <v>943</v>
      </c>
      <c r="K8" s="224">
        <v>6000</v>
      </c>
      <c r="L8" s="224">
        <v>1000</v>
      </c>
      <c r="M8" s="223">
        <v>2</v>
      </c>
      <c r="N8" s="407"/>
    </row>
    <row r="9" spans="2:14" ht="21">
      <c r="B9" s="223" t="s">
        <v>944</v>
      </c>
      <c r="C9" s="223" t="s">
        <v>945</v>
      </c>
      <c r="D9" s="223">
        <v>5</v>
      </c>
      <c r="E9" s="223">
        <v>4</v>
      </c>
      <c r="F9" s="223">
        <v>20</v>
      </c>
      <c r="G9" s="226" t="s">
        <v>946</v>
      </c>
      <c r="H9" s="232" t="s">
        <v>947</v>
      </c>
      <c r="I9" s="223" t="s">
        <v>948</v>
      </c>
      <c r="J9" s="232" t="s">
        <v>949</v>
      </c>
      <c r="K9" s="224">
        <v>8000</v>
      </c>
      <c r="L9" s="224">
        <v>1200</v>
      </c>
      <c r="M9" s="223">
        <v>5</v>
      </c>
      <c r="N9" s="407"/>
    </row>
    <row r="10" spans="2:14" ht="21">
      <c r="B10" s="223" t="s">
        <v>950</v>
      </c>
      <c r="C10" s="223" t="s">
        <v>951</v>
      </c>
      <c r="D10" s="223">
        <v>8</v>
      </c>
      <c r="E10" s="223">
        <v>6</v>
      </c>
      <c r="F10" s="223">
        <v>48</v>
      </c>
      <c r="G10" s="225" t="s">
        <v>921</v>
      </c>
      <c r="H10" s="232" t="s">
        <v>922</v>
      </c>
      <c r="I10" s="223" t="s">
        <v>952</v>
      </c>
      <c r="J10" s="232" t="s">
        <v>953</v>
      </c>
      <c r="K10" s="224">
        <v>2000</v>
      </c>
      <c r="L10" s="223">
        <v>400</v>
      </c>
      <c r="M10" s="223">
        <v>1</v>
      </c>
      <c r="N10" s="407"/>
    </row>
    <row r="11" spans="2:14" ht="21">
      <c r="B11" s="223" t="s">
        <v>954</v>
      </c>
      <c r="C11" s="223" t="s">
        <v>955</v>
      </c>
      <c r="D11" s="223">
        <v>4</v>
      </c>
      <c r="E11" s="223">
        <v>3</v>
      </c>
      <c r="F11" s="223">
        <v>12</v>
      </c>
      <c r="G11" s="225" t="s">
        <v>956</v>
      </c>
      <c r="H11" s="232" t="s">
        <v>956</v>
      </c>
      <c r="I11" s="223" t="s">
        <v>957</v>
      </c>
      <c r="J11" s="232" t="s">
        <v>958</v>
      </c>
      <c r="K11" s="224">
        <v>12000</v>
      </c>
      <c r="L11" s="224">
        <v>2000</v>
      </c>
      <c r="M11" s="223" t="s">
        <v>956</v>
      </c>
      <c r="N11" s="407"/>
    </row>
    <row r="12" spans="2:14" ht="21">
      <c r="B12" s="223" t="s">
        <v>959</v>
      </c>
      <c r="C12" s="223" t="s">
        <v>960</v>
      </c>
      <c r="D12" s="223">
        <v>6</v>
      </c>
      <c r="E12" s="223">
        <v>4</v>
      </c>
      <c r="F12" s="223">
        <v>24</v>
      </c>
      <c r="G12" s="225" t="s">
        <v>961</v>
      </c>
      <c r="H12" s="232" t="s">
        <v>922</v>
      </c>
      <c r="I12" s="223" t="s">
        <v>962</v>
      </c>
      <c r="J12" s="232" t="s">
        <v>963</v>
      </c>
      <c r="K12" s="224">
        <v>5000</v>
      </c>
      <c r="L12" s="223">
        <v>800</v>
      </c>
      <c r="M12" s="223">
        <v>0.5</v>
      </c>
      <c r="N12" s="407"/>
    </row>
    <row r="15" spans="2:14" ht="20.25">
      <c r="B15" s="229" t="s">
        <v>964</v>
      </c>
    </row>
    <row r="16" spans="2:14" ht="20.25">
      <c r="B16" s="227" t="s">
        <v>965</v>
      </c>
      <c r="C16" s="222" t="s">
        <v>966</v>
      </c>
    </row>
    <row r="17" spans="2:3" ht="20.25">
      <c r="B17" s="227" t="s">
        <v>967</v>
      </c>
      <c r="C17" s="233" t="s">
        <v>968</v>
      </c>
    </row>
    <row r="18" spans="2:3" ht="20.25">
      <c r="B18" s="227" t="s">
        <v>969</v>
      </c>
      <c r="C18" s="233" t="s">
        <v>970</v>
      </c>
    </row>
    <row r="19" spans="2:3" ht="20.25">
      <c r="B19" s="227" t="s">
        <v>971</v>
      </c>
      <c r="C19" s="235"/>
    </row>
    <row r="20" spans="2:3" ht="20.25">
      <c r="B20" s="227" t="s">
        <v>972</v>
      </c>
      <c r="C20" s="234"/>
    </row>
    <row r="21" spans="2:3" ht="20.25">
      <c r="B21" s="228" t="s">
        <v>973</v>
      </c>
      <c r="C21" s="234"/>
    </row>
    <row r="22" spans="2:3" ht="20.25">
      <c r="B22" s="228" t="s">
        <v>974</v>
      </c>
    </row>
    <row r="23" spans="2:3" ht="20.25">
      <c r="B23" s="233" t="s">
        <v>975</v>
      </c>
    </row>
    <row r="28" spans="2:3" ht="15" customHeight="1">
      <c r="B28" s="250"/>
      <c r="C28" s="637" t="s">
        <v>976</v>
      </c>
    </row>
    <row r="29" spans="2:3">
      <c r="C29" s="637"/>
    </row>
    <row r="30" spans="2:3">
      <c r="C30" s="637"/>
    </row>
    <row r="31" spans="2:3">
      <c r="C31" s="637"/>
    </row>
    <row r="32" spans="2:3">
      <c r="C32" s="637"/>
    </row>
    <row r="33" spans="3:3">
      <c r="C33" s="637"/>
    </row>
    <row r="34" spans="3:3">
      <c r="C34" s="637"/>
    </row>
    <row r="35" spans="3:3">
      <c r="C35" s="637"/>
    </row>
    <row r="36" spans="3:3">
      <c r="C36" s="637"/>
    </row>
    <row r="37" spans="3:3">
      <c r="C37" s="637"/>
    </row>
    <row r="38" spans="3:3">
      <c r="C38" s="637"/>
    </row>
    <row r="39" spans="3:3">
      <c r="C39" s="637"/>
    </row>
    <row r="40" spans="3:3">
      <c r="C40" s="637"/>
    </row>
    <row r="41" spans="3:3">
      <c r="C41" s="637"/>
    </row>
    <row r="42" spans="3:3">
      <c r="C42" s="637"/>
    </row>
    <row r="43" spans="3:3">
      <c r="C43" s="637"/>
    </row>
    <row r="44" spans="3:3">
      <c r="C44" s="637"/>
    </row>
    <row r="45" spans="3:3">
      <c r="C45" s="637"/>
    </row>
    <row r="46" spans="3:3">
      <c r="C46" s="637"/>
    </row>
    <row r="47" spans="3:3">
      <c r="C47" s="637"/>
    </row>
    <row r="48" spans="3:3">
      <c r="C48" s="637"/>
    </row>
  </sheetData>
  <mergeCells count="2">
    <mergeCell ref="B2:K2"/>
    <mergeCell ref="C28:C48"/>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53FAB-D4DF-4407-AE90-24D8E540EE36}">
  <dimension ref="A1:I48"/>
  <sheetViews>
    <sheetView topLeftCell="A27" workbookViewId="0">
      <selection activeCell="L34" sqref="L34"/>
    </sheetView>
  </sheetViews>
  <sheetFormatPr defaultRowHeight="15"/>
  <cols>
    <col min="1" max="1" width="19.85546875" bestFit="1" customWidth="1"/>
    <col min="2" max="2" width="34.42578125" bestFit="1" customWidth="1"/>
    <col min="3" max="3" width="58.140625" customWidth="1"/>
    <col min="4" max="4" width="32.85546875" customWidth="1"/>
    <col min="5" max="5" width="21.7109375" customWidth="1"/>
    <col min="6" max="6" width="10.85546875" bestFit="1" customWidth="1"/>
  </cols>
  <sheetData>
    <row r="1" spans="1:5">
      <c r="A1" s="32"/>
      <c r="B1" s="32"/>
      <c r="C1" s="32"/>
      <c r="D1" s="32"/>
    </row>
    <row r="2" spans="1:5">
      <c r="A2" s="30"/>
      <c r="B2" s="30"/>
      <c r="C2" s="30"/>
      <c r="D2" s="31"/>
    </row>
    <row r="3" spans="1:5">
      <c r="A3" s="30"/>
      <c r="B3" s="30"/>
      <c r="C3" s="30"/>
      <c r="D3" s="31"/>
    </row>
    <row r="4" spans="1:5">
      <c r="A4" s="30"/>
      <c r="B4" s="30"/>
      <c r="C4" s="30"/>
      <c r="D4" s="31"/>
    </row>
    <row r="5" spans="1:5">
      <c r="A5" s="30"/>
      <c r="B5" s="30"/>
      <c r="C5" s="30"/>
      <c r="D5" s="31"/>
    </row>
    <row r="6" spans="1:5">
      <c r="A6" s="30"/>
      <c r="B6" s="30"/>
      <c r="C6" s="30"/>
      <c r="D6" s="31"/>
    </row>
    <row r="9" spans="1:5">
      <c r="B9" s="33"/>
      <c r="C9" s="33"/>
    </row>
    <row r="10" spans="1:5">
      <c r="B10" s="33"/>
      <c r="C10" s="33"/>
    </row>
    <row r="14" spans="1:5" ht="18.75">
      <c r="C14" s="185" t="s">
        <v>977</v>
      </c>
      <c r="D14" s="185"/>
      <c r="E14" s="185"/>
    </row>
    <row r="17" spans="2:9">
      <c r="B17" s="137" t="s">
        <v>978</v>
      </c>
      <c r="C17" s="137" t="s">
        <v>979</v>
      </c>
      <c r="D17" s="137" t="s">
        <v>980</v>
      </c>
      <c r="E17" s="137" t="s">
        <v>981</v>
      </c>
      <c r="F17" s="137" t="s">
        <v>982</v>
      </c>
    </row>
    <row r="18" spans="2:9">
      <c r="B18" s="132" t="s">
        <v>983</v>
      </c>
      <c r="C18" s="133">
        <v>80</v>
      </c>
      <c r="D18" s="133">
        <v>160</v>
      </c>
      <c r="E18" s="133">
        <v>80</v>
      </c>
      <c r="F18" s="134">
        <v>1</v>
      </c>
    </row>
    <row r="19" spans="2:9">
      <c r="B19" s="132" t="s">
        <v>984</v>
      </c>
      <c r="C19" s="133" t="s">
        <v>985</v>
      </c>
      <c r="D19" s="133" t="s">
        <v>986</v>
      </c>
      <c r="E19" s="135" t="s">
        <v>987</v>
      </c>
      <c r="F19" s="132" t="s">
        <v>988</v>
      </c>
    </row>
    <row r="20" spans="2:9">
      <c r="B20" s="132" t="s">
        <v>989</v>
      </c>
      <c r="C20" s="133" t="s">
        <v>990</v>
      </c>
      <c r="D20" s="133">
        <v>0</v>
      </c>
      <c r="E20" s="135" t="s">
        <v>991</v>
      </c>
      <c r="F20" s="134">
        <v>1</v>
      </c>
    </row>
    <row r="21" spans="2:9">
      <c r="B21" s="132" t="s">
        <v>992</v>
      </c>
      <c r="C21" s="136">
        <v>0.55000000000000004</v>
      </c>
      <c r="D21" s="136">
        <v>0.85</v>
      </c>
      <c r="E21" s="136">
        <v>0.3</v>
      </c>
      <c r="F21" s="132" t="s">
        <v>993</v>
      </c>
    </row>
    <row r="22" spans="2:9">
      <c r="B22" s="132" t="s">
        <v>994</v>
      </c>
      <c r="C22" s="136">
        <v>0.6</v>
      </c>
      <c r="D22" s="136">
        <v>0.92</v>
      </c>
      <c r="E22" s="136">
        <v>0.32</v>
      </c>
      <c r="F22" s="132" t="s">
        <v>995</v>
      </c>
    </row>
    <row r="23" spans="2:9">
      <c r="B23" s="132" t="s">
        <v>996</v>
      </c>
      <c r="C23" s="133">
        <v>5</v>
      </c>
      <c r="D23" s="133">
        <v>9</v>
      </c>
      <c r="E23" s="133">
        <v>4</v>
      </c>
      <c r="F23" s="134">
        <v>0.8</v>
      </c>
    </row>
    <row r="26" spans="2:9">
      <c r="C26" s="669" t="s">
        <v>997</v>
      </c>
      <c r="D26" s="670"/>
    </row>
    <row r="27" spans="2:9">
      <c r="C27" s="670"/>
      <c r="D27" s="670"/>
    </row>
    <row r="29" spans="2:9">
      <c r="B29" s="638" t="s">
        <v>998</v>
      </c>
      <c r="C29" s="638" t="s">
        <v>999</v>
      </c>
      <c r="D29" s="638" t="s">
        <v>1000</v>
      </c>
      <c r="E29" s="640" t="s">
        <v>1001</v>
      </c>
      <c r="F29" s="641"/>
      <c r="G29" s="642"/>
      <c r="H29" s="640" t="s">
        <v>1002</v>
      </c>
      <c r="I29" s="642"/>
    </row>
    <row r="30" spans="2:9">
      <c r="B30" s="639"/>
      <c r="C30" s="639"/>
      <c r="D30" s="639"/>
      <c r="E30" s="643"/>
      <c r="F30" s="644"/>
      <c r="G30" s="645"/>
      <c r="H30" s="643"/>
      <c r="I30" s="645"/>
    </row>
    <row r="31" spans="2:9">
      <c r="B31" s="179" t="s">
        <v>1003</v>
      </c>
      <c r="C31" s="180" t="s">
        <v>1004</v>
      </c>
      <c r="D31" s="653" t="s">
        <v>1005</v>
      </c>
      <c r="E31" s="655" t="s">
        <v>1006</v>
      </c>
      <c r="F31" s="656"/>
      <c r="G31" s="657"/>
      <c r="H31" s="661" t="s">
        <v>1007</v>
      </c>
      <c r="I31" s="662"/>
    </row>
    <row r="32" spans="2:9">
      <c r="B32" s="179" t="s">
        <v>1008</v>
      </c>
      <c r="C32" s="181" t="s">
        <v>1009</v>
      </c>
      <c r="D32" s="654"/>
      <c r="E32" s="658"/>
      <c r="F32" s="659"/>
      <c r="G32" s="660"/>
      <c r="H32" s="646" t="s">
        <v>1010</v>
      </c>
      <c r="I32" s="647"/>
    </row>
    <row r="33" spans="2:9">
      <c r="B33" s="179" t="s">
        <v>1011</v>
      </c>
      <c r="C33" s="181" t="s">
        <v>1012</v>
      </c>
      <c r="D33" s="654"/>
      <c r="E33" s="650"/>
      <c r="F33" s="513"/>
      <c r="G33" s="398"/>
      <c r="H33" s="646" t="s">
        <v>1013</v>
      </c>
      <c r="I33" s="647"/>
    </row>
    <row r="34" spans="2:9">
      <c r="B34" s="648" t="s">
        <v>1014</v>
      </c>
      <c r="C34" s="181" t="s">
        <v>1015</v>
      </c>
      <c r="D34" s="649" t="s">
        <v>1016</v>
      </c>
      <c r="E34" s="650"/>
      <c r="F34" s="513"/>
      <c r="G34" s="398"/>
      <c r="H34" s="646"/>
      <c r="I34" s="647"/>
    </row>
    <row r="35" spans="2:9">
      <c r="B35" s="648"/>
      <c r="C35" s="181" t="s">
        <v>1017</v>
      </c>
      <c r="D35" s="649"/>
      <c r="E35" s="651"/>
      <c r="F35" s="652"/>
      <c r="G35" s="398"/>
      <c r="H35" s="646"/>
      <c r="I35" s="647"/>
    </row>
    <row r="36" spans="2:9" ht="18.75">
      <c r="B36" s="179"/>
      <c r="C36" s="182" t="s">
        <v>1018</v>
      </c>
      <c r="D36" s="649" t="s">
        <v>1019</v>
      </c>
      <c r="E36" s="663" t="s">
        <v>1020</v>
      </c>
      <c r="F36" s="664"/>
      <c r="G36" s="665"/>
      <c r="H36" s="650"/>
      <c r="I36" s="666"/>
    </row>
    <row r="37" spans="2:9">
      <c r="B37" s="179"/>
      <c r="C37" s="180" t="s">
        <v>1021</v>
      </c>
      <c r="D37" s="649"/>
      <c r="E37" s="655" t="s">
        <v>1022</v>
      </c>
      <c r="F37" s="656"/>
      <c r="G37" s="657"/>
      <c r="H37" s="650"/>
      <c r="I37" s="666"/>
    </row>
    <row r="38" spans="2:9">
      <c r="B38" s="179"/>
      <c r="C38" s="181" t="s">
        <v>1023</v>
      </c>
      <c r="D38" s="667"/>
      <c r="E38" s="658"/>
      <c r="F38" s="659"/>
      <c r="G38" s="660"/>
      <c r="H38" s="650"/>
      <c r="I38" s="666"/>
    </row>
    <row r="39" spans="2:9">
      <c r="B39" s="179"/>
      <c r="C39" s="181" t="s">
        <v>1024</v>
      </c>
      <c r="D39" s="667"/>
      <c r="E39" s="658" t="s">
        <v>1025</v>
      </c>
      <c r="F39" s="659"/>
      <c r="G39" s="660"/>
      <c r="H39" s="650"/>
      <c r="I39" s="666"/>
    </row>
    <row r="40" spans="2:9">
      <c r="B40" s="179"/>
      <c r="C40" s="181" t="s">
        <v>1026</v>
      </c>
      <c r="E40" s="658"/>
      <c r="F40" s="659"/>
      <c r="G40" s="660"/>
      <c r="H40" s="650"/>
      <c r="I40" s="666"/>
    </row>
    <row r="41" spans="2:9">
      <c r="B41" s="179"/>
      <c r="C41" s="183"/>
      <c r="E41" s="651"/>
      <c r="F41" s="652"/>
      <c r="G41" s="668"/>
      <c r="H41" s="651"/>
      <c r="I41" s="668"/>
    </row>
    <row r="42" spans="2:9" ht="18.75">
      <c r="B42" s="663" t="s">
        <v>1027</v>
      </c>
      <c r="C42" s="665"/>
      <c r="D42" s="663" t="s">
        <v>1028</v>
      </c>
      <c r="E42" s="664"/>
      <c r="F42" s="664"/>
      <c r="G42" s="664"/>
      <c r="H42" s="664"/>
      <c r="I42" s="665"/>
    </row>
    <row r="43" spans="2:9">
      <c r="B43" s="674" t="s">
        <v>1029</v>
      </c>
      <c r="C43" s="675"/>
      <c r="D43" s="674" t="s">
        <v>1030</v>
      </c>
      <c r="E43" s="676"/>
      <c r="F43" s="676"/>
      <c r="G43" s="676"/>
      <c r="H43" s="676"/>
      <c r="I43" s="675"/>
    </row>
    <row r="44" spans="2:9">
      <c r="B44" s="671" t="s">
        <v>1031</v>
      </c>
      <c r="C44" s="672"/>
      <c r="D44" s="671" t="s">
        <v>1032</v>
      </c>
      <c r="E44" s="673"/>
      <c r="F44" s="673"/>
      <c r="G44" s="673"/>
      <c r="H44" s="673"/>
      <c r="I44" s="672"/>
    </row>
    <row r="45" spans="2:9">
      <c r="B45" s="671" t="s">
        <v>1033</v>
      </c>
      <c r="C45" s="672"/>
      <c r="D45" s="671" t="s">
        <v>1034</v>
      </c>
      <c r="E45" s="673"/>
      <c r="F45" s="673"/>
      <c r="G45" s="673"/>
      <c r="H45" s="673"/>
      <c r="I45" s="672"/>
    </row>
    <row r="46" spans="2:9">
      <c r="B46" s="671" t="s">
        <v>1035</v>
      </c>
      <c r="C46" s="672"/>
      <c r="D46" s="184"/>
      <c r="E46" s="184"/>
      <c r="F46" s="184"/>
      <c r="G46" s="184"/>
      <c r="H46" s="184"/>
      <c r="I46" s="184"/>
    </row>
    <row r="47" spans="2:9">
      <c r="B47" s="650"/>
      <c r="C47" s="666"/>
      <c r="D47" s="650"/>
      <c r="E47" s="513"/>
      <c r="F47" s="513"/>
      <c r="G47" s="513"/>
      <c r="H47" s="513"/>
      <c r="I47" s="666"/>
    </row>
    <row r="48" spans="2:9">
      <c r="B48" s="651"/>
      <c r="C48" s="668"/>
      <c r="D48" s="651"/>
      <c r="E48" s="652"/>
      <c r="F48" s="652"/>
      <c r="G48" s="652"/>
      <c r="H48" s="652"/>
      <c r="I48" s="668"/>
    </row>
  </sheetData>
  <mergeCells count="43">
    <mergeCell ref="B48:C48"/>
    <mergeCell ref="D48:I48"/>
    <mergeCell ref="C26:D27"/>
    <mergeCell ref="B44:C44"/>
    <mergeCell ref="D44:I44"/>
    <mergeCell ref="B45:C45"/>
    <mergeCell ref="D45:I45"/>
    <mergeCell ref="B46:C46"/>
    <mergeCell ref="B47:C47"/>
    <mergeCell ref="D47:I47"/>
    <mergeCell ref="E41:G41"/>
    <mergeCell ref="H41:I41"/>
    <mergeCell ref="B42:C42"/>
    <mergeCell ref="D42:I42"/>
    <mergeCell ref="B43:C43"/>
    <mergeCell ref="D43:I43"/>
    <mergeCell ref="D36:D37"/>
    <mergeCell ref="E36:G36"/>
    <mergeCell ref="H36:I36"/>
    <mergeCell ref="E37:G38"/>
    <mergeCell ref="H37:I37"/>
    <mergeCell ref="D38:D39"/>
    <mergeCell ref="H38:I38"/>
    <mergeCell ref="E39:G40"/>
    <mergeCell ref="H39:I39"/>
    <mergeCell ref="H40:I40"/>
    <mergeCell ref="H33:I33"/>
    <mergeCell ref="B34:B35"/>
    <mergeCell ref="D34:D35"/>
    <mergeCell ref="E34:F34"/>
    <mergeCell ref="H34:I34"/>
    <mergeCell ref="E35:F35"/>
    <mergeCell ref="H35:I35"/>
    <mergeCell ref="D31:D33"/>
    <mergeCell ref="E31:G32"/>
    <mergeCell ref="H31:I31"/>
    <mergeCell ref="H32:I32"/>
    <mergeCell ref="E33:F33"/>
    <mergeCell ref="B29:B30"/>
    <mergeCell ref="C29:C30"/>
    <mergeCell ref="D29:D30"/>
    <mergeCell ref="E29:G30"/>
    <mergeCell ref="H29:I30"/>
  </mergeCell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08243-7A27-4CF1-A63F-80603506DB4B}">
  <dimension ref="A1:D27"/>
  <sheetViews>
    <sheetView workbookViewId="0">
      <selection activeCell="A20" sqref="A20"/>
    </sheetView>
  </sheetViews>
  <sheetFormatPr defaultRowHeight="15"/>
  <cols>
    <col min="1" max="1" width="57" customWidth="1"/>
    <col min="2" max="2" width="47.140625" customWidth="1"/>
    <col min="3" max="3" width="62.5703125" customWidth="1"/>
    <col min="4" max="4" width="43.85546875" customWidth="1"/>
  </cols>
  <sheetData>
    <row r="1" spans="1:4" ht="16.5">
      <c r="A1" s="336" t="s">
        <v>371</v>
      </c>
      <c r="B1" s="336" t="s">
        <v>801</v>
      </c>
      <c r="C1" s="337" t="s">
        <v>281</v>
      </c>
      <c r="D1" s="336" t="s">
        <v>379</v>
      </c>
    </row>
    <row r="2" spans="1:4" ht="15.75">
      <c r="A2" s="336" t="s">
        <v>1036</v>
      </c>
      <c r="B2" s="333"/>
      <c r="C2" s="334"/>
      <c r="D2" s="333"/>
    </row>
    <row r="3" spans="1:4" ht="16.5">
      <c r="A3" s="333" t="s">
        <v>1037</v>
      </c>
      <c r="B3" s="333" t="s">
        <v>1038</v>
      </c>
      <c r="C3" s="334" t="s">
        <v>1039</v>
      </c>
      <c r="D3" s="333" t="s">
        <v>1040</v>
      </c>
    </row>
    <row r="4" spans="1:4" ht="32.25">
      <c r="A4" s="333" t="s">
        <v>1041</v>
      </c>
      <c r="B4" s="333" t="s">
        <v>1038</v>
      </c>
      <c r="C4" s="334" t="s">
        <v>1042</v>
      </c>
      <c r="D4" s="333" t="s">
        <v>1043</v>
      </c>
    </row>
    <row r="5" spans="1:4" ht="16.5">
      <c r="A5" s="333" t="s">
        <v>1044</v>
      </c>
      <c r="B5" s="333" t="s">
        <v>1038</v>
      </c>
      <c r="C5" s="334" t="s">
        <v>1045</v>
      </c>
      <c r="D5" s="333" t="s">
        <v>1046</v>
      </c>
    </row>
    <row r="6" spans="1:4" ht="16.5">
      <c r="A6" s="333" t="s">
        <v>1047</v>
      </c>
      <c r="B6" s="333" t="s">
        <v>1038</v>
      </c>
      <c r="C6" s="334" t="s">
        <v>404</v>
      </c>
      <c r="D6" s="333" t="s">
        <v>1048</v>
      </c>
    </row>
    <row r="7" spans="1:4" ht="15.75">
      <c r="A7" s="336" t="s">
        <v>1049</v>
      </c>
      <c r="B7" s="333"/>
      <c r="C7" s="334"/>
      <c r="D7" s="333"/>
    </row>
    <row r="8" spans="1:4" ht="15.75">
      <c r="A8" s="333" t="s">
        <v>1050</v>
      </c>
      <c r="B8" s="333" t="s">
        <v>1051</v>
      </c>
      <c r="C8" s="334">
        <v>9</v>
      </c>
      <c r="D8" s="333" t="s">
        <v>1052</v>
      </c>
    </row>
    <row r="9" spans="1:4" ht="15.75">
      <c r="A9" s="333" t="s">
        <v>1053</v>
      </c>
      <c r="B9" s="333" t="s">
        <v>1054</v>
      </c>
      <c r="C9" s="334">
        <v>140</v>
      </c>
      <c r="D9" s="333" t="s">
        <v>1055</v>
      </c>
    </row>
    <row r="10" spans="1:4" ht="15.75">
      <c r="A10" s="333" t="s">
        <v>1056</v>
      </c>
      <c r="B10" s="333" t="s">
        <v>1054</v>
      </c>
      <c r="C10" s="334">
        <v>190</v>
      </c>
      <c r="D10" s="333" t="s">
        <v>1057</v>
      </c>
    </row>
    <row r="11" spans="1:4" ht="15.75">
      <c r="A11" s="333" t="s">
        <v>1058</v>
      </c>
      <c r="B11" s="333" t="s">
        <v>1054</v>
      </c>
      <c r="C11" s="334">
        <v>110</v>
      </c>
      <c r="D11" s="333" t="s">
        <v>1059</v>
      </c>
    </row>
    <row r="12" spans="1:4" ht="15.75">
      <c r="A12" s="333" t="s">
        <v>1060</v>
      </c>
      <c r="B12" s="333" t="s">
        <v>1054</v>
      </c>
      <c r="C12" s="335">
        <v>1400</v>
      </c>
      <c r="D12" s="333" t="s">
        <v>1061</v>
      </c>
    </row>
    <row r="13" spans="1:4" ht="15.75">
      <c r="A13" s="333" t="s">
        <v>1062</v>
      </c>
      <c r="B13" s="333" t="s">
        <v>1054</v>
      </c>
      <c r="C13" s="334">
        <v>480</v>
      </c>
      <c r="D13" s="333" t="s">
        <v>1063</v>
      </c>
    </row>
    <row r="14" spans="1:4" ht="15.75">
      <c r="A14" s="336" t="s">
        <v>1064</v>
      </c>
      <c r="B14" s="333" t="s">
        <v>404</v>
      </c>
      <c r="C14" s="335">
        <v>10700</v>
      </c>
      <c r="D14" s="333" t="s">
        <v>1065</v>
      </c>
    </row>
    <row r="15" spans="1:4" ht="15.75">
      <c r="A15" s="336" t="s">
        <v>1066</v>
      </c>
      <c r="B15" s="333" t="s">
        <v>404</v>
      </c>
      <c r="C15" s="335">
        <v>9400</v>
      </c>
      <c r="D15" s="333" t="s">
        <v>1067</v>
      </c>
    </row>
    <row r="16" spans="1:4" ht="15.75">
      <c r="A16" s="336" t="s">
        <v>1068</v>
      </c>
      <c r="B16" s="333"/>
      <c r="C16" s="334"/>
      <c r="D16" s="333"/>
    </row>
    <row r="17" spans="1:4" ht="15.75">
      <c r="A17" s="333" t="s">
        <v>1069</v>
      </c>
      <c r="B17" s="333" t="s">
        <v>394</v>
      </c>
      <c r="C17" s="335">
        <v>2000</v>
      </c>
      <c r="D17" s="333" t="s">
        <v>1070</v>
      </c>
    </row>
    <row r="18" spans="1:4" ht="15.75">
      <c r="A18" s="333" t="s">
        <v>1071</v>
      </c>
      <c r="B18" s="333" t="s">
        <v>394</v>
      </c>
      <c r="C18" s="335">
        <v>2000</v>
      </c>
      <c r="D18" s="333" t="s">
        <v>1072</v>
      </c>
    </row>
    <row r="19" spans="1:4" ht="15.75">
      <c r="A19" s="333" t="s">
        <v>1073</v>
      </c>
      <c r="B19" s="333" t="s">
        <v>394</v>
      </c>
      <c r="C19" s="335">
        <v>5400</v>
      </c>
      <c r="D19" s="333" t="s">
        <v>1074</v>
      </c>
    </row>
    <row r="20" spans="1:4" ht="15.75">
      <c r="A20" s="336" t="s">
        <v>1075</v>
      </c>
      <c r="B20" s="333" t="s">
        <v>394</v>
      </c>
      <c r="C20" s="335">
        <v>9400</v>
      </c>
      <c r="D20" s="333" t="s">
        <v>1076</v>
      </c>
    </row>
    <row r="21" spans="1:4" ht="16.5">
      <c r="A21" s="336" t="s">
        <v>252</v>
      </c>
      <c r="B21" s="333" t="s">
        <v>437</v>
      </c>
      <c r="C21" s="334" t="s">
        <v>1077</v>
      </c>
      <c r="D21" s="333" t="s">
        <v>1078</v>
      </c>
    </row>
    <row r="22" spans="1:4" ht="15.75">
      <c r="A22" s="336" t="s">
        <v>1079</v>
      </c>
      <c r="B22" s="333"/>
      <c r="C22" s="334"/>
      <c r="D22" s="333"/>
    </row>
    <row r="23" spans="1:4" ht="16.5">
      <c r="A23" s="333" t="s">
        <v>402</v>
      </c>
      <c r="B23" s="333" t="s">
        <v>1080</v>
      </c>
      <c r="C23" s="334" t="s">
        <v>956</v>
      </c>
      <c r="D23" s="333"/>
    </row>
    <row r="24" spans="1:4" ht="16.5">
      <c r="A24" s="333" t="s">
        <v>404</v>
      </c>
      <c r="B24" s="333" t="s">
        <v>1081</v>
      </c>
      <c r="C24" s="334" t="s">
        <v>956</v>
      </c>
      <c r="D24" s="333"/>
    </row>
    <row r="25" spans="1:4" ht="16.5">
      <c r="A25" s="333" t="s">
        <v>1082</v>
      </c>
      <c r="B25" s="333" t="s">
        <v>1083</v>
      </c>
      <c r="C25" s="334" t="s">
        <v>956</v>
      </c>
      <c r="D25" s="333"/>
    </row>
    <row r="26" spans="1:4" ht="16.5">
      <c r="A26" s="333" t="s">
        <v>956</v>
      </c>
      <c r="B26" s="333" t="s">
        <v>1084</v>
      </c>
      <c r="C26" s="334" t="s">
        <v>956</v>
      </c>
      <c r="D26" s="333" t="s">
        <v>1085</v>
      </c>
    </row>
    <row r="27" spans="1:4" ht="16.5">
      <c r="A27" s="333" t="s">
        <v>1086</v>
      </c>
      <c r="B27" s="333" t="s">
        <v>1087</v>
      </c>
      <c r="C27" s="334" t="s">
        <v>956</v>
      </c>
      <c r="D27" s="333" t="s">
        <v>1088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Bénéwendé Arcus Marie ZOUNGRANA</cp:lastModifiedBy>
  <cp:revision/>
  <dcterms:created xsi:type="dcterms:W3CDTF">2025-09-13T16:22:16Z</dcterms:created>
  <dcterms:modified xsi:type="dcterms:W3CDTF">2025-11-06T16:03:20Z</dcterms:modified>
  <cp:category/>
  <cp:contentStatus/>
</cp:coreProperties>
</file>