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suta-my.sharepoint.com/personal/yxk2250_mavs_uta_edu/Documents/MSQF/Derivatives/case study/"/>
    </mc:Choice>
  </mc:AlternateContent>
  <xr:revisionPtr revIDLastSave="309" documentId="8_{DA855B59-0F66-4BDF-8309-34D18D0316E9}" xr6:coauthVersionLast="47" xr6:coauthVersionMax="47" xr10:uidLastSave="{8AAE8CCB-3462-478B-95A8-10CF88D6919F}"/>
  <bookViews>
    <workbookView xWindow="4020" yWindow="4020" windowWidth="21600" windowHeight="11295" xr2:uid="{BF8C25E2-15D2-4DCC-B035-DD5886FE152F}"/>
  </bookViews>
  <sheets>
    <sheet name="Sheet1" sheetId="1" r:id="rId1"/>
  </sheets>
  <definedNames>
    <definedName name="solver_adj" localSheetId="0" hidden="1">Sheet1!$C$14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Sheet1!$B$37</definedName>
    <definedName name="solver_lhs2" localSheetId="0" hidden="1">Sheet1!$C$15</definedName>
    <definedName name="solver_lhs3" localSheetId="0" hidden="1">Sheet1!$C$15</definedName>
    <definedName name="solver_lhs4" localSheetId="0" hidden="1">Sheet1!$C$15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Sheet1!$B$38</definedName>
    <definedName name="solver_rhs2" localSheetId="0" hidden="1">0.0008</definedName>
    <definedName name="solver_rhs3" localSheetId="0" hidden="1">0.0008</definedName>
    <definedName name="solver_rhs4" localSheetId="0" hidden="1">0.0008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F80" i="1"/>
  <c r="B60" i="1"/>
  <c r="C60" i="1" s="1"/>
  <c r="E59" i="1" s="1"/>
  <c r="B62" i="1"/>
  <c r="C62" i="1" s="1"/>
  <c r="E61" i="1" s="1"/>
  <c r="B64" i="1"/>
  <c r="C64" i="1" s="1"/>
  <c r="E63" i="1" s="1"/>
  <c r="B66" i="1"/>
  <c r="C66" i="1" s="1"/>
  <c r="E65" i="1" s="1"/>
  <c r="B68" i="1"/>
  <c r="C68" i="1" s="1"/>
  <c r="E67" i="1" s="1"/>
  <c r="B70" i="1"/>
  <c r="C70" i="1" s="1"/>
  <c r="E69" i="1" s="1"/>
  <c r="B72" i="1"/>
  <c r="C72" i="1" s="1"/>
  <c r="E71" i="1" s="1"/>
  <c r="B58" i="1"/>
  <c r="C58" i="1" s="1"/>
  <c r="E57" i="1" s="1"/>
  <c r="C16" i="1"/>
  <c r="C50" i="1"/>
  <c r="C45" i="1"/>
  <c r="B34" i="1"/>
  <c r="B38" i="1" s="1"/>
  <c r="C25" i="1"/>
  <c r="B25" i="1"/>
  <c r="D13" i="1"/>
  <c r="C10" i="1"/>
  <c r="F81" i="1" s="1"/>
  <c r="D73" i="1"/>
  <c r="I95" i="1"/>
  <c r="I73" i="1"/>
  <c r="G95" i="1"/>
  <c r="C73" i="1"/>
  <c r="B95" i="1"/>
  <c r="B29" i="1"/>
  <c r="H95" i="1"/>
  <c r="E13" i="1"/>
  <c r="F95" i="1"/>
  <c r="D16" i="1"/>
  <c r="F73" i="1"/>
  <c r="C26" i="1"/>
  <c r="E95" i="1"/>
  <c r="D45" i="1"/>
  <c r="E73" i="1"/>
  <c r="C95" i="1"/>
  <c r="C37" i="1"/>
  <c r="C38" i="1"/>
  <c r="C40" i="1"/>
  <c r="D50" i="1"/>
  <c r="G73" i="1"/>
  <c r="D95" i="1"/>
  <c r="B26" i="1"/>
  <c r="H73" i="1"/>
  <c r="I58" i="1" l="1"/>
  <c r="I60" i="1"/>
  <c r="I68" i="1"/>
  <c r="I72" i="1"/>
  <c r="I66" i="1"/>
  <c r="I64" i="1"/>
  <c r="I62" i="1"/>
  <c r="I70" i="1"/>
  <c r="E66" i="1"/>
  <c r="E72" i="1"/>
  <c r="E64" i="1"/>
  <c r="E70" i="1"/>
  <c r="E62" i="1"/>
  <c r="E68" i="1"/>
  <c r="E60" i="1"/>
  <c r="E58" i="1"/>
  <c r="H66" i="1"/>
  <c r="F88" i="1"/>
  <c r="D65" i="1"/>
  <c r="E94" i="1"/>
  <c r="E86" i="1"/>
  <c r="F79" i="1"/>
  <c r="F87" i="1"/>
  <c r="D72" i="1"/>
  <c r="D64" i="1"/>
  <c r="H72" i="1"/>
  <c r="H64" i="1"/>
  <c r="E93" i="1"/>
  <c r="E85" i="1"/>
  <c r="F94" i="1"/>
  <c r="F86" i="1"/>
  <c r="H58" i="1"/>
  <c r="D58" i="1"/>
  <c r="H65" i="1"/>
  <c r="E92" i="1"/>
  <c r="D70" i="1"/>
  <c r="D62" i="1"/>
  <c r="H70" i="1"/>
  <c r="H62" i="1"/>
  <c r="E91" i="1"/>
  <c r="E83" i="1"/>
  <c r="F92" i="1"/>
  <c r="F84" i="1"/>
  <c r="D57" i="1"/>
  <c r="E87" i="1"/>
  <c r="D63" i="1"/>
  <c r="H63" i="1"/>
  <c r="F85" i="1"/>
  <c r="D69" i="1"/>
  <c r="D61" i="1"/>
  <c r="H69" i="1"/>
  <c r="H61" i="1"/>
  <c r="E90" i="1"/>
  <c r="E82" i="1"/>
  <c r="F91" i="1"/>
  <c r="F83" i="1"/>
  <c r="D66" i="1"/>
  <c r="H71" i="1"/>
  <c r="F93" i="1"/>
  <c r="D68" i="1"/>
  <c r="D60" i="1"/>
  <c r="H68" i="1"/>
  <c r="H60" i="1"/>
  <c r="E89" i="1"/>
  <c r="E81" i="1"/>
  <c r="F90" i="1"/>
  <c r="F82" i="1"/>
  <c r="E79" i="1"/>
  <c r="H57" i="1"/>
  <c r="D71" i="1"/>
  <c r="E84" i="1"/>
  <c r="B37" i="1"/>
  <c r="D67" i="1"/>
  <c r="D59" i="1"/>
  <c r="H67" i="1"/>
  <c r="H59" i="1"/>
  <c r="E88" i="1"/>
  <c r="E80" i="1"/>
  <c r="F89" i="1"/>
  <c r="B94" i="1"/>
  <c r="C94" i="1" s="1"/>
  <c r="I94" i="1" s="1"/>
  <c r="B92" i="1"/>
  <c r="C92" i="1" s="1"/>
  <c r="I92" i="1" s="1"/>
  <c r="B90" i="1"/>
  <c r="C90" i="1" s="1"/>
  <c r="I90" i="1" s="1"/>
  <c r="B88" i="1"/>
  <c r="C88" i="1" s="1"/>
  <c r="I88" i="1" s="1"/>
  <c r="B86" i="1"/>
  <c r="C86" i="1" s="1"/>
  <c r="I86" i="1" s="1"/>
  <c r="B84" i="1"/>
  <c r="C84" i="1" s="1"/>
  <c r="I84" i="1" s="1"/>
  <c r="B82" i="1"/>
  <c r="C82" i="1" s="1"/>
  <c r="I82" i="1" s="1"/>
  <c r="B80" i="1"/>
  <c r="C80" i="1" s="1"/>
  <c r="I80" i="1" s="1"/>
  <c r="F70" i="1"/>
  <c r="F66" i="1"/>
  <c r="F64" i="1"/>
  <c r="F65" i="1"/>
  <c r="F71" i="1"/>
  <c r="F63" i="1"/>
  <c r="F62" i="1"/>
  <c r="F72" i="1"/>
  <c r="F69" i="1"/>
  <c r="F61" i="1"/>
  <c r="F68" i="1"/>
  <c r="F60" i="1"/>
  <c r="F67" i="1"/>
  <c r="F59" i="1"/>
  <c r="F58" i="1"/>
  <c r="F57" i="1"/>
  <c r="B40" i="1"/>
  <c r="B28" i="1"/>
  <c r="H81" i="1" l="1"/>
  <c r="H82" i="1"/>
  <c r="H83" i="1"/>
  <c r="H84" i="1"/>
  <c r="H86" i="1"/>
  <c r="H85" i="1"/>
  <c r="H87" i="1"/>
  <c r="H88" i="1"/>
  <c r="H89" i="1"/>
  <c r="H90" i="1"/>
  <c r="H91" i="1"/>
  <c r="H92" i="1"/>
  <c r="H93" i="1"/>
  <c r="H94" i="1"/>
  <c r="H79" i="1"/>
  <c r="H80" i="1"/>
  <c r="D81" i="1"/>
  <c r="G81" i="1" s="1"/>
  <c r="D82" i="1"/>
  <c r="G82" i="1" s="1"/>
  <c r="D83" i="1"/>
  <c r="G83" i="1" s="1"/>
  <c r="D84" i="1"/>
  <c r="G84" i="1" s="1"/>
  <c r="D86" i="1"/>
  <c r="G86" i="1" s="1"/>
  <c r="D85" i="1"/>
  <c r="G85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79" i="1"/>
  <c r="G79" i="1" s="1"/>
  <c r="D80" i="1"/>
  <c r="G80" i="1" s="1"/>
  <c r="G66" i="1"/>
  <c r="G68" i="1"/>
  <c r="G67" i="1"/>
  <c r="G71" i="1"/>
  <c r="G58" i="1"/>
  <c r="G57" i="1"/>
  <c r="G60" i="1"/>
  <c r="G61" i="1"/>
  <c r="G64" i="1"/>
  <c r="G70" i="1"/>
  <c r="G63" i="1"/>
  <c r="G72" i="1"/>
  <c r="G65" i="1"/>
  <c r="G62" i="1"/>
  <c r="G69" i="1"/>
  <c r="G59" i="1"/>
</calcChain>
</file>

<file path=xl/sharedStrings.xml><?xml version="1.0" encoding="utf-8"?>
<sst xmlns="http://schemas.openxmlformats.org/spreadsheetml/2006/main" count="79" uniqueCount="57">
  <si>
    <t>Amount</t>
  </si>
  <si>
    <t>$50 million</t>
  </si>
  <si>
    <t>Maturity</t>
  </si>
  <si>
    <t>8 years</t>
  </si>
  <si>
    <t>Issuer A</t>
  </si>
  <si>
    <t>B. F. Goodrich</t>
  </si>
  <si>
    <t>Coupon</t>
  </si>
  <si>
    <t>Coupon frequency</t>
  </si>
  <si>
    <t>Semiannual</t>
  </si>
  <si>
    <t>LIBOR + 0.5%</t>
  </si>
  <si>
    <t>Issuer B</t>
  </si>
  <si>
    <t>Rabobank-Nederland</t>
  </si>
  <si>
    <t>Annual</t>
  </si>
  <si>
    <t>Intermediary Guarantor</t>
  </si>
  <si>
    <t>Morgan Guaranty Bank</t>
  </si>
  <si>
    <t>Nominal</t>
  </si>
  <si>
    <t>Term (years)</t>
  </si>
  <si>
    <t>Fixed Leg Rate</t>
  </si>
  <si>
    <t>Annual Fee paid to Morgan Guaranty Bank (f%)</t>
  </si>
  <si>
    <t>Discount on LIBOR (x%)</t>
  </si>
  <si>
    <t>Fixed rate semi- annual equivalent YTM</t>
  </si>
  <si>
    <t>Before the Swap</t>
  </si>
  <si>
    <t>Fixed</t>
  </si>
  <si>
    <t>Rabobank</t>
  </si>
  <si>
    <t>Difference</t>
  </si>
  <si>
    <t>Floating (LIBOR + xx)</t>
  </si>
  <si>
    <t>Net Spread</t>
  </si>
  <si>
    <t>Net Outflow:</t>
  </si>
  <si>
    <t>Saving:</t>
  </si>
  <si>
    <t>&lt;=LIBOR + 0.5% + 10.7% - (LIBOR - y)</t>
  </si>
  <si>
    <t>&lt;=LIBOR - x + 10.7% - (10.7%)</t>
  </si>
  <si>
    <t>Net Discount on LIBOR Received by B.F. Goodrich (y = x+f)</t>
  </si>
  <si>
    <t>BreakEven</t>
  </si>
  <si>
    <t>&lt;= Distributed equally among Rabobank, B.F. Goodrich, and Morgan Guaranty Bank (ideal case)</t>
  </si>
  <si>
    <t>Profit Distributed Equally</t>
  </si>
  <si>
    <t>&lt;= Obtained using Solver</t>
  </si>
  <si>
    <t>&lt;= Break Even Obtained using Solver</t>
  </si>
  <si>
    <t>Total (must be equal to net spread)</t>
  </si>
  <si>
    <t>&lt;= Assuming Morgan's fee is 25 bps</t>
  </si>
  <si>
    <t>&lt;= obtained using Solver to maximize B.F. Goodrich and Rabobank's savings(equally)</t>
  </si>
  <si>
    <t>Maximize B.F. Goodrich and Rabobank's savings(equally), assuming Morgan's fee 25 bps</t>
  </si>
  <si>
    <t>Assuming LIBOR Rates:</t>
  </si>
  <si>
    <t>Year</t>
  </si>
  <si>
    <t>LIBOR Rate (annual)</t>
  </si>
  <si>
    <t>Floating Leg (Rabobank)</t>
  </si>
  <si>
    <t>Fixed Leg (B. F. Goodrich)</t>
  </si>
  <si>
    <t>Fixed Leg (B.F. Goodrich pays)</t>
  </si>
  <si>
    <t>Net outflow B. F. Goodrich</t>
  </si>
  <si>
    <t>Floating Rate (B.F. Goodrich receives from Morgan LIBOR-y)</t>
  </si>
  <si>
    <t>B.F. Goodrich Coupon (LIBOR+0.5)</t>
  </si>
  <si>
    <t>Floating Leg (Rabobank pays LIBOR-x)</t>
  </si>
  <si>
    <t>Fixed Leg (Rabobank receives from Morgan)</t>
  </si>
  <si>
    <t>Rabobank Coupon</t>
  </si>
  <si>
    <t>Net outflow (Rabobank)</t>
  </si>
  <si>
    <t>LIBOR - y</t>
  </si>
  <si>
    <t>Risk</t>
  </si>
  <si>
    <t>LIBOR-x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</si>
</sst>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%"/>
    <numFmt numFmtId="166" formatCode="&quot;LIBOR + &quot;0.00%"/>
    <numFmt numFmtId="167" formatCode="0.0000%"/>
    <numFmt numFmtId="168" formatCode="0.000%"/>
    <numFmt numFmtId="169" formatCode="&quot;LIBOR + &quot;0.0%"/>
    <numFmt numFmtId="170" formatCode="&quot;LIBOR + &quot;0.00%;&quot;LIBOR - &quot;0.00%;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0" fontId="0" fillId="0" borderId="1" xfId="0" applyNumberFormat="1" applyBorder="1"/>
    <xf numFmtId="166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5" fontId="0" fillId="0" borderId="0" xfId="0" applyNumberFormat="1"/>
    <xf numFmtId="169" fontId="0" fillId="0" borderId="1" xfId="0" applyNumberFormat="1" applyBorder="1"/>
    <xf numFmtId="168" fontId="0" fillId="0" borderId="1" xfId="0" applyNumberFormat="1" applyBorder="1"/>
    <xf numFmtId="167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0" fillId="0" borderId="2" xfId="0" applyBorder="1"/>
    <xf numFmtId="0" fontId="2" fillId="0" borderId="2" xfId="0" applyFont="1" applyBorder="1" applyAlignment="1">
      <alignment vertical="center"/>
    </xf>
    <xf numFmtId="10" fontId="0" fillId="0" borderId="0" xfId="1" applyNumberFormat="1" applyFont="1"/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 vertical="top"/>
    </xf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0" fontId="0" fillId="0" borderId="1" xfId="1" applyNumberFormat="1" applyFont="1" applyBorder="1"/>
    <xf numFmtId="164" fontId="0" fillId="0" borderId="1" xfId="2" applyNumberFormat="1" applyFont="1" applyBorder="1"/>
    <xf numFmtId="10" fontId="0" fillId="2" borderId="1" xfId="0" applyNumberFormat="1" applyFill="1" applyBorder="1"/>
    <xf numFmtId="168" fontId="0" fillId="2" borderId="1" xfId="0" applyNumberFormat="1" applyFill="1" applyBorder="1"/>
    <xf numFmtId="170" fontId="0" fillId="2" borderId="1" xfId="0" applyNumberForma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Fixed-Floating</a:t>
            </a:r>
            <a:r>
              <a:rPr lang="en-IN" baseline="0"/>
              <a:t> Coupon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LIBOR-y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(Sheet1!$A$58,Sheet1!$A$60,Sheet1!$A$62,Sheet1!$A$64,Sheet1!$A$66,Sheet1!$A$68,Sheet1!$A$70,Sheet1!$A$72)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(Sheet1!$C$58,Sheet1!$C$60,Sheet1!$C$62,Sheet1!$C$64,Sheet1!$C$66,Sheet1!$C$68,Sheet1!$C$70,Sheet1!$C$72)</c:f>
              <c:numCache>
                <c:formatCode>0.00%</c:formatCode>
                <c:ptCount val="8"/>
                <c:pt idx="0">
                  <c:v>8.9005000000000004E-3</c:v>
                </c:pt>
                <c:pt idx="1">
                  <c:v>0.1027005</c:v>
                </c:pt>
                <c:pt idx="2">
                  <c:v>9.9400499999999989E-2</c:v>
                </c:pt>
                <c:pt idx="3">
                  <c:v>2.4800500000000003E-2</c:v>
                </c:pt>
                <c:pt idx="4">
                  <c:v>0.11250049999999999</c:v>
                </c:pt>
                <c:pt idx="5">
                  <c:v>7.4500499999999997E-2</c:v>
                </c:pt>
                <c:pt idx="6">
                  <c:v>3.4005000000000007E-3</c:v>
                </c:pt>
                <c:pt idx="7">
                  <c:v>4.1600499999999999E-2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47F2-9C80-D809936E3E0F}"/>
            </c:ext>
          </c:extLst>
        </c:ser>
        <c:ser>
          <c:idx val="1"/>
          <c:order val="1"/>
          <c:tx>
            <c:v>Fixed 10.7%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(Sheet1!$A$58,Sheet1!$A$60,Sheet1!$A$62,Sheet1!$A$64,Sheet1!$A$66,Sheet1!$A$68,Sheet1!$A$70,Sheet1!$A$72)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(Sheet1!$C$13,Sheet1!$C$13,Sheet1!$C$13,Sheet1!$C$13,Sheet1!$C$13,Sheet1!$C$13,Sheet1!$C$13,Sheet1!$C$13)</c:f>
              <c:numCache>
                <c:formatCode>0.00%</c:formatCode>
                <c:ptCount val="8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D-47F2-9C80-D809936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695920"/>
        <c:axId val="1344696880"/>
      </c:lineChart>
      <c:catAx>
        <c:axId val="13446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96880"/>
        <c:crosses val="autoZero"/>
        <c:auto val="1"/>
        <c:lblAlgn val="ctr"/>
        <c:lblOffset val="100"/>
        <c:noMultiLvlLbl val="0"/>
      </c:catAx>
      <c:valAx>
        <c:axId val="1344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Cpupon%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</xdr:rowOff>
    </xdr:from>
    <xdr:to>
      <xdr:col>21</xdr:col>
      <xdr:colOff>304800</xdr:colOff>
      <xdr:row>9</xdr:row>
      <xdr:rowOff>133351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BA0569D-A789-B09B-8D8C-35F6093670C8}"/>
            </a:ext>
          </a:extLst>
        </xdr:cNvPr>
        <xdr:cNvGrpSpPr/>
      </xdr:nvGrpSpPr>
      <xdr:grpSpPr>
        <a:xfrm>
          <a:off x="16740813" y="192425"/>
          <a:ext cx="7328381" cy="1672744"/>
          <a:chOff x="5038725" y="1219201"/>
          <a:chExt cx="7000875" cy="1657350"/>
        </a:xfrm>
      </xdr:grpSpPr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0BF2070-3DDB-0E06-BBC3-4572FA24F6B2}"/>
              </a:ext>
            </a:extLst>
          </xdr:cNvPr>
          <xdr:cNvSpPr/>
        </xdr:nvSpPr>
        <xdr:spPr>
          <a:xfrm>
            <a:off x="5038725" y="1219201"/>
            <a:ext cx="7000875" cy="1657350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309CF71-A44F-4F2D-B29E-486C3129CD23}"/>
              </a:ext>
            </a:extLst>
          </xdr:cNvPr>
          <xdr:cNvSpPr/>
        </xdr:nvSpPr>
        <xdr:spPr>
          <a:xfrm>
            <a:off x="7905750" y="1638300"/>
            <a:ext cx="1504950" cy="52387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 kern="1200">
                <a:solidFill>
                  <a:sysClr val="windowText" lastClr="000000"/>
                </a:solidFill>
              </a:rPr>
              <a:t>Morgan Guaranty Bank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47C441E-06F3-46EA-B09F-94608881B8E8}"/>
              </a:ext>
            </a:extLst>
          </xdr:cNvPr>
          <xdr:cNvSpPr/>
        </xdr:nvSpPr>
        <xdr:spPr>
          <a:xfrm>
            <a:off x="5457825" y="1647825"/>
            <a:ext cx="1504950" cy="52387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 kern="1200">
                <a:solidFill>
                  <a:sysClr val="windowText" lastClr="000000"/>
                </a:solidFill>
              </a:rPr>
              <a:t>B. F. Goodrich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270FA23-11A1-4DE7-A8EA-E124A5A0987D}"/>
              </a:ext>
            </a:extLst>
          </xdr:cNvPr>
          <xdr:cNvSpPr/>
        </xdr:nvSpPr>
        <xdr:spPr>
          <a:xfrm>
            <a:off x="10353675" y="1638300"/>
            <a:ext cx="1504950" cy="52387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 kern="1200">
                <a:solidFill>
                  <a:sysClr val="windowText" lastClr="000000"/>
                </a:solidFill>
              </a:rPr>
              <a:t>Rabobank</a:t>
            </a:r>
          </a:p>
        </xdr:txBody>
      </xdr: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FF295F0E-93AC-43E5-9F36-B0F03AE4FA71}"/>
              </a:ext>
            </a:extLst>
          </xdr:cNvPr>
          <xdr:cNvCxnSpPr>
            <a:stCxn id="5" idx="2"/>
          </xdr:cNvCxnSpPr>
        </xdr:nvCxnSpPr>
        <xdr:spPr>
          <a:xfrm flipH="1">
            <a:off x="11096625" y="2162175"/>
            <a:ext cx="9525" cy="4476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A866C4B1-FC98-44F1-AE8E-51D699C315F9}"/>
              </a:ext>
            </a:extLst>
          </xdr:cNvPr>
          <xdr:cNvCxnSpPr>
            <a:stCxn id="4" idx="2"/>
          </xdr:cNvCxnSpPr>
        </xdr:nvCxnSpPr>
        <xdr:spPr>
          <a:xfrm>
            <a:off x="6210300" y="2171700"/>
            <a:ext cx="0" cy="4953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33C5E28A-DD26-04CC-51DB-45F6A87A5396}"/>
              </a:ext>
            </a:extLst>
          </xdr:cNvPr>
          <xdr:cNvGrpSpPr/>
        </xdr:nvGrpSpPr>
        <xdr:grpSpPr>
          <a:xfrm>
            <a:off x="6972300" y="1981201"/>
            <a:ext cx="933450" cy="228600"/>
            <a:chOff x="6972300" y="1743076"/>
            <a:chExt cx="9334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6056FAB1-E527-1300-2711-E5A4E7C6EB47}"/>
                </a:ext>
              </a:extLst>
            </xdr:cNvPr>
            <xdr:cNvCxnSpPr/>
          </xdr:nvCxnSpPr>
          <xdr:spPr>
            <a:xfrm>
              <a:off x="6972300" y="1762125"/>
              <a:ext cx="93345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97C59DF-3D4B-B4FC-1ADA-917BC5DD6F2F}"/>
                </a:ext>
              </a:extLst>
            </xdr:cNvPr>
            <xdr:cNvSpPr txBox="1"/>
          </xdr:nvSpPr>
          <xdr:spPr>
            <a:xfrm>
              <a:off x="7124700" y="1743076"/>
              <a:ext cx="533736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N" sz="1100" kern="1200"/>
                <a:t>11%</a:t>
              </a:r>
              <a:r>
                <a:rPr lang="en-IN" sz="1100" kern="1200" baseline="0"/>
                <a:t> + f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4DF881B7-2B6A-8C45-A4FE-98A5B60CBC78}"/>
              </a:ext>
            </a:extLst>
          </xdr:cNvPr>
          <xdr:cNvGrpSpPr/>
        </xdr:nvGrpSpPr>
        <xdr:grpSpPr>
          <a:xfrm>
            <a:off x="9420225" y="1562101"/>
            <a:ext cx="923925" cy="228599"/>
            <a:chOff x="9420225" y="1790701"/>
            <a:chExt cx="923925" cy="228599"/>
          </a:xfrm>
        </xdr:grpSpPr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71E86742-1215-4D13-B02E-95EBD6A2B4AA}"/>
                </a:ext>
              </a:extLst>
            </xdr:cNvPr>
            <xdr:cNvCxnSpPr/>
          </xdr:nvCxnSpPr>
          <xdr:spPr>
            <a:xfrm flipH="1">
              <a:off x="9420225" y="2019300"/>
              <a:ext cx="92392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49AABC8-72E4-404B-8A9A-42174BC3D30C}"/>
                </a:ext>
              </a:extLst>
            </xdr:cNvPr>
            <xdr:cNvSpPr txBox="1"/>
          </xdr:nvSpPr>
          <xdr:spPr>
            <a:xfrm>
              <a:off x="9572625" y="1790701"/>
              <a:ext cx="647700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N" sz="1100" kern="1200"/>
                <a:t>LIBOR - x</a:t>
              </a:r>
            </a:p>
          </xdr:txBody>
        </xdr:sp>
      </xdr:grpSp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C25B3E38-CF21-8538-1F1E-F8D30E777A25}"/>
              </a:ext>
            </a:extLst>
          </xdr:cNvPr>
          <xdr:cNvGrpSpPr/>
        </xdr:nvGrpSpPr>
        <xdr:grpSpPr>
          <a:xfrm>
            <a:off x="6972300" y="1552576"/>
            <a:ext cx="923925" cy="219074"/>
            <a:chOff x="6972300" y="1809751"/>
            <a:chExt cx="923925" cy="219074"/>
          </a:xfrm>
        </xdr:grpSpPr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CCB7E9D0-058F-468E-90B4-ECF5B0591A35}"/>
                </a:ext>
              </a:extLst>
            </xdr:cNvPr>
            <xdr:cNvCxnSpPr/>
          </xdr:nvCxnSpPr>
          <xdr:spPr>
            <a:xfrm flipH="1">
              <a:off x="6972300" y="2028825"/>
              <a:ext cx="92392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BD5C8A8-25A8-43F2-8DA3-73C270AED0E5}"/>
                </a:ext>
              </a:extLst>
            </xdr:cNvPr>
            <xdr:cNvSpPr txBox="1"/>
          </xdr:nvSpPr>
          <xdr:spPr>
            <a:xfrm>
              <a:off x="7105650" y="1809751"/>
              <a:ext cx="647700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N" sz="1100" kern="1200"/>
                <a:t>LIBOR - x</a:t>
              </a:r>
            </a:p>
          </xdr:txBody>
        </xdr:sp>
      </xdr:grp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AAEE61D9-BB81-F9F2-C14F-FC06EA20137F}"/>
              </a:ext>
            </a:extLst>
          </xdr:cNvPr>
          <xdr:cNvSpPr txBox="1"/>
        </xdr:nvSpPr>
        <xdr:spPr>
          <a:xfrm>
            <a:off x="11068050" y="2247900"/>
            <a:ext cx="43499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100" kern="1200"/>
              <a:t>11%</a:t>
            </a:r>
          </a:p>
        </xdr:txBody>
      </xdr: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F025ADF8-1522-E193-BC71-5ED35C3C5F51}"/>
              </a:ext>
            </a:extLst>
          </xdr:cNvPr>
          <xdr:cNvGrpSpPr/>
        </xdr:nvGrpSpPr>
        <xdr:grpSpPr>
          <a:xfrm>
            <a:off x="9420225" y="2019300"/>
            <a:ext cx="933450" cy="264560"/>
            <a:chOff x="9420225" y="1752600"/>
            <a:chExt cx="933450" cy="264560"/>
          </a:xfrm>
        </xdr:grpSpPr>
        <xdr:cxnSp macro="">
          <xdr:nvCxnSpPr>
            <xdr:cNvPr id="14" name="Straight Arrow Connector 13">
              <a:extLst>
                <a:ext uri="{FF2B5EF4-FFF2-40B4-BE49-F238E27FC236}">
                  <a16:creationId xmlns:a16="http://schemas.microsoft.com/office/drawing/2014/main" id="{9AB89A2D-12AA-400F-A653-766D39982551}"/>
                </a:ext>
              </a:extLst>
            </xdr:cNvPr>
            <xdr:cNvCxnSpPr/>
          </xdr:nvCxnSpPr>
          <xdr:spPr>
            <a:xfrm>
              <a:off x="9420225" y="1790700"/>
              <a:ext cx="93345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06AC8D3-7D78-4E87-BA0B-61732095DE84}"/>
                </a:ext>
              </a:extLst>
            </xdr:cNvPr>
            <xdr:cNvSpPr txBox="1"/>
          </xdr:nvSpPr>
          <xdr:spPr>
            <a:xfrm>
              <a:off x="9715500" y="1752600"/>
              <a:ext cx="4349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kern="1200"/>
                <a:t>11%</a:t>
              </a:r>
            </a:p>
          </xdr:txBody>
        </xdr:sp>
      </xdr:grp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25E99388-FCCA-42A3-B167-97895CD98696}"/>
              </a:ext>
            </a:extLst>
          </xdr:cNvPr>
          <xdr:cNvSpPr txBox="1"/>
        </xdr:nvSpPr>
        <xdr:spPr>
          <a:xfrm>
            <a:off x="5276850" y="2247900"/>
            <a:ext cx="876300" cy="247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N" sz="1100" kern="1200"/>
              <a:t>LIBOR +</a:t>
            </a:r>
            <a:r>
              <a:rPr lang="en-IN" sz="1100" kern="1200" baseline="0"/>
              <a:t> 0.5%</a:t>
            </a:r>
          </a:p>
        </xdr:txBody>
      </xdr:sp>
    </xdr:grpSp>
    <xdr:clientData/>
  </xdr:twoCellAnchor>
  <xdr:twoCellAnchor>
    <xdr:from>
      <xdr:col>10</xdr:col>
      <xdr:colOff>9525</xdr:colOff>
      <xdr:row>14</xdr:row>
      <xdr:rowOff>104776</xdr:rowOff>
    </xdr:from>
    <xdr:to>
      <xdr:col>21</xdr:col>
      <xdr:colOff>304800</xdr:colOff>
      <xdr:row>22</xdr:row>
      <xdr:rowOff>47626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5A1CC3A4-863A-4710-8A29-4F395B4AC2A3}"/>
            </a:ext>
          </a:extLst>
        </xdr:cNvPr>
        <xdr:cNvGrpSpPr/>
      </xdr:nvGrpSpPr>
      <xdr:grpSpPr>
        <a:xfrm>
          <a:off x="16740813" y="3366367"/>
          <a:ext cx="7328381" cy="2049895"/>
          <a:chOff x="5038725" y="1219201"/>
          <a:chExt cx="7000875" cy="1657350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C85C51DF-0A53-C2B8-2E6A-6EA9F50F6299}"/>
              </a:ext>
            </a:extLst>
          </xdr:cNvPr>
          <xdr:cNvSpPr/>
        </xdr:nvSpPr>
        <xdr:spPr>
          <a:xfrm>
            <a:off x="5038725" y="1219201"/>
            <a:ext cx="7000875" cy="1657350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 b="1" kern="1200">
                <a:solidFill>
                  <a:sysClr val="windowText" lastClr="000000"/>
                </a:solidFill>
              </a:rPr>
              <a:t>Modified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185397E2-DFF5-C867-A1DE-63E4D74187B2}"/>
              </a:ext>
            </a:extLst>
          </xdr:cNvPr>
          <xdr:cNvSpPr/>
        </xdr:nvSpPr>
        <xdr:spPr>
          <a:xfrm>
            <a:off x="7905750" y="1638300"/>
            <a:ext cx="1504950" cy="52387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 kern="1200">
                <a:solidFill>
                  <a:sysClr val="windowText" lastClr="000000"/>
                </a:solidFill>
              </a:rPr>
              <a:t>Morgan Guaranty Bank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15B5E878-4E6E-D4D1-BEF6-6A76128605D1}"/>
              </a:ext>
            </a:extLst>
          </xdr:cNvPr>
          <xdr:cNvSpPr/>
        </xdr:nvSpPr>
        <xdr:spPr>
          <a:xfrm>
            <a:off x="5457825" y="1647825"/>
            <a:ext cx="1504950" cy="52387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 kern="1200">
                <a:solidFill>
                  <a:sysClr val="windowText" lastClr="000000"/>
                </a:solidFill>
              </a:rPr>
              <a:t>B. F. Goodrich</a:t>
            </a: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20CE1EC8-7651-9B4A-44D2-01598E40BF0B}"/>
              </a:ext>
            </a:extLst>
          </xdr:cNvPr>
          <xdr:cNvSpPr/>
        </xdr:nvSpPr>
        <xdr:spPr>
          <a:xfrm>
            <a:off x="10353675" y="1638300"/>
            <a:ext cx="1504950" cy="52387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 kern="1200">
                <a:solidFill>
                  <a:sysClr val="windowText" lastClr="000000"/>
                </a:solidFill>
              </a:rPr>
              <a:t>Rabobank</a:t>
            </a:r>
          </a:p>
        </xdr:txBody>
      </xdr: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6828B088-D8E9-C17C-E345-8DC15BF5D7FE}"/>
              </a:ext>
            </a:extLst>
          </xdr:cNvPr>
          <xdr:cNvCxnSpPr>
            <a:stCxn id="48" idx="2"/>
          </xdr:cNvCxnSpPr>
        </xdr:nvCxnSpPr>
        <xdr:spPr>
          <a:xfrm flipH="1">
            <a:off x="11096625" y="2162175"/>
            <a:ext cx="9525" cy="4476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6C4989A5-589E-7687-4E25-C22B3AB491B2}"/>
              </a:ext>
            </a:extLst>
          </xdr:cNvPr>
          <xdr:cNvCxnSpPr>
            <a:stCxn id="47" idx="2"/>
          </xdr:cNvCxnSpPr>
        </xdr:nvCxnSpPr>
        <xdr:spPr>
          <a:xfrm>
            <a:off x="6210300" y="2171700"/>
            <a:ext cx="0" cy="4953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773BCD2C-C2FC-9058-2C8C-DE0D25072368}"/>
              </a:ext>
            </a:extLst>
          </xdr:cNvPr>
          <xdr:cNvGrpSpPr/>
        </xdr:nvGrpSpPr>
        <xdr:grpSpPr>
          <a:xfrm>
            <a:off x="6972300" y="1981201"/>
            <a:ext cx="933450" cy="219073"/>
            <a:chOff x="6972300" y="1743076"/>
            <a:chExt cx="933450" cy="219073"/>
          </a:xfrm>
        </xdr:grpSpPr>
        <xdr:cxnSp macro="">
          <xdr:nvCxnSpPr>
            <xdr:cNvPr id="63" name="Straight Arrow Connector 62">
              <a:extLst>
                <a:ext uri="{FF2B5EF4-FFF2-40B4-BE49-F238E27FC236}">
                  <a16:creationId xmlns:a16="http://schemas.microsoft.com/office/drawing/2014/main" id="{11B0C19A-6C03-8389-D491-A259C9AF9C7D}"/>
                </a:ext>
              </a:extLst>
            </xdr:cNvPr>
            <xdr:cNvCxnSpPr/>
          </xdr:nvCxnSpPr>
          <xdr:spPr>
            <a:xfrm>
              <a:off x="6972300" y="1762125"/>
              <a:ext cx="93345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D16582EC-D2FF-7DC2-35B9-F397274B3090}"/>
                </a:ext>
              </a:extLst>
            </xdr:cNvPr>
            <xdr:cNvSpPr txBox="1"/>
          </xdr:nvSpPr>
          <xdr:spPr>
            <a:xfrm>
              <a:off x="7210424" y="1743076"/>
              <a:ext cx="514351" cy="219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N" sz="1100" kern="1200"/>
                <a:t>10.7%</a:t>
              </a:r>
            </a:p>
          </xdr:txBody>
        </xdr:sp>
      </xdr:grp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4924D3DA-3716-F04F-5541-B77CBF63C7A0}"/>
              </a:ext>
            </a:extLst>
          </xdr:cNvPr>
          <xdr:cNvGrpSpPr/>
        </xdr:nvGrpSpPr>
        <xdr:grpSpPr>
          <a:xfrm>
            <a:off x="9420225" y="1562101"/>
            <a:ext cx="923925" cy="228599"/>
            <a:chOff x="9420225" y="1790701"/>
            <a:chExt cx="923925" cy="228599"/>
          </a:xfrm>
        </xdr:grpSpPr>
        <xdr:cxnSp macro="">
          <xdr:nvCxnSpPr>
            <xdr:cNvPr id="61" name="Straight Arrow Connector 60">
              <a:extLst>
                <a:ext uri="{FF2B5EF4-FFF2-40B4-BE49-F238E27FC236}">
                  <a16:creationId xmlns:a16="http://schemas.microsoft.com/office/drawing/2014/main" id="{C17735BC-91AE-F95D-87CA-FDD77371D61B}"/>
                </a:ext>
              </a:extLst>
            </xdr:cNvPr>
            <xdr:cNvCxnSpPr/>
          </xdr:nvCxnSpPr>
          <xdr:spPr>
            <a:xfrm flipH="1">
              <a:off x="9420225" y="2019300"/>
              <a:ext cx="92392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F993966D-6881-5D8C-5BF0-A1DE9C0051EC}"/>
                </a:ext>
              </a:extLst>
            </xdr:cNvPr>
            <xdr:cNvSpPr txBox="1"/>
          </xdr:nvSpPr>
          <xdr:spPr>
            <a:xfrm>
              <a:off x="9572625" y="1790701"/>
              <a:ext cx="647700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N" sz="1100" kern="1200"/>
                <a:t>LIBOR - x</a:t>
              </a: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C21CD890-8CFC-685F-D4A7-91AF5EFD7019}"/>
              </a:ext>
            </a:extLst>
          </xdr:cNvPr>
          <xdr:cNvGrpSpPr/>
        </xdr:nvGrpSpPr>
        <xdr:grpSpPr>
          <a:xfrm>
            <a:off x="6972300" y="1552576"/>
            <a:ext cx="923925" cy="219074"/>
            <a:chOff x="6972300" y="1809751"/>
            <a:chExt cx="923925" cy="219074"/>
          </a:xfrm>
        </xdr:grpSpPr>
        <xdr:cxnSp macro="">
          <xdr:nvCxnSpPr>
            <xdr:cNvPr id="59" name="Straight Arrow Connector 58">
              <a:extLst>
                <a:ext uri="{FF2B5EF4-FFF2-40B4-BE49-F238E27FC236}">
                  <a16:creationId xmlns:a16="http://schemas.microsoft.com/office/drawing/2014/main" id="{0265615E-573B-5F46-D6E2-54BD51C28A2C}"/>
                </a:ext>
              </a:extLst>
            </xdr:cNvPr>
            <xdr:cNvCxnSpPr/>
          </xdr:nvCxnSpPr>
          <xdr:spPr>
            <a:xfrm flipH="1">
              <a:off x="6972300" y="2028825"/>
              <a:ext cx="92392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E704FFEC-D32F-8DA8-DCD0-7E52030EDA40}"/>
                </a:ext>
              </a:extLst>
            </xdr:cNvPr>
            <xdr:cNvSpPr txBox="1"/>
          </xdr:nvSpPr>
          <xdr:spPr>
            <a:xfrm>
              <a:off x="7105650" y="1809751"/>
              <a:ext cx="647700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IN" sz="1100" kern="1200"/>
                <a:t>LIBOR - y</a:t>
              </a:r>
            </a:p>
          </xdr:txBody>
        </xdr:sp>
      </xdr:grp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D9BE74A1-4C88-8271-145E-2F025FE54BF8}"/>
              </a:ext>
            </a:extLst>
          </xdr:cNvPr>
          <xdr:cNvSpPr txBox="1"/>
        </xdr:nvSpPr>
        <xdr:spPr>
          <a:xfrm>
            <a:off x="11068050" y="2247900"/>
            <a:ext cx="54322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100" kern="1200"/>
              <a:t>10.7%</a:t>
            </a:r>
          </a:p>
        </xdr:txBody>
      </xdr:sp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1F25BB3C-F060-6CF5-3858-09D11BFFDE4F}"/>
              </a:ext>
            </a:extLst>
          </xdr:cNvPr>
          <xdr:cNvGrpSpPr/>
        </xdr:nvGrpSpPr>
        <xdr:grpSpPr>
          <a:xfrm>
            <a:off x="9420225" y="2019300"/>
            <a:ext cx="933450" cy="264560"/>
            <a:chOff x="9420225" y="1752600"/>
            <a:chExt cx="933450" cy="264560"/>
          </a:xfrm>
        </xdr:grpSpPr>
        <xdr:cxnSp macro="">
          <xdr:nvCxnSpPr>
            <xdr:cNvPr id="57" name="Straight Arrow Connector 56">
              <a:extLst>
                <a:ext uri="{FF2B5EF4-FFF2-40B4-BE49-F238E27FC236}">
                  <a16:creationId xmlns:a16="http://schemas.microsoft.com/office/drawing/2014/main" id="{5D6676F2-462C-254A-023C-98518F47CECA}"/>
                </a:ext>
              </a:extLst>
            </xdr:cNvPr>
            <xdr:cNvCxnSpPr/>
          </xdr:nvCxnSpPr>
          <xdr:spPr>
            <a:xfrm>
              <a:off x="9420225" y="1790700"/>
              <a:ext cx="93345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B552D2D-6550-94E7-6881-87CD90615130}"/>
                </a:ext>
              </a:extLst>
            </xdr:cNvPr>
            <xdr:cNvSpPr txBox="1"/>
          </xdr:nvSpPr>
          <xdr:spPr>
            <a:xfrm>
              <a:off x="9686925" y="1752600"/>
              <a:ext cx="57180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IN" sz="1100" kern="1200"/>
                <a:t>10.7%</a:t>
              </a:r>
            </a:p>
          </xdr:txBody>
        </xdr:sp>
      </xdr:grp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9D60A480-BBED-FBF6-0905-6CAB4B22237A}"/>
              </a:ext>
            </a:extLst>
          </xdr:cNvPr>
          <xdr:cNvSpPr txBox="1"/>
        </xdr:nvSpPr>
        <xdr:spPr>
          <a:xfrm>
            <a:off x="5276850" y="2247900"/>
            <a:ext cx="876300" cy="247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N" sz="1100" kern="1200"/>
              <a:t>LIBOR +</a:t>
            </a:r>
            <a:r>
              <a:rPr lang="en-IN" sz="1100" kern="1200" baseline="0"/>
              <a:t> 0.5%</a:t>
            </a:r>
          </a:p>
        </xdr:txBody>
      </xdr:sp>
    </xdr:grpSp>
    <xdr:clientData/>
  </xdr:twoCellAnchor>
  <xdr:twoCellAnchor>
    <xdr:from>
      <xdr:col>3</xdr:col>
      <xdr:colOff>47625</xdr:colOff>
      <xdr:row>42</xdr:row>
      <xdr:rowOff>19050</xdr:rowOff>
    </xdr:from>
    <xdr:to>
      <xdr:col>3</xdr:col>
      <xdr:colOff>161925</xdr:colOff>
      <xdr:row>43</xdr:row>
      <xdr:rowOff>352425</xdr:rowOff>
    </xdr:to>
    <xdr:sp macro="" textlink="">
      <xdr:nvSpPr>
        <xdr:cNvPr id="67" name="Right Brace 66">
          <a:extLst>
            <a:ext uri="{FF2B5EF4-FFF2-40B4-BE49-F238E27FC236}">
              <a16:creationId xmlns:a16="http://schemas.microsoft.com/office/drawing/2014/main" id="{AE6BF7D2-132D-40DF-91D3-A1B19631A6DF}"/>
            </a:ext>
          </a:extLst>
        </xdr:cNvPr>
        <xdr:cNvSpPr/>
      </xdr:nvSpPr>
      <xdr:spPr>
        <a:xfrm>
          <a:off x="4400550" y="2686050"/>
          <a:ext cx="114300" cy="5238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26</xdr:col>
      <xdr:colOff>352425</xdr:colOff>
      <xdr:row>29</xdr:row>
      <xdr:rowOff>95250</xdr:rowOff>
    </xdr:from>
    <xdr:to>
      <xdr:col>34</xdr:col>
      <xdr:colOff>515097</xdr:colOff>
      <xdr:row>51</xdr:row>
      <xdr:rowOff>38890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75AF57E-CED1-D36F-AD14-F89B189D3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55275" y="6762750"/>
          <a:ext cx="5353797" cy="5658640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29</xdr:row>
      <xdr:rowOff>114300</xdr:rowOff>
    </xdr:from>
    <xdr:to>
      <xdr:col>25</xdr:col>
      <xdr:colOff>162675</xdr:colOff>
      <xdr:row>51</xdr:row>
      <xdr:rowOff>57940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64C9C71-2612-1D7B-C730-6F96ABC2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35400" y="6400800"/>
          <a:ext cx="5372850" cy="565864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47</xdr:row>
      <xdr:rowOff>19050</xdr:rowOff>
    </xdr:from>
    <xdr:to>
      <xdr:col>3</xdr:col>
      <xdr:colOff>161925</xdr:colOff>
      <xdr:row>48</xdr:row>
      <xdr:rowOff>352425</xdr:rowOff>
    </xdr:to>
    <xdr:sp macro="" textlink="">
      <xdr:nvSpPr>
        <xdr:cNvPr id="70" name="Right Brace 69">
          <a:extLst>
            <a:ext uri="{FF2B5EF4-FFF2-40B4-BE49-F238E27FC236}">
              <a16:creationId xmlns:a16="http://schemas.microsoft.com/office/drawing/2014/main" id="{767D19A8-AFCA-4C54-B75B-50F3254B7987}"/>
            </a:ext>
          </a:extLst>
        </xdr:cNvPr>
        <xdr:cNvSpPr/>
      </xdr:nvSpPr>
      <xdr:spPr>
        <a:xfrm>
          <a:off x="4695825" y="2686050"/>
          <a:ext cx="114300" cy="5238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8</xdr:col>
      <xdr:colOff>400050</xdr:colOff>
      <xdr:row>29</xdr:row>
      <xdr:rowOff>123825</xdr:rowOff>
    </xdr:from>
    <xdr:to>
      <xdr:col>15</xdr:col>
      <xdr:colOff>581775</xdr:colOff>
      <xdr:row>51</xdr:row>
      <xdr:rowOff>67465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17CD063-26CD-03C6-33C1-0E2BF1E3F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4225" y="6791325"/>
          <a:ext cx="5372850" cy="5658640"/>
        </a:xfrm>
        <a:prstGeom prst="rect">
          <a:avLst/>
        </a:prstGeom>
      </xdr:spPr>
    </xdr:pic>
    <xdr:clientData/>
  </xdr:twoCellAnchor>
  <xdr:twoCellAnchor>
    <xdr:from>
      <xdr:col>13</xdr:col>
      <xdr:colOff>114300</xdr:colOff>
      <xdr:row>55</xdr:row>
      <xdr:rowOff>395286</xdr:rowOff>
    </xdr:from>
    <xdr:to>
      <xdr:col>22</xdr:col>
      <xdr:colOff>209550</xdr:colOff>
      <xdr:row>73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0CFFB-7C3A-E95C-E6D8-C43D21BC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C3F0-53E2-454B-B2A2-7DDBFD4817F1}">
  <dimension ref="A1:AB95"/>
  <sheetViews>
    <sheetView tabSelected="1" topLeftCell="H56" zoomScale="99" workbookViewId="0">
      <selection activeCell="I82" sqref="I82:J82"/>
    </sheetView>
  </sheetViews>
  <sheetFormatPr defaultRowHeight="15" x14ac:dyDescent="0.25"/>
  <cols>
    <col min="1" max="1" width="24.140625" bestFit="1" customWidth="1"/>
    <col min="2" max="2" width="30.42578125" bestFit="1" customWidth="1"/>
    <col min="3" max="3" width="34.42578125" customWidth="1"/>
    <col min="4" max="4" width="34.28515625" customWidth="1"/>
    <col min="5" max="5" width="24.140625" bestFit="1" customWidth="1"/>
    <col min="6" max="6" width="24.140625" customWidth="1"/>
    <col min="7" max="7" width="24.140625" bestFit="1" customWidth="1"/>
    <col min="8" max="8" width="23.28515625" customWidth="1"/>
    <col min="10" max="10" width="23" customWidth="1"/>
    <col min="18" max="18" width="14.5703125" customWidth="1"/>
    <col min="28" max="28" width="13.85546875" customWidth="1"/>
  </cols>
  <sheetData>
    <row r="1" spans="1:8" x14ac:dyDescent="0.25">
      <c r="B1" s="8" t="s">
        <v>4</v>
      </c>
      <c r="C1" s="6" t="s">
        <v>5</v>
      </c>
      <c r="G1" s="8" t="s">
        <v>10</v>
      </c>
      <c r="H1" s="6" t="s">
        <v>11</v>
      </c>
    </row>
    <row r="2" spans="1:8" x14ac:dyDescent="0.25">
      <c r="B2" s="8" t="s">
        <v>0</v>
      </c>
      <c r="C2" s="6" t="s">
        <v>1</v>
      </c>
      <c r="G2" s="8" t="s">
        <v>0</v>
      </c>
      <c r="H2" s="6" t="s">
        <v>1</v>
      </c>
    </row>
    <row r="3" spans="1:8" x14ac:dyDescent="0.25">
      <c r="B3" s="8" t="s">
        <v>2</v>
      </c>
      <c r="C3" s="6" t="s">
        <v>3</v>
      </c>
      <c r="G3" s="8" t="s">
        <v>2</v>
      </c>
      <c r="H3" s="6" t="s">
        <v>3</v>
      </c>
    </row>
    <row r="4" spans="1:8" x14ac:dyDescent="0.25">
      <c r="B4" s="8" t="s">
        <v>6</v>
      </c>
      <c r="C4" s="6" t="s">
        <v>9</v>
      </c>
      <c r="G4" s="8" t="s">
        <v>6</v>
      </c>
      <c r="H4" s="11">
        <v>0.11</v>
      </c>
    </row>
    <row r="5" spans="1:8" x14ac:dyDescent="0.25">
      <c r="B5" s="8" t="s">
        <v>7</v>
      </c>
      <c r="C5" s="6" t="s">
        <v>8</v>
      </c>
      <c r="G5" s="8" t="s">
        <v>7</v>
      </c>
      <c r="H5" s="6" t="s">
        <v>12</v>
      </c>
    </row>
    <row r="7" spans="1:8" x14ac:dyDescent="0.25">
      <c r="B7" s="8" t="s">
        <v>13</v>
      </c>
      <c r="C7" s="6" t="s">
        <v>14</v>
      </c>
    </row>
    <row r="10" spans="1:8" x14ac:dyDescent="0.25">
      <c r="B10" s="8" t="s">
        <v>15</v>
      </c>
      <c r="C10" s="12">
        <f>50*1000000</f>
        <v>50000000</v>
      </c>
    </row>
    <row r="11" spans="1:8" x14ac:dyDescent="0.25">
      <c r="B11" s="8" t="s">
        <v>16</v>
      </c>
      <c r="C11" s="13">
        <v>8</v>
      </c>
    </row>
    <row r="12" spans="1:8" x14ac:dyDescent="0.25">
      <c r="B12" s="8" t="s">
        <v>17</v>
      </c>
      <c r="C12" s="11">
        <v>0.11</v>
      </c>
    </row>
    <row r="13" spans="1:8" ht="30" x14ac:dyDescent="0.25">
      <c r="A13" s="23"/>
      <c r="B13" s="21" t="s">
        <v>20</v>
      </c>
      <c r="C13" s="9">
        <v>0.107</v>
      </c>
      <c r="D13" s="16">
        <f>((1+C13/2)^2)-1</f>
        <v>0.10986225000000016</v>
      </c>
      <c r="E13" t="str">
        <f ca="1">_xlfn.FORMULATEXT(D13)</f>
        <v>=((1+C13/2)^2)-1</v>
      </c>
      <c r="F13" s="16"/>
    </row>
    <row r="14" spans="1:8" ht="45" x14ac:dyDescent="0.25">
      <c r="A14" s="24"/>
      <c r="B14" s="22" t="s">
        <v>19</v>
      </c>
      <c r="C14" s="35">
        <v>3.9994999999999996E-3</v>
      </c>
      <c r="D14" s="27" t="s">
        <v>39</v>
      </c>
    </row>
    <row r="15" spans="1:8" ht="30" x14ac:dyDescent="0.25">
      <c r="A15" s="24"/>
      <c r="B15" s="21" t="s">
        <v>18</v>
      </c>
      <c r="C15" s="35">
        <v>2.5000000000000001E-3</v>
      </c>
      <c r="D15" s="26" t="s">
        <v>38</v>
      </c>
    </row>
    <row r="16" spans="1:8" ht="45" x14ac:dyDescent="0.25">
      <c r="A16" s="24"/>
      <c r="B16" s="21" t="s">
        <v>31</v>
      </c>
      <c r="C16" s="35">
        <f>C15+C14</f>
        <v>6.4995000000000001E-3</v>
      </c>
      <c r="D16" t="str">
        <f ca="1">_xlfn.FORMULATEXT(C16)</f>
        <v>=C15+C14</v>
      </c>
    </row>
    <row r="17" spans="1:28" x14ac:dyDescent="0.25">
      <c r="C17" s="2"/>
    </row>
    <row r="20" spans="1:28" x14ac:dyDescent="0.25">
      <c r="A20" s="6"/>
      <c r="B20" s="41" t="s">
        <v>21</v>
      </c>
      <c r="C20" s="41"/>
    </row>
    <row r="21" spans="1:28" x14ac:dyDescent="0.25">
      <c r="A21" s="6"/>
      <c r="B21" s="7" t="s">
        <v>22</v>
      </c>
      <c r="C21" s="7" t="s">
        <v>25</v>
      </c>
    </row>
    <row r="22" spans="1:28" x14ac:dyDescent="0.25">
      <c r="A22" s="8" t="s">
        <v>5</v>
      </c>
      <c r="B22" s="9">
        <v>0.125</v>
      </c>
      <c r="C22" s="17">
        <v>5.0000000000000001E-3</v>
      </c>
    </row>
    <row r="23" spans="1:28" x14ac:dyDescent="0.25">
      <c r="A23" s="8" t="s">
        <v>23</v>
      </c>
      <c r="B23" s="9">
        <v>0.107</v>
      </c>
      <c r="C23" s="10">
        <v>2.5000000000000001E-3</v>
      </c>
    </row>
    <row r="24" spans="1:28" x14ac:dyDescent="0.25">
      <c r="A24" s="1"/>
    </row>
    <row r="25" spans="1:28" x14ac:dyDescent="0.25">
      <c r="A25" s="8" t="s">
        <v>24</v>
      </c>
      <c r="B25" s="9">
        <f>B22-B23</f>
        <v>1.8000000000000002E-2</v>
      </c>
      <c r="C25" s="9">
        <f>C22-C23</f>
        <v>2.5000000000000001E-3</v>
      </c>
    </row>
    <row r="26" spans="1:28" x14ac:dyDescent="0.25">
      <c r="A26" s="1"/>
      <c r="B26" s="5" t="str">
        <f ca="1">_xlfn.FORMULATEXT(B25)</f>
        <v>=B22-B23</v>
      </c>
      <c r="C26" s="5" t="str">
        <f ca="1">_xlfn.FORMULATEXT(C25)</f>
        <v>=C22-C23</v>
      </c>
      <c r="L26" s="3"/>
    </row>
    <row r="27" spans="1:28" x14ac:dyDescent="0.25">
      <c r="A27" s="1"/>
      <c r="B27" s="5"/>
      <c r="C27" s="5"/>
      <c r="L27" s="3"/>
      <c r="R27" s="39" t="s">
        <v>32</v>
      </c>
      <c r="AB27" s="38" t="s">
        <v>34</v>
      </c>
    </row>
    <row r="28" spans="1:28" x14ac:dyDescent="0.25">
      <c r="A28" s="8" t="s">
        <v>26</v>
      </c>
      <c r="B28" s="9">
        <f>B25-C25</f>
        <v>1.5500000000000002E-2</v>
      </c>
      <c r="C28" s="1" t="s">
        <v>33</v>
      </c>
      <c r="L28" s="3"/>
      <c r="R28" s="39"/>
      <c r="AB28" s="38"/>
    </row>
    <row r="29" spans="1:28" ht="75" x14ac:dyDescent="0.25">
      <c r="B29" s="29" t="str">
        <f ca="1">_xlfn.FORMULATEXT(B28)</f>
        <v>=B25-C25</v>
      </c>
      <c r="J29" s="28" t="s">
        <v>40</v>
      </c>
      <c r="L29" s="3"/>
      <c r="R29" s="39"/>
      <c r="AB29" s="38"/>
    </row>
    <row r="30" spans="1:28" x14ac:dyDescent="0.25">
      <c r="L30" s="3"/>
    </row>
    <row r="31" spans="1:28" x14ac:dyDescent="0.25">
      <c r="L31" s="3"/>
    </row>
    <row r="32" spans="1:28" x14ac:dyDescent="0.25">
      <c r="A32" s="8" t="s">
        <v>27</v>
      </c>
      <c r="L32" s="3"/>
    </row>
    <row r="33" spans="1:12" x14ac:dyDescent="0.25">
      <c r="A33" s="8" t="s">
        <v>5</v>
      </c>
      <c r="B33" s="36">
        <f>C22+C13+C16</f>
        <v>0.11849950000000001</v>
      </c>
      <c r="C33" t="s">
        <v>29</v>
      </c>
      <c r="L33" s="3"/>
    </row>
    <row r="34" spans="1:12" x14ac:dyDescent="0.25">
      <c r="A34" s="8" t="s">
        <v>23</v>
      </c>
      <c r="B34" s="37">
        <f>-C14</f>
        <v>-3.9994999999999996E-3</v>
      </c>
      <c r="C34" t="s">
        <v>30</v>
      </c>
      <c r="L34" s="3"/>
    </row>
    <row r="35" spans="1:12" x14ac:dyDescent="0.25">
      <c r="L35" s="3"/>
    </row>
    <row r="36" spans="1:12" x14ac:dyDescent="0.25">
      <c r="A36" s="1" t="s">
        <v>28</v>
      </c>
      <c r="L36" s="3"/>
    </row>
    <row r="37" spans="1:12" x14ac:dyDescent="0.25">
      <c r="A37" s="8" t="s">
        <v>5</v>
      </c>
      <c r="B37" s="18">
        <f>B22-B33</f>
        <v>6.5004999999999924E-3</v>
      </c>
      <c r="C37" t="str">
        <f ca="1">_xlfn.FORMULATEXT(B37)</f>
        <v>=B22-B33</v>
      </c>
      <c r="L37" s="3"/>
    </row>
    <row r="38" spans="1:12" x14ac:dyDescent="0.25">
      <c r="A38" s="8" t="s">
        <v>23</v>
      </c>
      <c r="B38" s="19">
        <f>C23-B34</f>
        <v>6.4995000000000001E-3</v>
      </c>
      <c r="C38" t="str">
        <f ca="1">_xlfn.FORMULATEXT(B38)</f>
        <v>=C23-B34</v>
      </c>
      <c r="L38" s="3"/>
    </row>
    <row r="39" spans="1:12" x14ac:dyDescent="0.25">
      <c r="L39" s="3"/>
    </row>
    <row r="40" spans="1:12" ht="30" x14ac:dyDescent="0.25">
      <c r="A40" s="14" t="s">
        <v>37</v>
      </c>
      <c r="B40" s="19">
        <f>B37+B38+C15</f>
        <v>1.5499999999999993E-2</v>
      </c>
      <c r="C40" t="str">
        <f ca="1">_xlfn.FORMULATEXT(B40)</f>
        <v>=B37+B38+C15</v>
      </c>
      <c r="L40" s="3"/>
    </row>
    <row r="41" spans="1:12" x14ac:dyDescent="0.25">
      <c r="L41" s="3"/>
    </row>
    <row r="43" spans="1:12" x14ac:dyDescent="0.25">
      <c r="A43" s="39" t="s">
        <v>32</v>
      </c>
      <c r="B43" s="8" t="s">
        <v>19</v>
      </c>
      <c r="C43" s="9">
        <v>-2.5000000000000022E-3</v>
      </c>
      <c r="D43" s="40" t="s">
        <v>36</v>
      </c>
    </row>
    <row r="44" spans="1:12" ht="30" x14ac:dyDescent="0.25">
      <c r="A44" s="39"/>
      <c r="B44" s="14" t="s">
        <v>18</v>
      </c>
      <c r="C44" s="9">
        <v>1.55E-2</v>
      </c>
      <c r="D44" s="40"/>
    </row>
    <row r="45" spans="1:12" ht="45" x14ac:dyDescent="0.25">
      <c r="A45" s="39"/>
      <c r="B45" s="14" t="s">
        <v>31</v>
      </c>
      <c r="C45" s="9">
        <f>C44+C43</f>
        <v>1.2999999999999998E-2</v>
      </c>
      <c r="D45" t="str">
        <f ca="1">_xlfn.FORMULATEXT(C45)</f>
        <v>=C44+C43</v>
      </c>
    </row>
    <row r="48" spans="1:12" x14ac:dyDescent="0.25">
      <c r="A48" s="38" t="s">
        <v>34</v>
      </c>
      <c r="B48" s="8" t="s">
        <v>19</v>
      </c>
      <c r="C48" s="9">
        <v>2.6666666666666648E-3</v>
      </c>
      <c r="D48" s="40" t="s">
        <v>35</v>
      </c>
    </row>
    <row r="49" spans="1:12" ht="30" x14ac:dyDescent="0.25">
      <c r="A49" s="38"/>
      <c r="B49" s="14" t="s">
        <v>18</v>
      </c>
      <c r="C49" s="9">
        <v>5.1666666666666649E-3</v>
      </c>
      <c r="D49" s="40"/>
    </row>
    <row r="50" spans="1:12" ht="45" x14ac:dyDescent="0.25">
      <c r="A50" s="38"/>
      <c r="B50" s="14" t="s">
        <v>31</v>
      </c>
      <c r="C50" s="9">
        <f>C49+C48</f>
        <v>7.8333333333333293E-3</v>
      </c>
      <c r="D50" t="str">
        <f ca="1">_xlfn.FORMULATEXT(C50)</f>
        <v>=C49+C48</v>
      </c>
    </row>
    <row r="51" spans="1:12" x14ac:dyDescent="0.25">
      <c r="A51" s="20"/>
      <c r="B51" s="15"/>
      <c r="C51" s="4"/>
    </row>
    <row r="52" spans="1:12" x14ac:dyDescent="0.25">
      <c r="A52" s="20"/>
      <c r="B52" s="15"/>
      <c r="C52" s="4"/>
    </row>
    <row r="53" spans="1:12" x14ac:dyDescent="0.25">
      <c r="B53" s="15"/>
      <c r="C53" s="1"/>
      <c r="D53" s="1"/>
      <c r="E53" s="1"/>
    </row>
    <row r="54" spans="1:12" x14ac:dyDescent="0.25">
      <c r="A54" s="1" t="s">
        <v>41</v>
      </c>
      <c r="C54" s="4"/>
      <c r="D54" s="25"/>
    </row>
    <row r="55" spans="1:12" x14ac:dyDescent="0.25">
      <c r="C55" s="4"/>
      <c r="D55" s="25"/>
    </row>
    <row r="56" spans="1:12" ht="45" x14ac:dyDescent="0.25">
      <c r="A56" s="7" t="s">
        <v>42</v>
      </c>
      <c r="B56" s="30" t="s">
        <v>43</v>
      </c>
      <c r="C56" s="7" t="s">
        <v>54</v>
      </c>
      <c r="D56" s="8" t="s">
        <v>46</v>
      </c>
      <c r="E56" s="14" t="s">
        <v>48</v>
      </c>
      <c r="F56" s="14" t="s">
        <v>49</v>
      </c>
      <c r="G56" s="8" t="s">
        <v>47</v>
      </c>
      <c r="H56" s="7" t="s">
        <v>45</v>
      </c>
      <c r="I56" s="41" t="s">
        <v>55</v>
      </c>
      <c r="J56" s="41"/>
    </row>
    <row r="57" spans="1:12" x14ac:dyDescent="0.25">
      <c r="A57" s="6"/>
      <c r="B57" s="6"/>
      <c r="C57" s="9"/>
      <c r="D57" s="12">
        <f>$C$13*$C$10/2</f>
        <v>2675000</v>
      </c>
      <c r="E57" s="12">
        <f ca="1">$C$10*C58/2</f>
        <v>222512.5</v>
      </c>
      <c r="F57" s="12">
        <f ca="1">$C$10*(B58+$C$22)/2</f>
        <v>510000.00000000006</v>
      </c>
      <c r="G57" s="12">
        <f ca="1">D57-E57+F57</f>
        <v>2962487.5</v>
      </c>
      <c r="H57" s="34">
        <f>$C$10*$B$33/2</f>
        <v>2962487.5</v>
      </c>
      <c r="I57" s="42"/>
      <c r="J57" s="42"/>
    </row>
    <row r="58" spans="1:12" x14ac:dyDescent="0.25">
      <c r="A58" s="6">
        <v>1</v>
      </c>
      <c r="B58" s="33">
        <f ca="1">RANDBETWEEN(0,1500)/10000</f>
        <v>1.54E-2</v>
      </c>
      <c r="C58" s="9">
        <f ca="1">B58-$C$16</f>
        <v>8.9005000000000004E-3</v>
      </c>
      <c r="D58" s="12">
        <f>$C$13*$C$10/2</f>
        <v>2675000</v>
      </c>
      <c r="E58" s="12">
        <f ca="1">$C$10*C58/2</f>
        <v>222512.5</v>
      </c>
      <c r="F58" s="12">
        <f ca="1">$C$10*(B58+$C$22)/2</f>
        <v>510000.00000000006</v>
      </c>
      <c r="G58" s="12">
        <f t="shared" ref="G58:G72" ca="1" si="0">D58-E58+F58</f>
        <v>2962487.5</v>
      </c>
      <c r="H58" s="34">
        <f t="shared" ref="H58:H72" si="1">$C$10*$B$33/2</f>
        <v>2962487.5</v>
      </c>
      <c r="I58" s="42" t="str">
        <f ca="1">IF(C58&lt;$C$13,"Morgan is at risk wrt B.F. Goodrich","-")</f>
        <v>Morgan is at risk wrt B.F. Goodrich</v>
      </c>
      <c r="J58" s="42"/>
      <c r="K58" s="4"/>
      <c r="L58" s="4"/>
    </row>
    <row r="59" spans="1:12" x14ac:dyDescent="0.25">
      <c r="A59" s="6"/>
      <c r="B59" s="6"/>
      <c r="C59" s="9"/>
      <c r="D59" s="12">
        <f t="shared" ref="D59:D72" si="2">$C$13*$C$10/2</f>
        <v>2675000</v>
      </c>
      <c r="E59" s="12">
        <f t="shared" ref="E59" ca="1" si="3">$C$10*C60/2</f>
        <v>2567512.5</v>
      </c>
      <c r="F59" s="12">
        <f ca="1">$C$10*(B60+$C$22)/2</f>
        <v>2855000.0000000005</v>
      </c>
      <c r="G59" s="12">
        <f t="shared" ca="1" si="0"/>
        <v>2962487.5000000005</v>
      </c>
      <c r="H59" s="34">
        <f t="shared" si="1"/>
        <v>2962487.5</v>
      </c>
      <c r="I59" s="42"/>
      <c r="J59" s="42"/>
      <c r="K59" s="4"/>
    </row>
    <row r="60" spans="1:12" x14ac:dyDescent="0.25">
      <c r="A60" s="6">
        <v>2</v>
      </c>
      <c r="B60" s="33">
        <f t="shared" ref="B60" ca="1" si="4">RANDBETWEEN(0,1500)/10000</f>
        <v>0.10920000000000001</v>
      </c>
      <c r="C60" s="9">
        <f t="shared" ref="C60" ca="1" si="5">B60-$C$16</f>
        <v>0.1027005</v>
      </c>
      <c r="D60" s="12">
        <f t="shared" si="2"/>
        <v>2675000</v>
      </c>
      <c r="E60" s="12">
        <f t="shared" ref="E60" ca="1" si="6">$C$10*C60/2</f>
        <v>2567512.5</v>
      </c>
      <c r="F60" s="12">
        <f ca="1">$C$10*(B60+$C$22)/2</f>
        <v>2855000.0000000005</v>
      </c>
      <c r="G60" s="12">
        <f t="shared" ca="1" si="0"/>
        <v>2962487.5000000005</v>
      </c>
      <c r="H60" s="34">
        <f t="shared" si="1"/>
        <v>2962487.5</v>
      </c>
      <c r="I60" s="42" t="str">
        <f ca="1">IF(C60&lt;$C$13,"Morgan is at risk wrt B.F. Goodrich","-")</f>
        <v>Morgan is at risk wrt B.F. Goodrich</v>
      </c>
      <c r="J60" s="42"/>
      <c r="K60" s="4"/>
      <c r="L60" s="4"/>
    </row>
    <row r="61" spans="1:12" x14ac:dyDescent="0.25">
      <c r="A61" s="6"/>
      <c r="B61" s="6"/>
      <c r="C61" s="9"/>
      <c r="D61" s="12">
        <f t="shared" si="2"/>
        <v>2675000</v>
      </c>
      <c r="E61" s="12">
        <f t="shared" ref="E61" ca="1" si="7">$C$10*C62/2</f>
        <v>2485012.4999999995</v>
      </c>
      <c r="F61" s="12">
        <f ca="1">$C$10*(B62+$C$22)/2</f>
        <v>2772500</v>
      </c>
      <c r="G61" s="12">
        <f t="shared" ca="1" si="0"/>
        <v>2962487.5000000005</v>
      </c>
      <c r="H61" s="34">
        <f t="shared" si="1"/>
        <v>2962487.5</v>
      </c>
      <c r="I61" s="42"/>
      <c r="J61" s="42"/>
      <c r="K61" s="4"/>
    </row>
    <row r="62" spans="1:12" x14ac:dyDescent="0.25">
      <c r="A62" s="6">
        <v>3</v>
      </c>
      <c r="B62" s="33">
        <f t="shared" ref="B62" ca="1" si="8">RANDBETWEEN(0,1500)/10000</f>
        <v>0.10589999999999999</v>
      </c>
      <c r="C62" s="9">
        <f t="shared" ref="C62" ca="1" si="9">B62-$C$16</f>
        <v>9.9400499999999989E-2</v>
      </c>
      <c r="D62" s="12">
        <f t="shared" si="2"/>
        <v>2675000</v>
      </c>
      <c r="E62" s="12">
        <f t="shared" ref="E62" ca="1" si="10">$C$10*C62/2</f>
        <v>2485012.4999999995</v>
      </c>
      <c r="F62" s="12">
        <f ca="1">$C$10*(B62+$C$22)/2</f>
        <v>2772500</v>
      </c>
      <c r="G62" s="12">
        <f t="shared" ca="1" si="0"/>
        <v>2962487.5000000005</v>
      </c>
      <c r="H62" s="34">
        <f t="shared" si="1"/>
        <v>2962487.5</v>
      </c>
      <c r="I62" s="42" t="str">
        <f t="shared" ref="I62" ca="1" si="11">IF(C62&lt;$C$13,"Morgan is at risk wrt B.F. Goodrich","-")</f>
        <v>Morgan is at risk wrt B.F. Goodrich</v>
      </c>
      <c r="J62" s="42"/>
      <c r="K62" s="4"/>
      <c r="L62" s="4"/>
    </row>
    <row r="63" spans="1:12" x14ac:dyDescent="0.25">
      <c r="A63" s="6"/>
      <c r="B63" s="6"/>
      <c r="C63" s="9"/>
      <c r="D63" s="12">
        <f t="shared" si="2"/>
        <v>2675000</v>
      </c>
      <c r="E63" s="12">
        <f t="shared" ref="E63" ca="1" si="12">$C$10*C64/2</f>
        <v>620012.50000000012</v>
      </c>
      <c r="F63" s="12">
        <f ca="1">$C$10*(B64+$C$22)/2</f>
        <v>907500</v>
      </c>
      <c r="G63" s="12">
        <f t="shared" ca="1" si="0"/>
        <v>2962487.5</v>
      </c>
      <c r="H63" s="34">
        <f t="shared" si="1"/>
        <v>2962487.5</v>
      </c>
      <c r="I63" s="42"/>
      <c r="J63" s="42"/>
      <c r="K63" s="4"/>
    </row>
    <row r="64" spans="1:12" x14ac:dyDescent="0.25">
      <c r="A64" s="6">
        <v>4</v>
      </c>
      <c r="B64" s="33">
        <f t="shared" ref="B64" ca="1" si="13">RANDBETWEEN(0,1500)/10000</f>
        <v>3.1300000000000001E-2</v>
      </c>
      <c r="C64" s="9">
        <f t="shared" ref="C64" ca="1" si="14">B64-$C$16</f>
        <v>2.4800500000000003E-2</v>
      </c>
      <c r="D64" s="12">
        <f t="shared" si="2"/>
        <v>2675000</v>
      </c>
      <c r="E64" s="12">
        <f t="shared" ref="E64" ca="1" si="15">$C$10*C64/2</f>
        <v>620012.50000000012</v>
      </c>
      <c r="F64" s="12">
        <f ca="1">$C$10*(B64+$C$22)/2</f>
        <v>907500</v>
      </c>
      <c r="G64" s="12">
        <f t="shared" ca="1" si="0"/>
        <v>2962487.5</v>
      </c>
      <c r="H64" s="34">
        <f t="shared" si="1"/>
        <v>2962487.5</v>
      </c>
      <c r="I64" s="42" t="str">
        <f t="shared" ref="I64" ca="1" si="16">IF(C64&lt;$C$13,"Morgan is at risk wrt B.F. Goodrich","-")</f>
        <v>Morgan is at risk wrt B.F. Goodrich</v>
      </c>
      <c r="J64" s="42"/>
      <c r="K64" s="4"/>
      <c r="L64" s="4"/>
    </row>
    <row r="65" spans="1:12" x14ac:dyDescent="0.25">
      <c r="A65" s="6"/>
      <c r="B65" s="6"/>
      <c r="C65" s="9"/>
      <c r="D65" s="12">
        <f t="shared" si="2"/>
        <v>2675000</v>
      </c>
      <c r="E65" s="12">
        <f t="shared" ref="E65" ca="1" si="17">$C$10*C66/2</f>
        <v>2812512.4999999995</v>
      </c>
      <c r="F65" s="12">
        <f ca="1">$C$10*(B66+$C$22)/2</f>
        <v>3100000</v>
      </c>
      <c r="G65" s="12">
        <f t="shared" ca="1" si="0"/>
        <v>2962487.5000000005</v>
      </c>
      <c r="H65" s="34">
        <f t="shared" si="1"/>
        <v>2962487.5</v>
      </c>
      <c r="I65" s="42"/>
      <c r="J65" s="42"/>
      <c r="K65" s="4"/>
    </row>
    <row r="66" spans="1:12" x14ac:dyDescent="0.25">
      <c r="A66" s="6">
        <v>5</v>
      </c>
      <c r="B66" s="33">
        <f t="shared" ref="B66" ca="1" si="18">RANDBETWEEN(0,1500)/10000</f>
        <v>0.11899999999999999</v>
      </c>
      <c r="C66" s="9">
        <f t="shared" ref="C66" ca="1" si="19">B66-$C$16</f>
        <v>0.11250049999999999</v>
      </c>
      <c r="D66" s="12">
        <f t="shared" si="2"/>
        <v>2675000</v>
      </c>
      <c r="E66" s="12">
        <f t="shared" ref="E66" ca="1" si="20">$C$10*C66/2</f>
        <v>2812512.4999999995</v>
      </c>
      <c r="F66" s="12">
        <f ca="1">$C$10*(B66+$C$22)/2</f>
        <v>3100000</v>
      </c>
      <c r="G66" s="12">
        <f t="shared" ca="1" si="0"/>
        <v>2962487.5000000005</v>
      </c>
      <c r="H66" s="34">
        <f t="shared" si="1"/>
        <v>2962487.5</v>
      </c>
      <c r="I66" s="42" t="str">
        <f t="shared" ref="I66" ca="1" si="21">IF(C66&lt;$C$13,"Morgan is at risk wrt B.F. Goodrich","-")</f>
        <v>-</v>
      </c>
      <c r="J66" s="42"/>
      <c r="K66" s="4"/>
      <c r="L66" s="4"/>
    </row>
    <row r="67" spans="1:12" x14ac:dyDescent="0.25">
      <c r="A67" s="6"/>
      <c r="B67" s="6"/>
      <c r="C67" s="9"/>
      <c r="D67" s="12">
        <f t="shared" si="2"/>
        <v>2675000</v>
      </c>
      <c r="E67" s="12">
        <f t="shared" ref="E67" ca="1" si="22">$C$10*C68/2</f>
        <v>1862512.5</v>
      </c>
      <c r="F67" s="12">
        <f ca="1">$C$10*(B68+$C$22)/2</f>
        <v>2150000</v>
      </c>
      <c r="G67" s="12">
        <f t="shared" ca="1" si="0"/>
        <v>2962487.5</v>
      </c>
      <c r="H67" s="34">
        <f t="shared" si="1"/>
        <v>2962487.5</v>
      </c>
      <c r="I67" s="42"/>
      <c r="J67" s="42"/>
      <c r="K67" s="4"/>
    </row>
    <row r="68" spans="1:12" x14ac:dyDescent="0.25">
      <c r="A68" s="6">
        <v>6</v>
      </c>
      <c r="B68" s="33">
        <f t="shared" ref="B68" ca="1" si="23">RANDBETWEEN(0,1500)/10000</f>
        <v>8.1000000000000003E-2</v>
      </c>
      <c r="C68" s="9">
        <f t="shared" ref="C68" ca="1" si="24">B68-$C$16</f>
        <v>7.4500499999999997E-2</v>
      </c>
      <c r="D68" s="12">
        <f t="shared" si="2"/>
        <v>2675000</v>
      </c>
      <c r="E68" s="12">
        <f t="shared" ref="E68" ca="1" si="25">$C$10*C68/2</f>
        <v>1862512.5</v>
      </c>
      <c r="F68" s="12">
        <f ca="1">$C$10*(B68+$C$22)/2</f>
        <v>2150000</v>
      </c>
      <c r="G68" s="12">
        <f t="shared" ca="1" si="0"/>
        <v>2962487.5</v>
      </c>
      <c r="H68" s="34">
        <f t="shared" si="1"/>
        <v>2962487.5</v>
      </c>
      <c r="I68" s="42" t="str">
        <f t="shared" ref="I68" ca="1" si="26">IF(C68&lt;$C$13,"Morgan is at risk wrt B.F. Goodrich","-")</f>
        <v>Morgan is at risk wrt B.F. Goodrich</v>
      </c>
      <c r="J68" s="42"/>
      <c r="K68" s="4"/>
      <c r="L68" s="4"/>
    </row>
    <row r="69" spans="1:12" x14ac:dyDescent="0.25">
      <c r="A69" s="6"/>
      <c r="B69" s="6"/>
      <c r="C69" s="9"/>
      <c r="D69" s="12">
        <f t="shared" si="2"/>
        <v>2675000</v>
      </c>
      <c r="E69" s="12">
        <f t="shared" ref="E69" ca="1" si="27">$C$10*C70/2</f>
        <v>85012.500000000015</v>
      </c>
      <c r="F69" s="12">
        <f ca="1">$C$10*(B70+$C$22)/2</f>
        <v>372500</v>
      </c>
      <c r="G69" s="12">
        <f t="shared" ca="1" si="0"/>
        <v>2962487.5</v>
      </c>
      <c r="H69" s="34">
        <f t="shared" si="1"/>
        <v>2962487.5</v>
      </c>
      <c r="I69" s="42"/>
      <c r="J69" s="42"/>
      <c r="K69" s="4"/>
    </row>
    <row r="70" spans="1:12" x14ac:dyDescent="0.25">
      <c r="A70" s="6">
        <v>7</v>
      </c>
      <c r="B70" s="33">
        <f t="shared" ref="B70" ca="1" si="28">RANDBETWEEN(0,1500)/10000</f>
        <v>9.9000000000000008E-3</v>
      </c>
      <c r="C70" s="9">
        <f ca="1">B70-$C$16</f>
        <v>3.4005000000000007E-3</v>
      </c>
      <c r="D70" s="12">
        <f t="shared" si="2"/>
        <v>2675000</v>
      </c>
      <c r="E70" s="12">
        <f t="shared" ref="E70" ca="1" si="29">$C$10*C70/2</f>
        <v>85012.500000000015</v>
      </c>
      <c r="F70" s="12">
        <f ca="1">$C$10*(B70+$C$22)/2</f>
        <v>372500</v>
      </c>
      <c r="G70" s="12">
        <f t="shared" ca="1" si="0"/>
        <v>2962487.5</v>
      </c>
      <c r="H70" s="34">
        <f t="shared" si="1"/>
        <v>2962487.5</v>
      </c>
      <c r="I70" s="42" t="str">
        <f t="shared" ref="I70" ca="1" si="30">IF(C70&lt;$C$13,"Morgan is at risk wrt B.F. Goodrich","-")</f>
        <v>Morgan is at risk wrt B.F. Goodrich</v>
      </c>
      <c r="J70" s="42"/>
      <c r="K70" s="4"/>
      <c r="L70" s="4"/>
    </row>
    <row r="71" spans="1:12" x14ac:dyDescent="0.25">
      <c r="A71" s="6"/>
      <c r="B71" s="6"/>
      <c r="C71" s="9"/>
      <c r="D71" s="12">
        <f t="shared" si="2"/>
        <v>2675000</v>
      </c>
      <c r="E71" s="12">
        <f t="shared" ref="E71" ca="1" si="31">$C$10*C72/2</f>
        <v>1040012.5</v>
      </c>
      <c r="F71" s="12">
        <f ca="1">$C$10*(B72+$C$22)/2</f>
        <v>1327499.9999999998</v>
      </c>
      <c r="G71" s="12">
        <f t="shared" ca="1" si="0"/>
        <v>2962487.5</v>
      </c>
      <c r="H71" s="34">
        <f t="shared" si="1"/>
        <v>2962487.5</v>
      </c>
      <c r="I71" s="42"/>
      <c r="J71" s="42"/>
      <c r="K71" s="4"/>
    </row>
    <row r="72" spans="1:12" x14ac:dyDescent="0.25">
      <c r="A72" s="6">
        <v>8</v>
      </c>
      <c r="B72" s="33">
        <f t="shared" ref="B72" ca="1" si="32">RANDBETWEEN(0,1500)/10000</f>
        <v>4.8099999999999997E-2</v>
      </c>
      <c r="C72" s="9">
        <f ca="1">B72-$C$16</f>
        <v>4.1600499999999999E-2</v>
      </c>
      <c r="D72" s="12">
        <f t="shared" si="2"/>
        <v>2675000</v>
      </c>
      <c r="E72" s="12">
        <f t="shared" ref="E72" ca="1" si="33">$C$10*C72/2</f>
        <v>1040012.5</v>
      </c>
      <c r="F72" s="12">
        <f ca="1">$C$10*(B72+$C$22)/2</f>
        <v>1327499.9999999998</v>
      </c>
      <c r="G72" s="12">
        <f t="shared" ca="1" si="0"/>
        <v>2962487.5</v>
      </c>
      <c r="H72" s="34">
        <f t="shared" si="1"/>
        <v>2962487.5</v>
      </c>
      <c r="I72" s="42" t="str">
        <f t="shared" ref="I72" ca="1" si="34">IF(C72&lt;$C$13,"Morgan is at risk wrt B.F. Goodrich","-")</f>
        <v>Morgan is at risk wrt B.F. Goodrich</v>
      </c>
      <c r="J72" s="42"/>
      <c r="K72" s="4"/>
      <c r="L72" s="4"/>
    </row>
    <row r="73" spans="1:12" x14ac:dyDescent="0.25">
      <c r="C73" s="5" t="str">
        <f ca="1">_xlfn.FORMULATEXT(C72)</f>
        <v>=B72-$C$16</v>
      </c>
      <c r="D73" s="5" t="str">
        <f ca="1">_xlfn.FORMULATEXT(D72)</f>
        <v>=$C$13*$C$10/2</v>
      </c>
      <c r="E73" s="5" t="str">
        <f t="shared" ref="E73:H73" ca="1" si="35">_xlfn.FORMULATEXT(E72)</f>
        <v>=$C$10*C72/2</v>
      </c>
      <c r="F73" s="5" t="str">
        <f t="shared" ca="1" si="35"/>
        <v>=$C$10*(B72+$C$22)/2</v>
      </c>
      <c r="G73" s="5" t="str">
        <f t="shared" ca="1" si="35"/>
        <v>=D72-E72+F72</v>
      </c>
      <c r="H73" s="5" t="str">
        <f t="shared" ca="1" si="35"/>
        <v>=$C$10*$B$33/2</v>
      </c>
      <c r="I73" t="str">
        <f ca="1">_xlfn.FORMULATEXT(I72)</f>
        <v>=IF(C72&lt;$C$13,"Morgan is at risk wrt B.F. Goodrich","-")</v>
      </c>
      <c r="K73" s="4"/>
    </row>
    <row r="78" spans="1:12" ht="30" x14ac:dyDescent="0.25">
      <c r="A78" s="7" t="s">
        <v>42</v>
      </c>
      <c r="B78" s="30" t="s">
        <v>43</v>
      </c>
      <c r="C78" s="7" t="s">
        <v>56</v>
      </c>
      <c r="D78" s="14" t="s">
        <v>50</v>
      </c>
      <c r="E78" s="14" t="s">
        <v>51</v>
      </c>
      <c r="F78" s="8" t="s">
        <v>52</v>
      </c>
      <c r="G78" s="8" t="s">
        <v>53</v>
      </c>
      <c r="H78" s="31" t="s">
        <v>44</v>
      </c>
      <c r="I78" s="41" t="s">
        <v>55</v>
      </c>
      <c r="J78" s="41"/>
    </row>
    <row r="79" spans="1:12" x14ac:dyDescent="0.25">
      <c r="A79" s="6"/>
      <c r="B79" s="6"/>
      <c r="C79" s="6"/>
      <c r="D79" s="12">
        <f ca="1">$C$10*(B80-$C$14)/2</f>
        <v>285012.5</v>
      </c>
      <c r="E79" s="12">
        <f>$C$10*$C$13/2</f>
        <v>2675000</v>
      </c>
      <c r="F79" s="12">
        <f>$C$10*$C$13/2</f>
        <v>2675000</v>
      </c>
      <c r="G79" s="12">
        <f ca="1">D79-E79+F79</f>
        <v>285012.5</v>
      </c>
      <c r="H79" s="32">
        <f ca="1">$C$10*(B80+$B$34)/2</f>
        <v>285012.5</v>
      </c>
      <c r="I79" s="42"/>
      <c r="J79" s="42"/>
    </row>
    <row r="80" spans="1:12" x14ac:dyDescent="0.25">
      <c r="A80" s="6">
        <v>1</v>
      </c>
      <c r="B80" s="9">
        <f ca="1">B58</f>
        <v>1.54E-2</v>
      </c>
      <c r="C80" s="9">
        <f ca="1">B80-$C$14</f>
        <v>1.1400500000000001E-2</v>
      </c>
      <c r="D80" s="12">
        <f ca="1">$C$10*(B80-$C$14)/2</f>
        <v>285012.5</v>
      </c>
      <c r="E80" s="12">
        <f t="shared" ref="E80:F94" si="36">$C$10*$C$13/2</f>
        <v>2675000</v>
      </c>
      <c r="F80" s="12">
        <f t="shared" si="36"/>
        <v>2675000</v>
      </c>
      <c r="G80" s="12">
        <f t="shared" ref="G80:G94" ca="1" si="37">D80-E80+F80</f>
        <v>285012.5</v>
      </c>
      <c r="H80" s="32">
        <f ca="1">$C$10*(B80+$B$34)/2</f>
        <v>285012.5</v>
      </c>
      <c r="I80" s="42" t="str">
        <f ca="1">IF(C80&gt;$C$13,"Morgan is at risk wrt Rabobank","-")</f>
        <v>-</v>
      </c>
      <c r="J80" s="42"/>
    </row>
    <row r="81" spans="1:10" x14ac:dyDescent="0.25">
      <c r="A81" s="6"/>
      <c r="B81" s="6"/>
      <c r="C81" s="6"/>
      <c r="D81" s="12">
        <f ca="1">$C$10*(B82-$C$14)/2</f>
        <v>2630012.5</v>
      </c>
      <c r="E81" s="12">
        <f t="shared" si="36"/>
        <v>2675000</v>
      </c>
      <c r="F81" s="12">
        <f t="shared" si="36"/>
        <v>2675000</v>
      </c>
      <c r="G81" s="12">
        <f t="shared" ca="1" si="37"/>
        <v>2630012.5</v>
      </c>
      <c r="H81" s="32">
        <f ca="1">$C$10*(B82+$B$34)/2</f>
        <v>2630012.5</v>
      </c>
      <c r="I81" s="42"/>
      <c r="J81" s="42"/>
    </row>
    <row r="82" spans="1:10" x14ac:dyDescent="0.25">
      <c r="A82" s="6">
        <v>2</v>
      </c>
      <c r="B82" s="9">
        <f t="shared" ref="B82" ca="1" si="38">B60</f>
        <v>0.10920000000000001</v>
      </c>
      <c r="C82" s="9">
        <f t="shared" ref="C82" ca="1" si="39">B82-$C$14</f>
        <v>0.1052005</v>
      </c>
      <c r="D82" s="12">
        <f ca="1">$C$10*(B82-$C$14)/2</f>
        <v>2630012.5</v>
      </c>
      <c r="E82" s="12">
        <f t="shared" si="36"/>
        <v>2675000</v>
      </c>
      <c r="F82" s="12">
        <f t="shared" si="36"/>
        <v>2675000</v>
      </c>
      <c r="G82" s="12">
        <f t="shared" ca="1" si="37"/>
        <v>2630012.5</v>
      </c>
      <c r="H82" s="32">
        <f ca="1">$C$10*(B82+$B$34)/2</f>
        <v>2630012.5</v>
      </c>
      <c r="I82" s="42" t="str">
        <f t="shared" ref="I82" ca="1" si="40">IF(C82&gt;$C$13,"Morgan is at risk wrt Rabobank","-")</f>
        <v>-</v>
      </c>
      <c r="J82" s="42"/>
    </row>
    <row r="83" spans="1:10" x14ac:dyDescent="0.25">
      <c r="A83" s="6"/>
      <c r="B83" s="6"/>
      <c r="C83" s="6"/>
      <c r="D83" s="12">
        <f ca="1">$C$10*(B84-$C$14)/2</f>
        <v>2547512.5</v>
      </c>
      <c r="E83" s="12">
        <f t="shared" si="36"/>
        <v>2675000</v>
      </c>
      <c r="F83" s="12">
        <f t="shared" si="36"/>
        <v>2675000</v>
      </c>
      <c r="G83" s="12">
        <f t="shared" ca="1" si="37"/>
        <v>2547512.5</v>
      </c>
      <c r="H83" s="32">
        <f ca="1">$C$10*(B84+$B$34)/2</f>
        <v>2547512.5</v>
      </c>
      <c r="I83" s="42"/>
      <c r="J83" s="42"/>
    </row>
    <row r="84" spans="1:10" x14ac:dyDescent="0.25">
      <c r="A84" s="6">
        <v>3</v>
      </c>
      <c r="B84" s="9">
        <f t="shared" ref="B84" ca="1" si="41">B62</f>
        <v>0.10589999999999999</v>
      </c>
      <c r="C84" s="9">
        <f t="shared" ref="C84" ca="1" si="42">B84-$C$14</f>
        <v>0.10190049999999999</v>
      </c>
      <c r="D84" s="12">
        <f ca="1">$C$10*(B84-$C$14)/2</f>
        <v>2547512.5</v>
      </c>
      <c r="E84" s="12">
        <f t="shared" si="36"/>
        <v>2675000</v>
      </c>
      <c r="F84" s="12">
        <f t="shared" si="36"/>
        <v>2675000</v>
      </c>
      <c r="G84" s="12">
        <f t="shared" ca="1" si="37"/>
        <v>2547512.5</v>
      </c>
      <c r="H84" s="32">
        <f ca="1">$C$10*(B84+$B$34)/2</f>
        <v>2547512.5</v>
      </c>
      <c r="I84" s="42" t="str">
        <f t="shared" ref="I84" ca="1" si="43">IF(C84&gt;$C$13,"Morgan is at risk wrt Rabobank","-")</f>
        <v>-</v>
      </c>
      <c r="J84" s="42"/>
    </row>
    <row r="85" spans="1:10" x14ac:dyDescent="0.25">
      <c r="A85" s="6"/>
      <c r="B85" s="6"/>
      <c r="C85" s="6"/>
      <c r="D85" s="12">
        <f ca="1">$C$10*(B86-$C$14)/2</f>
        <v>682512.5</v>
      </c>
      <c r="E85" s="12">
        <f t="shared" si="36"/>
        <v>2675000</v>
      </c>
      <c r="F85" s="12">
        <f t="shared" si="36"/>
        <v>2675000</v>
      </c>
      <c r="G85" s="12">
        <f t="shared" ca="1" si="37"/>
        <v>682512.5</v>
      </c>
      <c r="H85" s="32">
        <f ca="1">$C$10*(B86+$B$34)/2</f>
        <v>682512.5</v>
      </c>
      <c r="I85" s="42"/>
      <c r="J85" s="42"/>
    </row>
    <row r="86" spans="1:10" x14ac:dyDescent="0.25">
      <c r="A86" s="6">
        <v>4</v>
      </c>
      <c r="B86" s="9">
        <f t="shared" ref="B86" ca="1" si="44">B64</f>
        <v>3.1300000000000001E-2</v>
      </c>
      <c r="C86" s="9">
        <f t="shared" ref="C86" ca="1" si="45">B86-$C$14</f>
        <v>2.7300500000000002E-2</v>
      </c>
      <c r="D86" s="12">
        <f ca="1">$C$10*(B86-$C$14)/2</f>
        <v>682512.5</v>
      </c>
      <c r="E86" s="12">
        <f t="shared" si="36"/>
        <v>2675000</v>
      </c>
      <c r="F86" s="12">
        <f t="shared" si="36"/>
        <v>2675000</v>
      </c>
      <c r="G86" s="12">
        <f t="shared" ca="1" si="37"/>
        <v>682512.5</v>
      </c>
      <c r="H86" s="32">
        <f ca="1">$C$10*(B86+$B$34)/2</f>
        <v>682512.5</v>
      </c>
      <c r="I86" s="42" t="str">
        <f t="shared" ref="I86" ca="1" si="46">IF(C86&gt;$C$13,"Morgan is at risk wrt Rabobank","-")</f>
        <v>-</v>
      </c>
      <c r="J86" s="42"/>
    </row>
    <row r="87" spans="1:10" x14ac:dyDescent="0.25">
      <c r="A87" s="6"/>
      <c r="B87" s="6"/>
      <c r="C87" s="6"/>
      <c r="D87" s="12">
        <f ca="1">$C$10*(B88-$C$14)/2</f>
        <v>2875012.5</v>
      </c>
      <c r="E87" s="12">
        <f t="shared" si="36"/>
        <v>2675000</v>
      </c>
      <c r="F87" s="12">
        <f t="shared" si="36"/>
        <v>2675000</v>
      </c>
      <c r="G87" s="12">
        <f t="shared" ca="1" si="37"/>
        <v>2875012.5</v>
      </c>
      <c r="H87" s="32">
        <f ca="1">$C$10*(B88+$B$34)/2</f>
        <v>2875012.5</v>
      </c>
      <c r="I87" s="42"/>
      <c r="J87" s="42"/>
    </row>
    <row r="88" spans="1:10" x14ac:dyDescent="0.25">
      <c r="A88" s="6">
        <v>5</v>
      </c>
      <c r="B88" s="9">
        <f t="shared" ref="B88" ca="1" si="47">B66</f>
        <v>0.11899999999999999</v>
      </c>
      <c r="C88" s="9">
        <f t="shared" ref="C88" ca="1" si="48">B88-$C$14</f>
        <v>0.11500049999999999</v>
      </c>
      <c r="D88" s="12">
        <f ca="1">$C$10*(B88-$C$14)/2</f>
        <v>2875012.5</v>
      </c>
      <c r="E88" s="12">
        <f t="shared" si="36"/>
        <v>2675000</v>
      </c>
      <c r="F88" s="12">
        <f t="shared" si="36"/>
        <v>2675000</v>
      </c>
      <c r="G88" s="12">
        <f t="shared" ca="1" si="37"/>
        <v>2875012.5</v>
      </c>
      <c r="H88" s="32">
        <f ca="1">$C$10*(B88+$B$34)/2</f>
        <v>2875012.5</v>
      </c>
      <c r="I88" s="42" t="str">
        <f t="shared" ref="I88" ca="1" si="49">IF(C88&gt;$C$13,"Morgan is at risk wrt Rabobank","-")</f>
        <v>Morgan is at risk wrt Rabobank</v>
      </c>
      <c r="J88" s="42"/>
    </row>
    <row r="89" spans="1:10" x14ac:dyDescent="0.25">
      <c r="A89" s="6"/>
      <c r="B89" s="6"/>
      <c r="C89" s="6"/>
      <c r="D89" s="12">
        <f ca="1">$C$10*(B90-$C$14)/2</f>
        <v>1925012.5</v>
      </c>
      <c r="E89" s="12">
        <f t="shared" si="36"/>
        <v>2675000</v>
      </c>
      <c r="F89" s="12">
        <f t="shared" si="36"/>
        <v>2675000</v>
      </c>
      <c r="G89" s="12">
        <f t="shared" ca="1" si="37"/>
        <v>1925012.5</v>
      </c>
      <c r="H89" s="32">
        <f ca="1">$C$10*(B90+$B$34)/2</f>
        <v>1925012.5</v>
      </c>
      <c r="I89" s="42"/>
      <c r="J89" s="42"/>
    </row>
    <row r="90" spans="1:10" x14ac:dyDescent="0.25">
      <c r="A90" s="6">
        <v>6</v>
      </c>
      <c r="B90" s="9">
        <f t="shared" ref="B90" ca="1" si="50">B68</f>
        <v>8.1000000000000003E-2</v>
      </c>
      <c r="C90" s="9">
        <f t="shared" ref="C90" ca="1" si="51">B90-$C$14</f>
        <v>7.70005E-2</v>
      </c>
      <c r="D90" s="12">
        <f ca="1">$C$10*(B90-$C$14)/2</f>
        <v>1925012.5</v>
      </c>
      <c r="E90" s="12">
        <f t="shared" si="36"/>
        <v>2675000</v>
      </c>
      <c r="F90" s="12">
        <f t="shared" si="36"/>
        <v>2675000</v>
      </c>
      <c r="G90" s="12">
        <f t="shared" ca="1" si="37"/>
        <v>1925012.5</v>
      </c>
      <c r="H90" s="32">
        <f ca="1">$C$10*(B90+$B$34)/2</f>
        <v>1925012.5</v>
      </c>
      <c r="I90" s="42" t="str">
        <f t="shared" ref="I90" ca="1" si="52">IF(C90&gt;$C$13,"Morgan is at risk wrt Rabobank","-")</f>
        <v>-</v>
      </c>
      <c r="J90" s="42"/>
    </row>
    <row r="91" spans="1:10" x14ac:dyDescent="0.25">
      <c r="A91" s="6"/>
      <c r="B91" s="6"/>
      <c r="C91" s="6"/>
      <c r="D91" s="12">
        <f ca="1">$C$10*(B92-$C$14)/2</f>
        <v>147512.50000000003</v>
      </c>
      <c r="E91" s="12">
        <f t="shared" si="36"/>
        <v>2675000</v>
      </c>
      <c r="F91" s="12">
        <f t="shared" si="36"/>
        <v>2675000</v>
      </c>
      <c r="G91" s="12">
        <f t="shared" ca="1" si="37"/>
        <v>147512.5</v>
      </c>
      <c r="H91" s="32">
        <f ca="1">$C$10*(B92+$B$34)/2</f>
        <v>147512.50000000003</v>
      </c>
      <c r="I91" s="42"/>
      <c r="J91" s="42"/>
    </row>
    <row r="92" spans="1:10" x14ac:dyDescent="0.25">
      <c r="A92" s="6">
        <v>7</v>
      </c>
      <c r="B92" s="9">
        <f t="shared" ref="B92" ca="1" si="53">B70</f>
        <v>9.9000000000000008E-3</v>
      </c>
      <c r="C92" s="9">
        <f t="shared" ref="C92" ca="1" si="54">B92-$C$14</f>
        <v>5.9005000000000012E-3</v>
      </c>
      <c r="D92" s="12">
        <f ca="1">$C$10*(B92-$C$14)/2</f>
        <v>147512.50000000003</v>
      </c>
      <c r="E92" s="12">
        <f t="shared" si="36"/>
        <v>2675000</v>
      </c>
      <c r="F92" s="12">
        <f t="shared" si="36"/>
        <v>2675000</v>
      </c>
      <c r="G92" s="12">
        <f t="shared" ca="1" si="37"/>
        <v>147512.5</v>
      </c>
      <c r="H92" s="32">
        <f ca="1">$C$10*(B92+$B$34)/2</f>
        <v>147512.50000000003</v>
      </c>
      <c r="I92" s="42" t="str">
        <f t="shared" ref="I92" ca="1" si="55">IF(C92&gt;$C$13,"Morgan is at risk wrt Rabobank","-")</f>
        <v>-</v>
      </c>
      <c r="J92" s="42"/>
    </row>
    <row r="93" spans="1:10" x14ac:dyDescent="0.25">
      <c r="A93" s="6"/>
      <c r="B93" s="6"/>
      <c r="C93" s="6"/>
      <c r="D93" s="12">
        <f ca="1">$C$10*(B94-$C$14)/2</f>
        <v>1102512.5</v>
      </c>
      <c r="E93" s="12">
        <f t="shared" si="36"/>
        <v>2675000</v>
      </c>
      <c r="F93" s="12">
        <f t="shared" si="36"/>
        <v>2675000</v>
      </c>
      <c r="G93" s="12">
        <f t="shared" ca="1" si="37"/>
        <v>1102512.5</v>
      </c>
      <c r="H93" s="32">
        <f ca="1">$C$10*(B94+$B$34)/2</f>
        <v>1102512.5</v>
      </c>
      <c r="I93" s="42"/>
      <c r="J93" s="42"/>
    </row>
    <row r="94" spans="1:10" x14ac:dyDescent="0.25">
      <c r="A94" s="6">
        <v>8</v>
      </c>
      <c r="B94" s="9">
        <f t="shared" ref="B94" ca="1" si="56">B72</f>
        <v>4.8099999999999997E-2</v>
      </c>
      <c r="C94" s="9">
        <f t="shared" ref="C94" ca="1" si="57">B94-$C$14</f>
        <v>4.4100500000000001E-2</v>
      </c>
      <c r="D94" s="12">
        <f ca="1">$C$10*(B94-$C$14)/2</f>
        <v>1102512.5</v>
      </c>
      <c r="E94" s="12">
        <f t="shared" si="36"/>
        <v>2675000</v>
      </c>
      <c r="F94" s="12">
        <f t="shared" si="36"/>
        <v>2675000</v>
      </c>
      <c r="G94" s="12">
        <f t="shared" ca="1" si="37"/>
        <v>1102512.5</v>
      </c>
      <c r="H94" s="32">
        <f ca="1">$C$10*(B94+$B$34)/2</f>
        <v>1102512.5</v>
      </c>
      <c r="I94" s="42" t="str">
        <f t="shared" ref="I94" ca="1" si="58">IF(C94&gt;$C$13,"Morgan is at risk wrt Rabobank","-")</f>
        <v>-</v>
      </c>
      <c r="J94" s="42"/>
    </row>
    <row r="95" spans="1:10" x14ac:dyDescent="0.25">
      <c r="B95" s="5" t="str">
        <f ca="1">_xlfn.FORMULATEXT(B94)</f>
        <v>=B72</v>
      </c>
      <c r="C95" s="5" t="str">
        <f ca="1">_xlfn.FORMULATEXT(C94)</f>
        <v>=B94-$C$14</v>
      </c>
      <c r="D95" s="5" t="str">
        <f t="shared" ref="D95:H95" ca="1" si="59">_xlfn.FORMULATEXT(D94)</f>
        <v>=$C$10*(B94-$C$14)/2</v>
      </c>
      <c r="E95" s="5" t="str">
        <f t="shared" ca="1" si="59"/>
        <v>=$C$10*$C$13/2</v>
      </c>
      <c r="F95" s="5" t="str">
        <f t="shared" ca="1" si="59"/>
        <v>=$C$10*$C$13/2</v>
      </c>
      <c r="G95" s="5" t="str">
        <f t="shared" ca="1" si="59"/>
        <v>=D94-E94+F94</v>
      </c>
      <c r="H95" s="5" t="str">
        <f t="shared" ca="1" si="59"/>
        <v>=$C$10*(B94+$B$34)/2</v>
      </c>
      <c r="I95" s="43" t="str">
        <f ca="1">_xlfn.FORMULATEXT(I94)</f>
        <v>=IF(C94&gt;$C$13,"Morgan is at risk wrt Rabobank","-")</v>
      </c>
      <c r="J95" s="43"/>
    </row>
  </sheetData>
  <mergeCells count="42">
    <mergeCell ref="I92:J92"/>
    <mergeCell ref="I93:J93"/>
    <mergeCell ref="I94:J94"/>
    <mergeCell ref="I95:J95"/>
    <mergeCell ref="I87:J87"/>
    <mergeCell ref="I88:J88"/>
    <mergeCell ref="I89:J89"/>
    <mergeCell ref="I90:J90"/>
    <mergeCell ref="I91:J91"/>
    <mergeCell ref="I82:J82"/>
    <mergeCell ref="I83:J83"/>
    <mergeCell ref="I84:J84"/>
    <mergeCell ref="I85:J85"/>
    <mergeCell ref="I86:J86"/>
    <mergeCell ref="I78:J78"/>
    <mergeCell ref="I79:J79"/>
    <mergeCell ref="I80:J80"/>
    <mergeCell ref="I81:J81"/>
    <mergeCell ref="I61:J61"/>
    <mergeCell ref="I62:J62"/>
    <mergeCell ref="I72:J72"/>
    <mergeCell ref="I70:J70"/>
    <mergeCell ref="I68:J68"/>
    <mergeCell ref="I66:J66"/>
    <mergeCell ref="I64:J64"/>
    <mergeCell ref="I63:J63"/>
    <mergeCell ref="I65:J65"/>
    <mergeCell ref="I67:J67"/>
    <mergeCell ref="I69:J69"/>
    <mergeCell ref="I71:J71"/>
    <mergeCell ref="I56:J56"/>
    <mergeCell ref="I57:J57"/>
    <mergeCell ref="I58:J58"/>
    <mergeCell ref="I59:J59"/>
    <mergeCell ref="I60:J60"/>
    <mergeCell ref="AB27:AB29"/>
    <mergeCell ref="R27:R29"/>
    <mergeCell ref="A48:A50"/>
    <mergeCell ref="D48:D49"/>
    <mergeCell ref="B20:C20"/>
    <mergeCell ref="A43:A45"/>
    <mergeCell ref="D43:D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Kota, Yamini Suguna</dc:creator>
  <cp:lastModifiedBy>Kota, Yamini Suguna</cp:lastModifiedBy>
  <dcterms:created xsi:type="dcterms:W3CDTF">2024-11-24T02:48:27Z</dcterms:created>
  <dcterms:modified xsi:type="dcterms:W3CDTF">2024-12-08T23:50:10Z</dcterms:modified>
</cp:coreProperties>
</file>