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codeName="ThisWorkbook" defaultThemeVersion="124226"/>
  <xr:revisionPtr revIDLastSave="0" documentId="13_ncr:1_{63C3A0E1-AE8B-4E1D-8BA2-2945C8744AC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Exam Info" sheetId="2" r:id="rId1"/>
    <sheet name="Cover" sheetId="3" r:id="rId2"/>
    <sheet name="Summary" sheetId="4" r:id="rId3"/>
    <sheet name="Assumptions" sheetId="5" r:id="rId4"/>
    <sheet name="Scenarios" sheetId="6" r:id="rId5"/>
    <sheet name="Model" sheetId="1" r:id="rId6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40869.3787037037</definedName>
    <definedName name="IQ_NTM" hidden="1">6000</definedName>
    <definedName name="IQ_OPENED55" hidden="1">1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A8" hidden="1">"$A$9:$A$261"</definedName>
    <definedName name="IQRB8" hidden="1">"$B$9:$B$261"</definedName>
    <definedName name="IQRC8" hidden="1">"$C$9:$C$261"</definedName>
    <definedName name="_xlnm.Print_Area" localSheetId="3">Assumptions!$B$2:$N$31,Assumptions!$B$34:$N$66</definedName>
    <definedName name="_xlnm.Print_Area" localSheetId="1">Cover!$A$2:$J$22</definedName>
    <definedName name="_xlnm.Print_Area" localSheetId="5">Model!$B$1:$N$39,Model!$B$41:$N$79,Model!$B$82:$N$130,Model!$B$133:$N$152,Model!$B$154:$N$177,Model!$B$179:$N$204,Model!$B$206:$N$226,Model!$B$228:$N$271,Model!$B$273:$N$305,Model!$B$307:$N$364</definedName>
    <definedName name="_xlnm.Print_Area" localSheetId="4">Scenarios!$B$2:$N$31</definedName>
    <definedName name="_xlnm.Print_Area" localSheetId="2">Summary!$B$2:$N$54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3" i="1" l="1"/>
  <c r="H123" i="1"/>
  <c r="I123" i="1"/>
  <c r="G123" i="1"/>
  <c r="H115" i="1"/>
  <c r="I115" i="1"/>
  <c r="G115" i="1"/>
  <c r="G108" i="1"/>
  <c r="G102" i="1"/>
  <c r="G100" i="1"/>
  <c r="G94" i="1"/>
  <c r="G55" i="1"/>
  <c r="H74" i="1"/>
  <c r="I74" i="1"/>
  <c r="G74" i="1"/>
  <c r="G62" i="1"/>
  <c r="W11" i="4"/>
  <c r="W12" i="4" s="1"/>
  <c r="X11" i="4"/>
  <c r="V11" i="4"/>
  <c r="W9" i="4"/>
  <c r="X9" i="4" s="1"/>
  <c r="Y9" i="4" s="1"/>
  <c r="Z9" i="4" s="1"/>
  <c r="AA9" i="4" s="1"/>
  <c r="AB9" i="4" s="1"/>
  <c r="AC9" i="4" s="1"/>
  <c r="J336" i="1"/>
  <c r="K336" i="1" s="1"/>
  <c r="L336" i="1" s="1"/>
  <c r="M336" i="1" s="1"/>
  <c r="N336" i="1" s="1"/>
  <c r="I339" i="1"/>
  <c r="J337" i="1" s="1"/>
  <c r="I357" i="1"/>
  <c r="J355" i="1" s="1"/>
  <c r="I348" i="1"/>
  <c r="J346" i="1" s="1"/>
  <c r="K332" i="1"/>
  <c r="L332" i="1"/>
  <c r="M332" i="1"/>
  <c r="N332" i="1"/>
  <c r="J332" i="1"/>
  <c r="I317" i="1"/>
  <c r="J315" i="1" s="1"/>
  <c r="J359" i="1"/>
  <c r="K359" i="1" s="1"/>
  <c r="L359" i="1" s="1"/>
  <c r="M359" i="1" s="1"/>
  <c r="N359" i="1" s="1"/>
  <c r="J350" i="1"/>
  <c r="K350" i="1" s="1"/>
  <c r="L350" i="1" s="1"/>
  <c r="M350" i="1" s="1"/>
  <c r="N350" i="1" s="1"/>
  <c r="N15" i="5"/>
  <c r="J341" i="1"/>
  <c r="K341" i="1" s="1"/>
  <c r="L341" i="1" s="1"/>
  <c r="M341" i="1" s="1"/>
  <c r="N341" i="1" s="1"/>
  <c r="J319" i="1"/>
  <c r="K319" i="1" s="1"/>
  <c r="L319" i="1" s="1"/>
  <c r="M319" i="1" s="1"/>
  <c r="B308" i="1"/>
  <c r="I304" i="1"/>
  <c r="J301" i="1" s="1"/>
  <c r="I295" i="1"/>
  <c r="J293" i="1" s="1"/>
  <c r="I287" i="1"/>
  <c r="J285" i="1" s="1"/>
  <c r="J297" i="1"/>
  <c r="J289" i="1"/>
  <c r="K69" i="1"/>
  <c r="K286" i="1" s="1"/>
  <c r="L69" i="1"/>
  <c r="L286" i="1" s="1"/>
  <c r="M69" i="1"/>
  <c r="M286" i="1" s="1"/>
  <c r="N69" i="1"/>
  <c r="N286" i="1" s="1"/>
  <c r="J69" i="1"/>
  <c r="J286" i="1" s="1"/>
  <c r="B274" i="1"/>
  <c r="K251" i="1"/>
  <c r="L251" i="1"/>
  <c r="M251" i="1"/>
  <c r="N251" i="1"/>
  <c r="K252" i="1"/>
  <c r="L252" i="1"/>
  <c r="M252" i="1"/>
  <c r="N252" i="1"/>
  <c r="J252" i="1"/>
  <c r="J251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J245" i="1"/>
  <c r="J246" i="1"/>
  <c r="J247" i="1"/>
  <c r="J244" i="1"/>
  <c r="J248" i="1"/>
  <c r="J253" i="1"/>
  <c r="H264" i="1"/>
  <c r="I264" i="1"/>
  <c r="H265" i="1"/>
  <c r="I265" i="1"/>
  <c r="G265" i="1"/>
  <c r="G264" i="1"/>
  <c r="H257" i="1"/>
  <c r="I257" i="1"/>
  <c r="H258" i="1"/>
  <c r="I258" i="1"/>
  <c r="H259" i="1"/>
  <c r="I259" i="1"/>
  <c r="H260" i="1"/>
  <c r="I260" i="1"/>
  <c r="G258" i="1"/>
  <c r="G259" i="1"/>
  <c r="G260" i="1"/>
  <c r="G257" i="1"/>
  <c r="H240" i="1"/>
  <c r="I240" i="1"/>
  <c r="G240" i="1"/>
  <c r="H239" i="1"/>
  <c r="I239" i="1"/>
  <c r="G239" i="1"/>
  <c r="G234" i="1"/>
  <c r="B229" i="1"/>
  <c r="K217" i="1"/>
  <c r="L217" i="1"/>
  <c r="M217" i="1"/>
  <c r="N217" i="1"/>
  <c r="J217" i="1"/>
  <c r="I214" i="1"/>
  <c r="J214" i="1" s="1"/>
  <c r="K214" i="1" s="1"/>
  <c r="L214" i="1" s="1"/>
  <c r="M214" i="1" s="1"/>
  <c r="N214" i="1" s="1"/>
  <c r="K70" i="1"/>
  <c r="K294" i="1" s="1"/>
  <c r="L70" i="1"/>
  <c r="L294" i="1" s="1"/>
  <c r="M70" i="1"/>
  <c r="M294" i="1" s="1"/>
  <c r="N70" i="1"/>
  <c r="N294" i="1" s="1"/>
  <c r="J70" i="1"/>
  <c r="J294" i="1" s="1"/>
  <c r="J68" i="1"/>
  <c r="J327" i="1" s="1"/>
  <c r="K68" i="1"/>
  <c r="K327" i="1" s="1"/>
  <c r="J67" i="1"/>
  <c r="J326" i="1" s="1"/>
  <c r="B207" i="1"/>
  <c r="I203" i="1"/>
  <c r="J190" i="1" s="1"/>
  <c r="E188" i="1"/>
  <c r="E187" i="1"/>
  <c r="B180" i="1"/>
  <c r="J122" i="1"/>
  <c r="J114" i="1"/>
  <c r="K114" i="1" s="1"/>
  <c r="L114" i="1" s="1"/>
  <c r="M114" i="1" s="1"/>
  <c r="N114" i="1" s="1"/>
  <c r="J98" i="1"/>
  <c r="K98" i="1" s="1"/>
  <c r="L98" i="1" s="1"/>
  <c r="M98" i="1" s="1"/>
  <c r="N98" i="1" s="1"/>
  <c r="J99" i="1"/>
  <c r="K99" i="1" s="1"/>
  <c r="L99" i="1" s="1"/>
  <c r="M99" i="1" s="1"/>
  <c r="N99" i="1" s="1"/>
  <c r="J97" i="1"/>
  <c r="K97" i="1" s="1"/>
  <c r="K59" i="1"/>
  <c r="K191" i="1" s="1"/>
  <c r="L59" i="1"/>
  <c r="L191" i="1" s="1"/>
  <c r="M59" i="1"/>
  <c r="M62" i="1" s="1"/>
  <c r="M325" i="1" s="1"/>
  <c r="N59" i="1"/>
  <c r="N191" i="1" s="1"/>
  <c r="J59" i="1"/>
  <c r="J191" i="1" s="1"/>
  <c r="J17" i="1"/>
  <c r="I176" i="1"/>
  <c r="I163" i="1"/>
  <c r="B155" i="1"/>
  <c r="I151" i="1"/>
  <c r="I145" i="1"/>
  <c r="I165" i="1" s="1"/>
  <c r="I144" i="1"/>
  <c r="J27" i="6"/>
  <c r="K27" i="6" s="1"/>
  <c r="K25" i="6" s="1"/>
  <c r="K162" i="1" s="1"/>
  <c r="J20" i="6"/>
  <c r="J18" i="6" s="1"/>
  <c r="J142" i="1" s="1"/>
  <c r="L15" i="6"/>
  <c r="M15" i="6" s="1"/>
  <c r="N15" i="6" s="1"/>
  <c r="K15" i="6"/>
  <c r="J15" i="6"/>
  <c r="L14" i="6"/>
  <c r="M14" i="6" s="1"/>
  <c r="N14" i="6" s="1"/>
  <c r="K14" i="6"/>
  <c r="J13" i="6"/>
  <c r="J11" i="6" s="1"/>
  <c r="J141" i="1" s="1"/>
  <c r="L48" i="5"/>
  <c r="M48" i="5" s="1"/>
  <c r="N48" i="5" s="1"/>
  <c r="N68" i="1" s="1"/>
  <c r="N356" i="1" s="1"/>
  <c r="K48" i="5"/>
  <c r="K47" i="5"/>
  <c r="K67" i="1" s="1"/>
  <c r="K326" i="1" s="1"/>
  <c r="J39" i="5"/>
  <c r="K39" i="5" s="1"/>
  <c r="L39" i="5" s="1"/>
  <c r="M39" i="5" s="1"/>
  <c r="N39" i="5" s="1"/>
  <c r="J9" i="6"/>
  <c r="K9" i="6" s="1"/>
  <c r="L9" i="6" s="1"/>
  <c r="M9" i="6" s="1"/>
  <c r="N9" i="6" s="1"/>
  <c r="J25" i="6"/>
  <c r="J162" i="1" s="1"/>
  <c r="L1" i="1"/>
  <c r="L133" i="1" s="1"/>
  <c r="B34" i="5"/>
  <c r="B2" i="6"/>
  <c r="B2" i="5"/>
  <c r="B2" i="4"/>
  <c r="B134" i="1"/>
  <c r="B3" i="1"/>
  <c r="B11" i="3"/>
  <c r="J343" i="1" l="1"/>
  <c r="X12" i="4"/>
  <c r="Z7" i="4"/>
  <c r="K328" i="1"/>
  <c r="G266" i="1"/>
  <c r="N327" i="1"/>
  <c r="J329" i="1"/>
  <c r="K356" i="1"/>
  <c r="J352" i="1"/>
  <c r="J321" i="1"/>
  <c r="N329" i="1"/>
  <c r="K347" i="1"/>
  <c r="L307" i="1"/>
  <c r="J347" i="1"/>
  <c r="J348" i="1" s="1"/>
  <c r="J361" i="1"/>
  <c r="M253" i="1"/>
  <c r="J356" i="1"/>
  <c r="J357" i="1" s="1"/>
  <c r="J328" i="1"/>
  <c r="M329" i="1"/>
  <c r="L329" i="1"/>
  <c r="N328" i="1"/>
  <c r="M328" i="1"/>
  <c r="L253" i="1"/>
  <c r="K329" i="1"/>
  <c r="L328" i="1"/>
  <c r="N319" i="1"/>
  <c r="J295" i="1"/>
  <c r="I261" i="1"/>
  <c r="K248" i="1"/>
  <c r="K289" i="1"/>
  <c r="L289" i="1" s="1"/>
  <c r="M289" i="1" s="1"/>
  <c r="N289" i="1" s="1"/>
  <c r="G261" i="1"/>
  <c r="H266" i="1"/>
  <c r="H261" i="1"/>
  <c r="H268" i="1" s="1"/>
  <c r="K253" i="1"/>
  <c r="I266" i="1"/>
  <c r="M248" i="1"/>
  <c r="L273" i="1"/>
  <c r="N253" i="1"/>
  <c r="J290" i="1"/>
  <c r="J36" i="1" s="1"/>
  <c r="J71" i="1" s="1"/>
  <c r="J330" i="1" s="1"/>
  <c r="J287" i="1"/>
  <c r="L248" i="1"/>
  <c r="N248" i="1"/>
  <c r="K20" i="6"/>
  <c r="K18" i="6" s="1"/>
  <c r="K142" i="1" s="1"/>
  <c r="K13" i="6"/>
  <c r="K11" i="6" s="1"/>
  <c r="K141" i="1" s="1"/>
  <c r="L20" i="6"/>
  <c r="L47" i="5"/>
  <c r="L27" i="6"/>
  <c r="M68" i="1"/>
  <c r="L68" i="1"/>
  <c r="I173" i="1"/>
  <c r="I174" i="1" s="1"/>
  <c r="J193" i="1"/>
  <c r="K193" i="1" s="1"/>
  <c r="L193" i="1" s="1"/>
  <c r="M193" i="1" s="1"/>
  <c r="N193" i="1" s="1"/>
  <c r="L228" i="1"/>
  <c r="J62" i="1"/>
  <c r="J325" i="1" s="1"/>
  <c r="L62" i="1"/>
  <c r="L325" i="1" s="1"/>
  <c r="K62" i="1"/>
  <c r="K325" i="1" s="1"/>
  <c r="I147" i="1"/>
  <c r="J147" i="1" s="1"/>
  <c r="K147" i="1" s="1"/>
  <c r="N62" i="1"/>
  <c r="N325" i="1" s="1"/>
  <c r="K17" i="1"/>
  <c r="M191" i="1"/>
  <c r="L206" i="1"/>
  <c r="L97" i="1"/>
  <c r="M97" i="1" s="1"/>
  <c r="K122" i="1"/>
  <c r="L179" i="1"/>
  <c r="I149" i="1"/>
  <c r="J149" i="1" s="1"/>
  <c r="J144" i="1"/>
  <c r="L154" i="1"/>
  <c r="L82" i="1"/>
  <c r="L41" i="1"/>
  <c r="H108" i="1"/>
  <c r="I108" i="1"/>
  <c r="H100" i="1"/>
  <c r="I100" i="1"/>
  <c r="H94" i="1"/>
  <c r="I94" i="1"/>
  <c r="G268" i="1" l="1"/>
  <c r="K355" i="1"/>
  <c r="K361" i="1" s="1"/>
  <c r="J112" i="1"/>
  <c r="K346" i="1"/>
  <c r="J111" i="1"/>
  <c r="J363" i="1"/>
  <c r="J27" i="1" s="1"/>
  <c r="K348" i="1"/>
  <c r="K352" i="1"/>
  <c r="K357" i="1"/>
  <c r="L327" i="1"/>
  <c r="L356" i="1"/>
  <c r="M327" i="1"/>
  <c r="M356" i="1"/>
  <c r="I268" i="1"/>
  <c r="I270" i="1" s="1"/>
  <c r="K285" i="1"/>
  <c r="K287" i="1" s="1"/>
  <c r="J119" i="1"/>
  <c r="K293" i="1"/>
  <c r="K295" i="1" s="1"/>
  <c r="J120" i="1"/>
  <c r="H270" i="1"/>
  <c r="K297" i="1"/>
  <c r="K144" i="1"/>
  <c r="K145" i="1" s="1"/>
  <c r="K149" i="1"/>
  <c r="L13" i="6"/>
  <c r="M27" i="6"/>
  <c r="L25" i="6"/>
  <c r="L162" i="1" s="1"/>
  <c r="L17" i="1" s="1"/>
  <c r="I168" i="1"/>
  <c r="J168" i="1" s="1"/>
  <c r="K168" i="1" s="1"/>
  <c r="L18" i="6"/>
  <c r="L142" i="1" s="1"/>
  <c r="M20" i="6"/>
  <c r="M47" i="5"/>
  <c r="L67" i="1"/>
  <c r="M13" i="6"/>
  <c r="L11" i="6"/>
  <c r="L141" i="1" s="1"/>
  <c r="L122" i="1"/>
  <c r="N97" i="1"/>
  <c r="I169" i="1"/>
  <c r="J174" i="1"/>
  <c r="J145" i="1"/>
  <c r="L147" i="1"/>
  <c r="H117" i="1"/>
  <c r="H125" i="1" s="1"/>
  <c r="G117" i="1"/>
  <c r="G125" i="1" s="1"/>
  <c r="I117" i="1"/>
  <c r="I102" i="1"/>
  <c r="H102" i="1"/>
  <c r="I62" i="1"/>
  <c r="H62" i="1"/>
  <c r="I55" i="1"/>
  <c r="H55" i="1"/>
  <c r="I32" i="1"/>
  <c r="H32" i="1"/>
  <c r="G32" i="1"/>
  <c r="I18" i="1"/>
  <c r="H18" i="1"/>
  <c r="G18" i="1"/>
  <c r="I76" i="1" l="1"/>
  <c r="L346" i="1"/>
  <c r="L352" i="1" s="1"/>
  <c r="K111" i="1"/>
  <c r="L355" i="1"/>
  <c r="L357" i="1" s="1"/>
  <c r="K112" i="1"/>
  <c r="L361" i="1"/>
  <c r="L326" i="1"/>
  <c r="L347" i="1"/>
  <c r="K290" i="1"/>
  <c r="K36" i="1" s="1"/>
  <c r="K71" i="1" s="1"/>
  <c r="K330" i="1" s="1"/>
  <c r="L293" i="1"/>
  <c r="L295" i="1" s="1"/>
  <c r="K120" i="1"/>
  <c r="L285" i="1"/>
  <c r="K119" i="1"/>
  <c r="I170" i="1"/>
  <c r="L149" i="1"/>
  <c r="L144" i="1"/>
  <c r="L145" i="1" s="1"/>
  <c r="L297" i="1"/>
  <c r="N47" i="5"/>
  <c r="N67" i="1" s="1"/>
  <c r="M67" i="1"/>
  <c r="N20" i="6"/>
  <c r="N18" i="6" s="1"/>
  <c r="N142" i="1" s="1"/>
  <c r="M18" i="6"/>
  <c r="M142" i="1" s="1"/>
  <c r="M25" i="6"/>
  <c r="M162" i="1" s="1"/>
  <c r="M17" i="1" s="1"/>
  <c r="N27" i="6"/>
  <c r="N25" i="6" s="1"/>
  <c r="N162" i="1" s="1"/>
  <c r="M11" i="6"/>
  <c r="M141" i="1" s="1"/>
  <c r="M144" i="1" s="1"/>
  <c r="N13" i="6"/>
  <c r="N11" i="6" s="1"/>
  <c r="N141" i="1" s="1"/>
  <c r="M122" i="1"/>
  <c r="J151" i="1"/>
  <c r="J14" i="1" s="1"/>
  <c r="J165" i="1"/>
  <c r="J173" i="1" s="1"/>
  <c r="J176" i="1" s="1"/>
  <c r="J16" i="1" s="1"/>
  <c r="J240" i="1" s="1"/>
  <c r="K151" i="1"/>
  <c r="K14" i="1" s="1"/>
  <c r="K165" i="1"/>
  <c r="K173" i="1" s="1"/>
  <c r="K174" i="1"/>
  <c r="L168" i="1"/>
  <c r="M147" i="1"/>
  <c r="H129" i="1"/>
  <c r="G129" i="1"/>
  <c r="H21" i="1"/>
  <c r="I21" i="1"/>
  <c r="G21" i="1"/>
  <c r="G76" i="1"/>
  <c r="G78" i="1" s="1"/>
  <c r="H10" i="1"/>
  <c r="I10" i="1"/>
  <c r="H11" i="1"/>
  <c r="I11" i="1"/>
  <c r="H12" i="1"/>
  <c r="I12" i="1"/>
  <c r="G24" i="1" l="1"/>
  <c r="G28" i="1" s="1"/>
  <c r="G34" i="1" s="1"/>
  <c r="V14" i="4"/>
  <c r="V15" i="4" s="1"/>
  <c r="H24" i="1"/>
  <c r="H28" i="1" s="1"/>
  <c r="H34" i="1" s="1"/>
  <c r="W14" i="4"/>
  <c r="I24" i="1"/>
  <c r="I28" i="1" s="1"/>
  <c r="I34" i="1" s="1"/>
  <c r="X14" i="4"/>
  <c r="L348" i="1"/>
  <c r="M346" i="1" s="1"/>
  <c r="M352" i="1" s="1"/>
  <c r="J239" i="1"/>
  <c r="Y11" i="4"/>
  <c r="Y12" i="4" s="1"/>
  <c r="K239" i="1"/>
  <c r="Z11" i="4"/>
  <c r="Z12" i="4" s="1"/>
  <c r="M355" i="1"/>
  <c r="M357" i="1" s="1"/>
  <c r="L112" i="1"/>
  <c r="M326" i="1"/>
  <c r="M347" i="1"/>
  <c r="N326" i="1"/>
  <c r="N347" i="1"/>
  <c r="M149" i="1"/>
  <c r="N149" i="1" s="1"/>
  <c r="L290" i="1"/>
  <c r="L36" i="1" s="1"/>
  <c r="L71" i="1" s="1"/>
  <c r="L330" i="1" s="1"/>
  <c r="L287" i="1"/>
  <c r="M293" i="1"/>
  <c r="M295" i="1" s="1"/>
  <c r="L120" i="1"/>
  <c r="M297" i="1"/>
  <c r="N144" i="1"/>
  <c r="K176" i="1"/>
  <c r="K16" i="1" s="1"/>
  <c r="K240" i="1" s="1"/>
  <c r="J10" i="1"/>
  <c r="J12" i="1"/>
  <c r="K10" i="1"/>
  <c r="K12" i="1"/>
  <c r="J18" i="1"/>
  <c r="J21" i="1" s="1"/>
  <c r="Y14" i="4" s="1"/>
  <c r="J11" i="1"/>
  <c r="N17" i="1"/>
  <c r="J169" i="1"/>
  <c r="J170" i="1" s="1"/>
  <c r="N122" i="1"/>
  <c r="L151" i="1"/>
  <c r="L14" i="1" s="1"/>
  <c r="L165" i="1"/>
  <c r="L173" i="1" s="1"/>
  <c r="M168" i="1"/>
  <c r="K169" i="1"/>
  <c r="K170" i="1" s="1"/>
  <c r="L174" i="1"/>
  <c r="N147" i="1"/>
  <c r="M145" i="1"/>
  <c r="G11" i="1"/>
  <c r="G12" i="1"/>
  <c r="G87" i="1"/>
  <c r="B83" i="1"/>
  <c r="B86" i="1"/>
  <c r="B183" i="1" s="1"/>
  <c r="B210" i="1" s="1"/>
  <c r="B45" i="1"/>
  <c r="X16" i="4" l="1"/>
  <c r="X15" i="4"/>
  <c r="L111" i="1"/>
  <c r="I37" i="1"/>
  <c r="X18" i="4"/>
  <c r="W16" i="4"/>
  <c r="W15" i="4"/>
  <c r="M361" i="1"/>
  <c r="H37" i="1"/>
  <c r="W18" i="4"/>
  <c r="M348" i="1"/>
  <c r="G37" i="1"/>
  <c r="V18" i="4"/>
  <c r="V19" i="4" s="1"/>
  <c r="Y16" i="4"/>
  <c r="Y15" i="4"/>
  <c r="L239" i="1"/>
  <c r="AA11" i="4"/>
  <c r="AA12" i="4" s="1"/>
  <c r="N355" i="1"/>
  <c r="M112" i="1"/>
  <c r="N346" i="1"/>
  <c r="M111" i="1"/>
  <c r="N348" i="1"/>
  <c r="N111" i="1" s="1"/>
  <c r="N352" i="1"/>
  <c r="N357" i="1"/>
  <c r="N112" i="1" s="1"/>
  <c r="N361" i="1"/>
  <c r="M285" i="1"/>
  <c r="L119" i="1"/>
  <c r="N293" i="1"/>
  <c r="N295" i="1" s="1"/>
  <c r="N120" i="1" s="1"/>
  <c r="M120" i="1"/>
  <c r="K11" i="1"/>
  <c r="N145" i="1"/>
  <c r="N165" i="1" s="1"/>
  <c r="K18" i="1"/>
  <c r="K21" i="1" s="1"/>
  <c r="Z14" i="4" s="1"/>
  <c r="N297" i="1"/>
  <c r="L10" i="1"/>
  <c r="L12" i="1"/>
  <c r="M151" i="1"/>
  <c r="M14" i="1" s="1"/>
  <c r="M165" i="1"/>
  <c r="M173" i="1" s="1"/>
  <c r="M174" i="1"/>
  <c r="L169" i="1"/>
  <c r="L170" i="1" s="1"/>
  <c r="N168" i="1"/>
  <c r="L176" i="1"/>
  <c r="L16" i="1" s="1"/>
  <c r="L240" i="1" s="1"/>
  <c r="H77" i="1"/>
  <c r="G47" i="1"/>
  <c r="B42" i="1"/>
  <c r="H8" i="1"/>
  <c r="H234" i="1" s="1"/>
  <c r="H236" i="1" s="1"/>
  <c r="X20" i="4" l="1"/>
  <c r="X19" i="4"/>
  <c r="W20" i="4"/>
  <c r="W19" i="4"/>
  <c r="Z16" i="4"/>
  <c r="Z15" i="4"/>
  <c r="M239" i="1"/>
  <c r="AB11" i="4"/>
  <c r="AB12" i="4" s="1"/>
  <c r="M287" i="1"/>
  <c r="M290" i="1"/>
  <c r="M36" i="1" s="1"/>
  <c r="M71" i="1" s="1"/>
  <c r="M330" i="1" s="1"/>
  <c r="N151" i="1"/>
  <c r="N14" i="1" s="1"/>
  <c r="H246" i="1"/>
  <c r="H252" i="1"/>
  <c r="H245" i="1"/>
  <c r="H251" i="1"/>
  <c r="H247" i="1"/>
  <c r="H244" i="1"/>
  <c r="M10" i="1"/>
  <c r="M12" i="1"/>
  <c r="L18" i="1"/>
  <c r="L21" i="1" s="1"/>
  <c r="AA14" i="4" s="1"/>
  <c r="L11" i="1"/>
  <c r="N173" i="1"/>
  <c r="M176" i="1"/>
  <c r="M16" i="1" s="1"/>
  <c r="M240" i="1" s="1"/>
  <c r="N174" i="1"/>
  <c r="N169" i="1" s="1"/>
  <c r="N170" i="1" s="1"/>
  <c r="M169" i="1"/>
  <c r="M170" i="1" s="1"/>
  <c r="H87" i="1"/>
  <c r="I8" i="1"/>
  <c r="I313" i="1" s="1"/>
  <c r="H47" i="1"/>
  <c r="N239" i="1" l="1"/>
  <c r="AC11" i="4"/>
  <c r="AC12" i="4" s="1"/>
  <c r="AA16" i="4"/>
  <c r="AA15" i="4"/>
  <c r="N12" i="1"/>
  <c r="H253" i="1"/>
  <c r="N10" i="1"/>
  <c r="H248" i="1"/>
  <c r="N285" i="1"/>
  <c r="M119" i="1"/>
  <c r="I234" i="1"/>
  <c r="I236" i="1" s="1"/>
  <c r="I279" i="1"/>
  <c r="M18" i="1"/>
  <c r="M21" i="1" s="1"/>
  <c r="AB14" i="4" s="1"/>
  <c r="M11" i="1"/>
  <c r="I185" i="1"/>
  <c r="I212" i="1"/>
  <c r="N176" i="1"/>
  <c r="N16" i="1" s="1"/>
  <c r="N240" i="1" s="1"/>
  <c r="J8" i="1"/>
  <c r="J313" i="1" s="1"/>
  <c r="I160" i="1"/>
  <c r="I139" i="1"/>
  <c r="I87" i="1"/>
  <c r="I47" i="1"/>
  <c r="AB16" i="4" l="1"/>
  <c r="AB15" i="4"/>
  <c r="N290" i="1"/>
  <c r="N36" i="1" s="1"/>
  <c r="N71" i="1" s="1"/>
  <c r="N330" i="1" s="1"/>
  <c r="N287" i="1"/>
  <c r="N119" i="1" s="1"/>
  <c r="J234" i="1"/>
  <c r="J236" i="1" s="1"/>
  <c r="J279" i="1"/>
  <c r="I244" i="1"/>
  <c r="I247" i="1"/>
  <c r="I252" i="1"/>
  <c r="I251" i="1"/>
  <c r="I253" i="1" s="1"/>
  <c r="I246" i="1"/>
  <c r="I245" i="1"/>
  <c r="N18" i="1"/>
  <c r="N21" i="1" s="1"/>
  <c r="AC14" i="4" s="1"/>
  <c r="N11" i="1"/>
  <c r="J185" i="1"/>
  <c r="D196" i="1" s="1"/>
  <c r="J212" i="1"/>
  <c r="J87" i="1"/>
  <c r="J47" i="1"/>
  <c r="K8" i="1"/>
  <c r="J139" i="1"/>
  <c r="J160" i="1"/>
  <c r="I125" i="1"/>
  <c r="I129" i="1" s="1"/>
  <c r="AC16" i="4" l="1"/>
  <c r="AC15" i="4"/>
  <c r="K279" i="1"/>
  <c r="K313" i="1"/>
  <c r="I248" i="1"/>
  <c r="J259" i="1"/>
  <c r="J92" i="1" s="1"/>
  <c r="J265" i="1"/>
  <c r="J107" i="1" s="1"/>
  <c r="J258" i="1"/>
  <c r="J91" i="1" s="1"/>
  <c r="J257" i="1"/>
  <c r="J90" i="1" s="1"/>
  <c r="J260" i="1"/>
  <c r="J93" i="1" s="1"/>
  <c r="J264" i="1"/>
  <c r="J106" i="1" s="1"/>
  <c r="K160" i="1"/>
  <c r="K234" i="1"/>
  <c r="K236" i="1" s="1"/>
  <c r="K185" i="1"/>
  <c r="K212" i="1"/>
  <c r="L8" i="1"/>
  <c r="K139" i="1"/>
  <c r="E196" i="1"/>
  <c r="J196" i="1" s="1"/>
  <c r="J202" i="1" s="1"/>
  <c r="D197" i="1"/>
  <c r="K87" i="1"/>
  <c r="K47" i="1"/>
  <c r="H76" i="1"/>
  <c r="H78" i="1" s="1"/>
  <c r="L279" i="1" l="1"/>
  <c r="L313" i="1"/>
  <c r="J108" i="1"/>
  <c r="J266" i="1"/>
  <c r="J261" i="1"/>
  <c r="K265" i="1"/>
  <c r="K107" i="1" s="1"/>
  <c r="K259" i="1"/>
  <c r="K92" i="1" s="1"/>
  <c r="K257" i="1"/>
  <c r="K90" i="1" s="1"/>
  <c r="K258" i="1"/>
  <c r="K91" i="1" s="1"/>
  <c r="K260" i="1"/>
  <c r="K93" i="1" s="1"/>
  <c r="K264" i="1"/>
  <c r="K106" i="1" s="1"/>
  <c r="L139" i="1"/>
  <c r="L234" i="1"/>
  <c r="L236" i="1" s="1"/>
  <c r="L87" i="1"/>
  <c r="L47" i="1"/>
  <c r="M8" i="1"/>
  <c r="M313" i="1" s="1"/>
  <c r="J23" i="1"/>
  <c r="L160" i="1"/>
  <c r="E197" i="1"/>
  <c r="K197" i="1" s="1"/>
  <c r="D198" i="1"/>
  <c r="L185" i="1"/>
  <c r="L196" i="1" s="1"/>
  <c r="L212" i="1"/>
  <c r="K196" i="1"/>
  <c r="I77" i="1"/>
  <c r="I78" i="1" s="1"/>
  <c r="J77" i="1" s="1"/>
  <c r="J268" i="1" l="1"/>
  <c r="K108" i="1"/>
  <c r="M87" i="1"/>
  <c r="M234" i="1"/>
  <c r="M236" i="1" s="1"/>
  <c r="M279" i="1"/>
  <c r="K266" i="1"/>
  <c r="L264" i="1"/>
  <c r="L106" i="1" s="1"/>
  <c r="L260" i="1"/>
  <c r="L93" i="1" s="1"/>
  <c r="L257" i="1"/>
  <c r="L90" i="1" s="1"/>
  <c r="L259" i="1"/>
  <c r="L92" i="1" s="1"/>
  <c r="L265" i="1"/>
  <c r="L258" i="1"/>
  <c r="L91" i="1" s="1"/>
  <c r="J270" i="1"/>
  <c r="J53" i="1" s="1"/>
  <c r="K261" i="1"/>
  <c r="K268" i="1" s="1"/>
  <c r="K270" i="1" s="1"/>
  <c r="K53" i="1" s="1"/>
  <c r="M47" i="1"/>
  <c r="N8" i="1"/>
  <c r="N47" i="1" s="1"/>
  <c r="M160" i="1"/>
  <c r="M212" i="1"/>
  <c r="M139" i="1"/>
  <c r="M185" i="1"/>
  <c r="J51" i="1"/>
  <c r="J24" i="1"/>
  <c r="J28" i="1" s="1"/>
  <c r="K190" i="1"/>
  <c r="J96" i="1"/>
  <c r="J100" i="1" s="1"/>
  <c r="L197" i="1"/>
  <c r="D199" i="1"/>
  <c r="E198" i="1"/>
  <c r="K202" i="1"/>
  <c r="N160" i="1" l="1"/>
  <c r="N139" i="1"/>
  <c r="N313" i="1"/>
  <c r="N212" i="1"/>
  <c r="L266" i="1"/>
  <c r="L107" i="1"/>
  <c r="L108" i="1" s="1"/>
  <c r="N234" i="1"/>
  <c r="N236" i="1" s="1"/>
  <c r="N279" i="1"/>
  <c r="L261" i="1"/>
  <c r="N87" i="1"/>
  <c r="M257" i="1"/>
  <c r="M90" i="1" s="1"/>
  <c r="M264" i="1"/>
  <c r="M260" i="1"/>
  <c r="M93" i="1" s="1"/>
  <c r="M258" i="1"/>
  <c r="M91" i="1" s="1"/>
  <c r="M259" i="1"/>
  <c r="M92" i="1" s="1"/>
  <c r="M265" i="1"/>
  <c r="M107" i="1" s="1"/>
  <c r="N185" i="1"/>
  <c r="N196" i="1" s="1"/>
  <c r="M196" i="1"/>
  <c r="M197" i="1"/>
  <c r="J216" i="1"/>
  <c r="K203" i="1"/>
  <c r="K23" i="1"/>
  <c r="L198" i="1"/>
  <c r="L202" i="1" s="1"/>
  <c r="L23" i="1" s="1"/>
  <c r="M198" i="1"/>
  <c r="D200" i="1"/>
  <c r="E200" i="1" s="1"/>
  <c r="N200" i="1" s="1"/>
  <c r="E199" i="1"/>
  <c r="N199" i="1" s="1"/>
  <c r="N197" i="1" l="1"/>
  <c r="L268" i="1"/>
  <c r="L270" i="1" s="1"/>
  <c r="L53" i="1" s="1"/>
  <c r="M266" i="1"/>
  <c r="M106" i="1"/>
  <c r="M108" i="1" s="1"/>
  <c r="M261" i="1"/>
  <c r="M268" i="1" s="1"/>
  <c r="M270" i="1" s="1"/>
  <c r="M53" i="1" s="1"/>
  <c r="N264" i="1"/>
  <c r="N106" i="1" s="1"/>
  <c r="N260" i="1"/>
  <c r="N93" i="1" s="1"/>
  <c r="N257" i="1"/>
  <c r="N90" i="1" s="1"/>
  <c r="N259" i="1"/>
  <c r="N92" i="1" s="1"/>
  <c r="N265" i="1"/>
  <c r="N258" i="1"/>
  <c r="N91" i="1" s="1"/>
  <c r="N198" i="1"/>
  <c r="J219" i="1"/>
  <c r="J223" i="1" s="1"/>
  <c r="J221" i="1"/>
  <c r="N202" i="1"/>
  <c r="N23" i="1" s="1"/>
  <c r="K51" i="1"/>
  <c r="K24" i="1"/>
  <c r="L51" i="1"/>
  <c r="L24" i="1"/>
  <c r="L190" i="1"/>
  <c r="L203" i="1" s="1"/>
  <c r="K96" i="1"/>
  <c r="K100" i="1" s="1"/>
  <c r="M199" i="1"/>
  <c r="M202" i="1" s="1"/>
  <c r="N266" i="1" l="1"/>
  <c r="N107" i="1"/>
  <c r="N108" i="1" s="1"/>
  <c r="N261" i="1"/>
  <c r="J224" i="1"/>
  <c r="J31" i="1" s="1"/>
  <c r="J52" i="1" s="1"/>
  <c r="J113" i="1" s="1"/>
  <c r="J30" i="1"/>
  <c r="M190" i="1"/>
  <c r="M203" i="1" s="1"/>
  <c r="L96" i="1"/>
  <c r="L100" i="1" s="1"/>
  <c r="N51" i="1"/>
  <c r="N24" i="1"/>
  <c r="M23" i="1"/>
  <c r="N268" i="1" l="1"/>
  <c r="N270" i="1" s="1"/>
  <c r="N53" i="1" s="1"/>
  <c r="J32" i="1"/>
  <c r="J34" i="1" s="1"/>
  <c r="Y18" i="4" s="1"/>
  <c r="J225" i="1"/>
  <c r="N190" i="1"/>
  <c r="N203" i="1" s="1"/>
  <c r="N96" i="1" s="1"/>
  <c r="N100" i="1" s="1"/>
  <c r="M96" i="1"/>
  <c r="M100" i="1" s="1"/>
  <c r="M51" i="1"/>
  <c r="M24" i="1"/>
  <c r="J50" i="1" l="1"/>
  <c r="J55" i="1" s="1"/>
  <c r="J324" i="1" s="1"/>
  <c r="J37" i="1"/>
  <c r="J282" i="1" s="1"/>
  <c r="Y19" i="4"/>
  <c r="Y20" i="4"/>
  <c r="J298" i="1"/>
  <c r="J302" i="1"/>
  <c r="J303" i="1" l="1"/>
  <c r="J304" i="1" s="1"/>
  <c r="J72" i="1"/>
  <c r="J331" i="1" l="1"/>
  <c r="J334" i="1" s="1"/>
  <c r="J338" i="1" s="1"/>
  <c r="K301" i="1"/>
  <c r="J121" i="1"/>
  <c r="J123" i="1" l="1"/>
  <c r="J66" i="1"/>
  <c r="J74" i="1" s="1"/>
  <c r="J76" i="1" s="1"/>
  <c r="J316" i="1" s="1"/>
  <c r="J317" i="1" s="1"/>
  <c r="K315" i="1" s="1"/>
  <c r="J339" i="1"/>
  <c r="J78" i="1" l="1"/>
  <c r="K337" i="1"/>
  <c r="K343" i="1" s="1"/>
  <c r="J110" i="1"/>
  <c r="J115" i="1" s="1"/>
  <c r="J117" i="1" s="1"/>
  <c r="J125" i="1" s="1"/>
  <c r="K77" i="1"/>
  <c r="J89" i="1"/>
  <c r="J94" i="1" s="1"/>
  <c r="J102" i="1" s="1"/>
  <c r="K321" i="1"/>
  <c r="K363" i="1" s="1"/>
  <c r="K27" i="1" s="1"/>
  <c r="K28" i="1" s="1"/>
  <c r="K216" i="1" s="1"/>
  <c r="J129" i="1" l="1"/>
  <c r="K221" i="1"/>
  <c r="K219" i="1"/>
  <c r="K223" i="1" s="1"/>
  <c r="K30" i="1" l="1"/>
  <c r="K224" i="1"/>
  <c r="K31" i="1" s="1"/>
  <c r="K52" i="1" s="1"/>
  <c r="K113" i="1" s="1"/>
  <c r="K225" i="1" l="1"/>
  <c r="K32" i="1"/>
  <c r="K34" i="1" s="1"/>
  <c r="Z18" i="4" s="1"/>
  <c r="Z19" i="4" l="1"/>
  <c r="Z20" i="4"/>
  <c r="K50" i="1"/>
  <c r="K55" i="1" s="1"/>
  <c r="K324" i="1" s="1"/>
  <c r="K37" i="1"/>
  <c r="K282" i="1" s="1"/>
  <c r="K298" i="1" l="1"/>
  <c r="K302" i="1"/>
  <c r="K303" i="1" l="1"/>
  <c r="K304" i="1" s="1"/>
  <c r="K72" i="1"/>
  <c r="K331" i="1" l="1"/>
  <c r="K334" i="1" s="1"/>
  <c r="K338" i="1" s="1"/>
  <c r="L301" i="1"/>
  <c r="K121" i="1"/>
  <c r="K123" i="1" s="1"/>
  <c r="K66" i="1" l="1"/>
  <c r="K339" i="1"/>
  <c r="K74" i="1" l="1"/>
  <c r="K76" i="1" s="1"/>
  <c r="L337" i="1"/>
  <c r="L343" i="1" s="1"/>
  <c r="K110" i="1"/>
  <c r="K115" i="1" l="1"/>
  <c r="K117" i="1" s="1"/>
  <c r="K125" i="1" s="1"/>
  <c r="K78" i="1"/>
  <c r="K316" i="1"/>
  <c r="K317" i="1" s="1"/>
  <c r="L315" i="1" s="1"/>
  <c r="L321" i="1" l="1"/>
  <c r="L363" i="1" s="1"/>
  <c r="L27" i="1" s="1"/>
  <c r="L28" i="1" s="1"/>
  <c r="L216" i="1" s="1"/>
  <c r="L219" i="1" s="1"/>
  <c r="L223" i="1" s="1"/>
  <c r="L30" i="1" s="1"/>
  <c r="L77" i="1"/>
  <c r="K89" i="1"/>
  <c r="K94" i="1" s="1"/>
  <c r="K102" i="1" s="1"/>
  <c r="K129" i="1" s="1"/>
  <c r="L221" i="1" l="1"/>
  <c r="L224" i="1" s="1"/>
  <c r="L31" i="1" s="1"/>
  <c r="L52" i="1" s="1"/>
  <c r="L113" i="1" s="1"/>
  <c r="L225" i="1" l="1"/>
  <c r="L32" i="1"/>
  <c r="L34" i="1" s="1"/>
  <c r="L37" i="1" l="1"/>
  <c r="L282" i="1" s="1"/>
  <c r="AA18" i="4"/>
  <c r="L50" i="1"/>
  <c r="L55" i="1" s="1"/>
  <c r="L324" i="1" s="1"/>
  <c r="AA20" i="4" l="1"/>
  <c r="AA19" i="4"/>
  <c r="L298" i="1"/>
  <c r="L302" i="1"/>
  <c r="L72" i="1" l="1"/>
  <c r="L331" i="1" s="1"/>
  <c r="L334" i="1" s="1"/>
  <c r="L338" i="1" s="1"/>
  <c r="L303" i="1"/>
  <c r="L304" i="1" s="1"/>
  <c r="L121" i="1" l="1"/>
  <c r="L123" i="1" s="1"/>
  <c r="M301" i="1"/>
  <c r="L339" i="1"/>
  <c r="L66" i="1"/>
  <c r="L74" i="1" s="1"/>
  <c r="L76" i="1" s="1"/>
  <c r="L78" i="1"/>
  <c r="L316" i="1"/>
  <c r="L317" i="1" s="1"/>
  <c r="M315" i="1" s="1"/>
  <c r="L110" i="1" l="1"/>
  <c r="L115" i="1" s="1"/>
  <c r="L117" i="1" s="1"/>
  <c r="L125" i="1" s="1"/>
  <c r="M337" i="1"/>
  <c r="M343" i="1" s="1"/>
  <c r="M321" i="1"/>
  <c r="M363" i="1" s="1"/>
  <c r="M27" i="1" s="1"/>
  <c r="M28" i="1" s="1"/>
  <c r="M216" i="1" s="1"/>
  <c r="L89" i="1"/>
  <c r="L94" i="1" s="1"/>
  <c r="L102" i="1" s="1"/>
  <c r="L129" i="1" s="1"/>
  <c r="M77" i="1"/>
  <c r="M221" i="1" l="1"/>
  <c r="M219" i="1"/>
  <c r="M223" i="1" s="1"/>
  <c r="M30" i="1" s="1"/>
  <c r="M224" i="1" l="1"/>
  <c r="M31" i="1" s="1"/>
  <c r="M52" i="1" s="1"/>
  <c r="M113" i="1" s="1"/>
  <c r="M225" i="1"/>
  <c r="M32" i="1"/>
  <c r="M34" i="1" s="1"/>
  <c r="M50" i="1" l="1"/>
  <c r="M55" i="1" s="1"/>
  <c r="M324" i="1" s="1"/>
  <c r="M37" i="1"/>
  <c r="M282" i="1" s="1"/>
  <c r="AB18" i="4"/>
  <c r="AB19" i="4" l="1"/>
  <c r="AB20" i="4"/>
  <c r="M298" i="1"/>
  <c r="M302" i="1"/>
  <c r="M303" i="1" l="1"/>
  <c r="M304" i="1" s="1"/>
  <c r="M72" i="1"/>
  <c r="M331" i="1" l="1"/>
  <c r="M334" i="1" s="1"/>
  <c r="M338" i="1" s="1"/>
  <c r="N301" i="1"/>
  <c r="M121" i="1"/>
  <c r="M123" i="1" s="1"/>
  <c r="M66" i="1" l="1"/>
  <c r="M339" i="1"/>
  <c r="M74" i="1" l="1"/>
  <c r="M76" i="1" s="1"/>
  <c r="N337" i="1"/>
  <c r="M110" i="1"/>
  <c r="M115" i="1" l="1"/>
  <c r="M117" i="1" s="1"/>
  <c r="M125" i="1" s="1"/>
  <c r="M78" i="1"/>
  <c r="M316" i="1"/>
  <c r="M317" i="1" s="1"/>
  <c r="N315" i="1" s="1"/>
  <c r="N343" i="1"/>
  <c r="N321" i="1" l="1"/>
  <c r="N363" i="1"/>
  <c r="N27" i="1" s="1"/>
  <c r="N28" i="1" s="1"/>
  <c r="N216" i="1" s="1"/>
  <c r="N219" i="1" s="1"/>
  <c r="N223" i="1" s="1"/>
  <c r="N77" i="1"/>
  <c r="M89" i="1"/>
  <c r="M94" i="1" s="1"/>
  <c r="M102" i="1" s="1"/>
  <c r="M129" i="1" s="1"/>
  <c r="N221" i="1" l="1"/>
  <c r="N224" i="1" s="1"/>
  <c r="N31" i="1" s="1"/>
  <c r="N52" i="1" s="1"/>
  <c r="N113" i="1" s="1"/>
  <c r="N30" i="1"/>
  <c r="N225" i="1" l="1"/>
  <c r="N32" i="1"/>
  <c r="N34" i="1" s="1"/>
  <c r="AC18" i="4" s="1"/>
  <c r="N50" i="1" l="1"/>
  <c r="N55" i="1" s="1"/>
  <c r="N324" i="1" s="1"/>
  <c r="N37" i="1"/>
  <c r="N282" i="1" s="1"/>
  <c r="N302" i="1" s="1"/>
  <c r="AC20" i="4"/>
  <c r="AC19" i="4"/>
  <c r="N298" i="1" l="1"/>
  <c r="N72" i="1" s="1"/>
  <c r="N303" i="1" l="1"/>
  <c r="N304" i="1" s="1"/>
  <c r="N121" i="1" s="1"/>
  <c r="N123" i="1" s="1"/>
  <c r="N331" i="1"/>
  <c r="N334" i="1" s="1"/>
  <c r="N338" i="1" s="1"/>
  <c r="N66" i="1" l="1"/>
  <c r="N339" i="1"/>
  <c r="N110" i="1" s="1"/>
  <c r="N115" i="1" l="1"/>
  <c r="N117" i="1" s="1"/>
  <c r="N125" i="1" s="1"/>
  <c r="N74" i="1"/>
  <c r="N76" i="1" s="1"/>
  <c r="N316" i="1" l="1"/>
  <c r="N317" i="1" s="1"/>
  <c r="N78" i="1"/>
  <c r="N89" i="1" s="1"/>
  <c r="N94" i="1" s="1"/>
  <c r="N102" i="1" s="1"/>
  <c r="N129" i="1" s="1"/>
</calcChain>
</file>

<file path=xl/sharedStrings.xml><?xml version="1.0" encoding="utf-8"?>
<sst xmlns="http://schemas.openxmlformats.org/spreadsheetml/2006/main" count="462" uniqueCount="190">
  <si>
    <t>Income Statement</t>
  </si>
  <si>
    <t>Revenue Growth</t>
  </si>
  <si>
    <t>COGS (% of revenue)</t>
  </si>
  <si>
    <t>SG&amp;A (% of revenue)</t>
  </si>
  <si>
    <t>SG&amp;A</t>
  </si>
  <si>
    <t>Total Costs</t>
  </si>
  <si>
    <t>Cost Adjustments - Gain / (Loss)</t>
  </si>
  <si>
    <t>EBITDA</t>
  </si>
  <si>
    <t>Depreciation</t>
  </si>
  <si>
    <t>EBIT</t>
  </si>
  <si>
    <t>EBT</t>
  </si>
  <si>
    <t>Current Taxes</t>
  </si>
  <si>
    <t>Deferred Income Taxes</t>
  </si>
  <si>
    <t>Total Income Taxes</t>
  </si>
  <si>
    <t>Net Income</t>
  </si>
  <si>
    <t>Cash Flow Statement</t>
  </si>
  <si>
    <t>Operating Activities</t>
  </si>
  <si>
    <t>Changes in Working Capital</t>
  </si>
  <si>
    <t>Operating Cash Flow</t>
  </si>
  <si>
    <t>Investing Activities</t>
  </si>
  <si>
    <t>CAPEX</t>
  </si>
  <si>
    <t>Asset Dispositions</t>
  </si>
  <si>
    <t>Investing Cash Flow</t>
  </si>
  <si>
    <t>Financing Activities</t>
  </si>
  <si>
    <t>Financing Cash Flow</t>
  </si>
  <si>
    <t>Balance Sheet</t>
  </si>
  <si>
    <t>ASSETS</t>
  </si>
  <si>
    <t>Accounts Receivable</t>
  </si>
  <si>
    <t>Inventory</t>
  </si>
  <si>
    <t>Other</t>
  </si>
  <si>
    <t>Total Current Assets</t>
  </si>
  <si>
    <t>Net PP&amp;E</t>
  </si>
  <si>
    <t>Goodwill</t>
  </si>
  <si>
    <t>Intangibles</t>
  </si>
  <si>
    <t>Total Long Term Assets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</si>
  <si>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</si>
  <si>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</si>
  <si>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</si>
  <si>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</si>
  <si>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</si>
  <si>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</si>
  <si>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Retained Earnings</t>
  </si>
  <si>
    <t>Shareholder's Equity</t>
  </si>
  <si>
    <t>Total Liabilities and Equity</t>
  </si>
  <si>
    <t>Change in Cash Position</t>
  </si>
  <si>
    <t>Beginning Cash</t>
  </si>
  <si>
    <t>Ending Cash</t>
  </si>
  <si>
    <t>Cash and Equivalents</t>
  </si>
  <si>
    <t>Variable Rate Long Term Debt</t>
  </si>
  <si>
    <t>Fixed Rate Long Term Debt</t>
  </si>
  <si>
    <t>Variable Rate Long Term Debt Issuance / (Repayment)</t>
  </si>
  <si>
    <t>Fixed Rate Long Term Debt Issuance / (Repayment)</t>
  </si>
  <si>
    <t>Preferred Dividend</t>
  </si>
  <si>
    <t>Net Income to Common</t>
  </si>
  <si>
    <t>Common Shares</t>
  </si>
  <si>
    <t>Common Share Dividends</t>
  </si>
  <si>
    <t>Net Interest Expense</t>
  </si>
  <si>
    <t>Financial Modeling Institute – AFM Level 1 Exam</t>
  </si>
  <si>
    <t>Exam Information</t>
  </si>
  <si>
    <t>Candidate Name:</t>
  </si>
  <si>
    <t>Millions for the Year Ended December 31</t>
  </si>
  <si>
    <t>Common Share Issuance / (Buy-Back)</t>
  </si>
  <si>
    <t>Candidate ID:</t>
  </si>
  <si>
    <t>Revenue</t>
  </si>
  <si>
    <t>Operating Costs</t>
  </si>
  <si>
    <t>Prepaid Expenses</t>
  </si>
  <si>
    <t>Night Owl Inc.</t>
  </si>
  <si>
    <t>Projected</t>
  </si>
  <si>
    <t>Revenue Schedule</t>
  </si>
  <si>
    <t>Output Summary</t>
  </si>
  <si>
    <t>Inputs and Assumptions</t>
  </si>
  <si>
    <t>Economic and Pricing Scenarios</t>
  </si>
  <si>
    <t>Scenario Switch:</t>
  </si>
  <si>
    <t>Base Case</t>
  </si>
  <si>
    <t>Best Case</t>
  </si>
  <si>
    <t>Worst Case</t>
  </si>
  <si>
    <t>GENERAL</t>
  </si>
  <si>
    <t>First Year of forecast:</t>
  </si>
  <si>
    <t>SALES</t>
  </si>
  <si>
    <t>Number of Stores</t>
  </si>
  <si>
    <t>Total Square Feet</t>
  </si>
  <si>
    <t>(000s sq. feet)</t>
  </si>
  <si>
    <t>New Stores Opened</t>
  </si>
  <si>
    <t>Sales per square foot Growth Rate</t>
  </si>
  <si>
    <t>(%)</t>
  </si>
  <si>
    <t>COSTS</t>
  </si>
  <si>
    <t>Variable Costs(% of Cost of Sales)</t>
  </si>
  <si>
    <t>Cost Inflation</t>
  </si>
  <si>
    <t>($ MM)</t>
  </si>
  <si>
    <t>-Grows at inflation</t>
  </si>
  <si>
    <t>DEPRECIATION</t>
  </si>
  <si>
    <t>Method</t>
  </si>
  <si>
    <t>Straight Line</t>
  </si>
  <si>
    <t>Years Remaining:</t>
  </si>
  <si>
    <t>-Existing Assets</t>
  </si>
  <si>
    <t>-New Assets</t>
  </si>
  <si>
    <t>INCOME TAX</t>
  </si>
  <si>
    <t>Income Tax Rate</t>
  </si>
  <si>
    <t>Income Tax Schedule</t>
  </si>
  <si>
    <t>Reduction for Timing Differencce</t>
  </si>
  <si>
    <t>DEBT AND INTEREST</t>
  </si>
  <si>
    <t>Interest Rates:</t>
  </si>
  <si>
    <t>Revolver</t>
  </si>
  <si>
    <t>Fixed Rate Term Debt</t>
  </si>
  <si>
    <t>Variable Rate Term Debt</t>
  </si>
  <si>
    <t>-Excess of SOFR</t>
  </si>
  <si>
    <t>-SOFR</t>
  </si>
  <si>
    <t>Excess Cash</t>
  </si>
  <si>
    <t>Debt Schedule</t>
  </si>
  <si>
    <t>Amortization on Fixed Rate Term Debt</t>
  </si>
  <si>
    <t>Amortization on Variable Rate Term Debt</t>
  </si>
  <si>
    <t>EQUITY</t>
  </si>
  <si>
    <t>Preferred Shares</t>
  </si>
  <si>
    <t>-Dividend Yield</t>
  </si>
  <si>
    <t>-Dividend Payout Ratio</t>
  </si>
  <si>
    <t>Equity Schedule</t>
  </si>
  <si>
    <t>Issuance / (Buy-Back)</t>
  </si>
  <si>
    <t>Number of New Stores Opened</t>
  </si>
  <si>
    <t>Average Square Feet per Store</t>
  </si>
  <si>
    <t>Sales per Square foot</t>
  </si>
  <si>
    <t>(000's sq. feet)</t>
  </si>
  <si>
    <t>($/sq. foot)</t>
  </si>
  <si>
    <t>Cost Schedule</t>
  </si>
  <si>
    <t>COSTS PER SQUARE FOOT</t>
  </si>
  <si>
    <t>Variable Costs (% of Cost of Sales)</t>
  </si>
  <si>
    <t>Variable Costs</t>
  </si>
  <si>
    <t>Fixed Costs</t>
  </si>
  <si>
    <t>Total Cost per sq. foot</t>
  </si>
  <si>
    <t>COSTS IN MILLIONS</t>
  </si>
  <si>
    <t>Check</t>
  </si>
  <si>
    <t>Depreciation Schedule</t>
  </si>
  <si>
    <t>Net PP&amp;E (beginning)</t>
  </si>
  <si>
    <t>Depreciation on Current Assets</t>
  </si>
  <si>
    <t>Total Depreciation</t>
  </si>
  <si>
    <t>Net PP&amp;E (ending)</t>
  </si>
  <si>
    <t>EBT(Accounting)</t>
  </si>
  <si>
    <t>EBT (Govt.)</t>
  </si>
  <si>
    <t>Taxes (Accounting)</t>
  </si>
  <si>
    <t>Current Tax</t>
  </si>
  <si>
    <t>Total Tax (Accounting)</t>
  </si>
  <si>
    <t>Less - Reduction for Timing Difference</t>
  </si>
  <si>
    <t>Increase/ (Decrease) in Deferred Tax</t>
  </si>
  <si>
    <t>Working Capital Schedule</t>
  </si>
  <si>
    <t>LIABILITIES</t>
  </si>
  <si>
    <t>DAYS IN</t>
  </si>
  <si>
    <t>$ MILLIONS</t>
  </si>
  <si>
    <t>Days in year:</t>
  </si>
  <si>
    <t>(days)</t>
  </si>
  <si>
    <t>Income Statement Items</t>
  </si>
  <si>
    <t>Cost of Sales</t>
  </si>
  <si>
    <t>Net Working Capital</t>
  </si>
  <si>
    <t>Change in Working Capital</t>
  </si>
  <si>
    <t>Outstanding Amount (Beginning)</t>
  </si>
  <si>
    <t>Issuance/ (Buy Back)</t>
  </si>
  <si>
    <t>Outstanding Amount (Ending)</t>
  </si>
  <si>
    <t>Dividend Yield</t>
  </si>
  <si>
    <t>Dividend Payout</t>
  </si>
  <si>
    <t>Preferred Share Dividends</t>
  </si>
  <si>
    <t>Preferred Shares Issuance / (Buy-Back)</t>
  </si>
  <si>
    <t>Common Shares Dividend</t>
  </si>
  <si>
    <t>Preferred Shares Dividend</t>
  </si>
  <si>
    <t>Interest and Debt Schedule</t>
  </si>
  <si>
    <t>Cash</t>
  </si>
  <si>
    <t>Amount Outstanding (beginning)</t>
  </si>
  <si>
    <t>Change in Cash</t>
  </si>
  <si>
    <t>AmountOutstanding (ending)</t>
  </si>
  <si>
    <t>Interest Rate on Excess Cash</t>
  </si>
  <si>
    <t>Interest Earned on Excess Cash</t>
  </si>
  <si>
    <t>Issuance / (Repayment)</t>
  </si>
  <si>
    <t>Interest Rate on Revolver</t>
  </si>
  <si>
    <t>Interest Expense on Revolver</t>
  </si>
  <si>
    <t>FCF after Mandatory Payments</t>
  </si>
  <si>
    <t>Variable Rate Term Debt Issue / (Repay)</t>
  </si>
  <si>
    <t>Fixed Rate Term Debt Issue / (Repay)</t>
  </si>
  <si>
    <t>Interest Rate on Fixed Rate Term Debt</t>
  </si>
  <si>
    <t>Revolver Issuance / (Repayment)</t>
  </si>
  <si>
    <t>Revolver Outstanding Balance</t>
  </si>
  <si>
    <t>Minimum Cash Balance</t>
  </si>
  <si>
    <t>Growth</t>
  </si>
  <si>
    <t>Margin</t>
  </si>
  <si>
    <t>Summary: Base Case</t>
  </si>
  <si>
    <t>Summary: Best Case</t>
  </si>
  <si>
    <t>Summary: Worst Case</t>
  </si>
  <si>
    <t>FMI0178022</t>
  </si>
  <si>
    <t>YAMINI KOTA</t>
  </si>
  <si>
    <t>Interest on Fixed Rate Term Debt</t>
  </si>
  <si>
    <t>Interest on Variable Rate Term Debt</t>
  </si>
  <si>
    <t>Revolver Outstanding (beginning)</t>
  </si>
  <si>
    <t>Interest Rate on Variable Rate Debt</t>
  </si>
  <si>
    <t>Revolver Outstanding 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</si>
</sst>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0\A"/>
    <numFmt numFmtId="169" formatCode="0.0%;\(0.0%\)"/>
    <numFmt numFmtId="170" formatCode="#,##0.0_);\(#,##0.0\)"/>
    <numFmt numFmtId="171" formatCode="0%;\(0%\)"/>
    <numFmt numFmtId="172" formatCode="#,##0.000_);\(#,##0.000\)"/>
    <numFmt numFmtId="173" formatCode="_(* #,##0.0_);_(* \(#,##0.0\);_(* &quot;-&quot;??_);_(@_)"/>
    <numFmt numFmtId="174" formatCode="_-* #,##0_-;\-* #,##0_-;_-* &quot;-&quot;??_-;_-@_-"/>
    <numFmt numFmtId="176" formatCode="#,##0.0000_);\(#,##0.0000\)"/>
    <numFmt numFmtId="177" formatCode="0.0%"/>
    <numFmt numFmtId="182" formatCode="&quot;$&quot;#,##0;\(&quot;$&quot;#,##0\)"/>
    <numFmt numFmtId="184" formatCode="0&quot; years&quot;"/>
    <numFmt numFmtId="185" formatCode="0;\(0\)"/>
    <numFmt numFmtId="192" formatCode="0.0"/>
    <numFmt numFmtId="194" formatCode="_ * #,##0.0_ ;_ * \-#,##0.0_ ;_ * &quot;-&quot;??_ ;_ @_ "/>
    <numFmt numFmtId="195" formatCode="#,##0.0"/>
    <numFmt numFmtId="196" formatCode="&quot;$&quot;#,##0.0;\(&quot;$&quot;#,##0.0\)"/>
    <numFmt numFmtId="197" formatCode="#,##0_);\(#,##0\)"/>
    <numFmt numFmtId="202" formatCode="[$-409]mmmm\ d\,\ yyyy;@"/>
  </numFmts>
  <fonts count="3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ldine401 BT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indexed="12"/>
      <name val="Calibri"/>
      <family val="2"/>
      <scheme val="minor"/>
    </font>
    <font>
      <vertAlign val="superscript"/>
      <sz val="7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5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8"/>
      <color rgb="FF0000FF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FF"/>
      <name val="Arial"/>
      <family val="2"/>
    </font>
    <font>
      <sz val="10"/>
      <color rgb="FF993366"/>
      <name val="Arial"/>
      <family val="2"/>
    </font>
    <font>
      <sz val="10"/>
      <color rgb="FF993366"/>
      <name val="Calibri"/>
      <family val="2"/>
      <scheme val="minor"/>
    </font>
    <font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166" fontId="3" fillId="0" borderId="0" applyFont="0" applyFill="0" applyBorder="0" applyAlignment="0" applyProtection="0"/>
    <xf numFmtId="0" fontId="2" fillId="0" borderId="0"/>
    <xf numFmtId="0" fontId="4" fillId="0" borderId="0" applyNumberFormat="0" applyFont="0" applyFill="0" applyBorder="0" applyProtection="0">
      <alignment horizontal="centerContinuous"/>
    </xf>
    <xf numFmtId="0" fontId="4" fillId="0" borderId="2" applyNumberFormat="0" applyFont="0" applyFill="0" applyAlignment="0" applyProtection="0"/>
    <xf numFmtId="0" fontId="4" fillId="0" borderId="0" applyNumberFormat="0" applyFont="0" applyFill="0" applyBorder="0" applyProtection="0">
      <alignment horizontal="center"/>
    </xf>
    <xf numFmtId="165" fontId="5" fillId="0" borderId="6">
      <protection locked="0"/>
    </xf>
    <xf numFmtId="0" fontId="4" fillId="0" borderId="7" applyNumberFormat="0" applyFont="0" applyFill="0" applyAlignment="0" applyProtection="0"/>
    <xf numFmtId="0" fontId="6" fillId="0" borderId="0" applyNumberFormat="0" applyFill="0" applyBorder="0" applyAlignment="0" applyProtection="0"/>
    <xf numFmtId="174" fontId="3" fillId="0" borderId="0" applyNumberFormat="0" applyFill="0" applyBorder="0" applyAlignment="0" applyProtection="0"/>
    <xf numFmtId="0" fontId="4" fillId="0" borderId="5" applyNumberFormat="0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43">
    <xf numFmtId="0" fontId="0" fillId="0" borderId="0" xfId="0"/>
    <xf numFmtId="0" fontId="7" fillId="0" borderId="0" xfId="0" applyFont="1" applyAlignment="1">
      <alignment horizontal="centerContinuous"/>
    </xf>
    <xf numFmtId="0" fontId="8" fillId="0" borderId="0" xfId="0" applyFont="1"/>
    <xf numFmtId="0" fontId="9" fillId="0" borderId="0" xfId="0" applyFont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10" fillId="0" borderId="0" xfId="0" quotePrefix="1" applyFont="1"/>
    <xf numFmtId="0" fontId="11" fillId="0" borderId="0" xfId="0" applyFont="1" applyAlignment="1">
      <alignment horizontal="centerContinuous"/>
    </xf>
    <xf numFmtId="0" fontId="12" fillId="0" borderId="0" xfId="0" applyFont="1"/>
    <xf numFmtId="1" fontId="12" fillId="0" borderId="0" xfId="0" quotePrefix="1" applyNumberFormat="1" applyFont="1" applyAlignment="1">
      <alignment horizontal="right"/>
    </xf>
    <xf numFmtId="0" fontId="8" fillId="0" borderId="8" xfId="2" applyFont="1" applyBorder="1" applyAlignment="1">
      <alignment horizontal="left" vertical="center"/>
    </xf>
    <xf numFmtId="0" fontId="8" fillId="0" borderId="9" xfId="0" applyFont="1" applyBorder="1"/>
    <xf numFmtId="0" fontId="12" fillId="0" borderId="9" xfId="0" applyFont="1" applyBorder="1"/>
    <xf numFmtId="169" fontId="8" fillId="0" borderId="9" xfId="0" applyNumberFormat="1" applyFont="1" applyBorder="1"/>
    <xf numFmtId="169" fontId="8" fillId="0" borderId="10" xfId="0" applyNumberFormat="1" applyFont="1" applyBorder="1"/>
    <xf numFmtId="0" fontId="8" fillId="0" borderId="11" xfId="2" applyFont="1" applyBorder="1" applyAlignment="1">
      <alignment horizontal="left" vertical="center"/>
    </xf>
    <xf numFmtId="169" fontId="8" fillId="0" borderId="0" xfId="0" applyNumberFormat="1" applyFont="1"/>
    <xf numFmtId="169" fontId="8" fillId="0" borderId="12" xfId="0" applyNumberFormat="1" applyFont="1" applyBorder="1"/>
    <xf numFmtId="0" fontId="8" fillId="0" borderId="13" xfId="2" applyFont="1" applyBorder="1" applyAlignment="1">
      <alignment horizontal="left" vertical="center"/>
    </xf>
    <xf numFmtId="0" fontId="8" fillId="0" borderId="14" xfId="0" applyFont="1" applyBorder="1"/>
    <xf numFmtId="0" fontId="12" fillId="0" borderId="14" xfId="0" applyFont="1" applyBorder="1"/>
    <xf numFmtId="169" fontId="8" fillId="0" borderId="14" xfId="0" applyNumberFormat="1" applyFont="1" applyBorder="1"/>
    <xf numFmtId="169" fontId="8" fillId="0" borderId="15" xfId="0" applyNumberFormat="1" applyFont="1" applyBorder="1"/>
    <xf numFmtId="0" fontId="11" fillId="0" borderId="0" xfId="0" applyFont="1"/>
    <xf numFmtId="170" fontId="13" fillId="0" borderId="0" xfId="1" applyNumberFormat="1" applyFont="1" applyAlignment="1" applyProtection="1">
      <alignment horizontal="right"/>
      <protection locked="0"/>
    </xf>
    <xf numFmtId="170" fontId="14" fillId="0" borderId="0" xfId="1" applyNumberFormat="1" applyFont="1" applyAlignment="1" applyProtection="1">
      <alignment horizontal="right"/>
      <protection locked="0"/>
    </xf>
    <xf numFmtId="0" fontId="8" fillId="0" borderId="0" xfId="0" quotePrefix="1" applyFont="1" applyAlignment="1">
      <alignment horizontal="left"/>
    </xf>
    <xf numFmtId="170" fontId="14" fillId="0" borderId="2" xfId="1" applyNumberFormat="1" applyFont="1" applyBorder="1" applyAlignment="1" applyProtection="1">
      <alignment horizontal="right"/>
      <protection locked="0"/>
    </xf>
    <xf numFmtId="0" fontId="11" fillId="0" borderId="0" xfId="0" quotePrefix="1" applyFont="1" applyAlignment="1">
      <alignment horizontal="left"/>
    </xf>
    <xf numFmtId="170" fontId="11" fillId="0" borderId="0" xfId="1" applyNumberFormat="1" applyFont="1" applyAlignment="1">
      <alignment horizontal="right"/>
    </xf>
    <xf numFmtId="170" fontId="11" fillId="0" borderId="0" xfId="1" applyNumberFormat="1" applyFont="1"/>
    <xf numFmtId="170" fontId="14" fillId="0" borderId="2" xfId="1" applyNumberFormat="1" applyFont="1" applyBorder="1" applyProtection="1">
      <protection locked="0"/>
    </xf>
    <xf numFmtId="170" fontId="14" fillId="0" borderId="0" xfId="1" applyNumberFormat="1" applyFont="1" applyProtection="1">
      <protection locked="0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0" fontId="8" fillId="0" borderId="0" xfId="0" applyNumberFormat="1" applyFont="1"/>
    <xf numFmtId="164" fontId="11" fillId="0" borderId="0" xfId="0" quotePrefix="1" applyNumberFormat="1" applyFont="1" applyAlignment="1">
      <alignment horizontal="left"/>
    </xf>
    <xf numFmtId="170" fontId="11" fillId="0" borderId="16" xfId="1" applyNumberFormat="1" applyFont="1" applyBorder="1" applyAlignment="1">
      <alignment horizontal="right"/>
    </xf>
    <xf numFmtId="164" fontId="8" fillId="0" borderId="0" xfId="0" quotePrefix="1" applyNumberFormat="1" applyFont="1" applyAlignment="1">
      <alignment horizontal="left"/>
    </xf>
    <xf numFmtId="170" fontId="11" fillId="0" borderId="7" xfId="1" applyNumberFormat="1" applyFont="1" applyBorder="1" applyAlignment="1">
      <alignment horizontal="right"/>
    </xf>
    <xf numFmtId="0" fontId="8" fillId="0" borderId="2" xfId="0" applyFont="1" applyBorder="1"/>
    <xf numFmtId="167" fontId="8" fillId="0" borderId="2" xfId="1" applyNumberFormat="1" applyFont="1" applyBorder="1"/>
    <xf numFmtId="0" fontId="15" fillId="0" borderId="0" xfId="0" quotePrefix="1" applyFont="1"/>
    <xf numFmtId="171" fontId="10" fillId="0" borderId="0" xfId="0" applyNumberFormat="1" applyFont="1"/>
    <xf numFmtId="167" fontId="8" fillId="0" borderId="0" xfId="1" applyNumberFormat="1" applyFont="1"/>
    <xf numFmtId="0" fontId="8" fillId="0" borderId="0" xfId="0" applyFont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10" fillId="0" borderId="0" xfId="0" quotePrefix="1" applyFont="1" applyAlignment="1">
      <alignment horizontal="left"/>
    </xf>
    <xf numFmtId="168" fontId="12" fillId="0" borderId="0" xfId="0" applyNumberFormat="1" applyFont="1" applyAlignment="1">
      <alignment horizontal="right"/>
    </xf>
    <xf numFmtId="37" fontId="8" fillId="0" borderId="0" xfId="1" applyNumberFormat="1" applyFont="1"/>
    <xf numFmtId="170" fontId="16" fillId="0" borderId="0" xfId="1" applyNumberFormat="1" applyFont="1" applyProtection="1">
      <protection locked="0"/>
    </xf>
    <xf numFmtId="37" fontId="14" fillId="0" borderId="0" xfId="1" applyNumberFormat="1" applyFont="1"/>
    <xf numFmtId="170" fontId="16" fillId="0" borderId="2" xfId="1" applyNumberFormat="1" applyFont="1" applyBorder="1" applyAlignment="1" applyProtection="1">
      <alignment horizontal="right"/>
      <protection locked="0"/>
    </xf>
    <xf numFmtId="37" fontId="11" fillId="0" borderId="0" xfId="1" applyNumberFormat="1" applyFont="1"/>
    <xf numFmtId="170" fontId="11" fillId="0" borderId="0" xfId="1" applyNumberFormat="1" applyFont="1" applyProtection="1">
      <protection locked="0"/>
    </xf>
    <xf numFmtId="9" fontId="8" fillId="0" borderId="0" xfId="12" applyFont="1"/>
    <xf numFmtId="170" fontId="8" fillId="0" borderId="0" xfId="1" applyNumberFormat="1" applyFont="1"/>
    <xf numFmtId="170" fontId="8" fillId="0" borderId="2" xfId="1" applyNumberFormat="1" applyFont="1" applyBorder="1"/>
    <xf numFmtId="0" fontId="17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170" fontId="16" fillId="0" borderId="0" xfId="0" applyNumberFormat="1" applyFont="1"/>
    <xf numFmtId="170" fontId="8" fillId="0" borderId="4" xfId="1" applyNumberFormat="1" applyFont="1" applyBorder="1"/>
    <xf numFmtId="176" fontId="8" fillId="0" borderId="0" xfId="1" applyNumberFormat="1" applyFont="1"/>
    <xf numFmtId="170" fontId="11" fillId="0" borderId="3" xfId="1" applyNumberFormat="1" applyFont="1" applyBorder="1"/>
    <xf numFmtId="172" fontId="14" fillId="0" borderId="0" xfId="1" applyNumberFormat="1" applyFont="1"/>
    <xf numFmtId="173" fontId="8" fillId="0" borderId="0" xfId="1" applyNumberFormat="1" applyFont="1"/>
    <xf numFmtId="0" fontId="10" fillId="0" borderId="2" xfId="0" quotePrefix="1" applyFont="1" applyBorder="1" applyAlignment="1">
      <alignment horizontal="left"/>
    </xf>
    <xf numFmtId="0" fontId="18" fillId="0" borderId="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9" fillId="0" borderId="2" xfId="0" applyFont="1" applyBorder="1" applyAlignment="1" applyProtection="1">
      <alignment horizontal="center"/>
      <protection locked="0"/>
    </xf>
    <xf numFmtId="0" fontId="22" fillId="0" borderId="0" xfId="0" applyFont="1" applyAlignment="1">
      <alignment horizontal="left"/>
    </xf>
    <xf numFmtId="1" fontId="8" fillId="0" borderId="0" xfId="0" applyNumberFormat="1" applyFont="1"/>
    <xf numFmtId="0" fontId="7" fillId="0" borderId="0" xfId="0" applyNumberFormat="1" applyFont="1" applyAlignment="1">
      <alignment horizontal="centerContinuous"/>
    </xf>
    <xf numFmtId="0" fontId="23" fillId="0" borderId="0" xfId="0" applyFont="1"/>
    <xf numFmtId="0" fontId="23" fillId="0" borderId="2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20" fillId="0" borderId="0" xfId="0" applyFont="1"/>
    <xf numFmtId="0" fontId="20" fillId="0" borderId="17" xfId="0" applyFont="1" applyBorder="1"/>
    <xf numFmtId="0" fontId="0" fillId="0" borderId="16" xfId="0" applyBorder="1"/>
    <xf numFmtId="0" fontId="0" fillId="0" borderId="18" xfId="0" applyBorder="1"/>
    <xf numFmtId="1" fontId="12" fillId="0" borderId="2" xfId="0" quotePrefix="1" applyNumberFormat="1" applyFont="1" applyBorder="1" applyAlignment="1">
      <alignment horizontal="right"/>
    </xf>
    <xf numFmtId="0" fontId="24" fillId="0" borderId="0" xfId="0" applyFont="1"/>
    <xf numFmtId="0" fontId="25" fillId="0" borderId="0" xfId="0" applyNumberFormat="1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25" fillId="0" borderId="1" xfId="0" applyFont="1" applyBorder="1" applyAlignment="1">
      <alignment horizontal="centerContinuous"/>
    </xf>
    <xf numFmtId="0" fontId="24" fillId="0" borderId="0" xfId="0" applyFont="1" applyAlignment="1">
      <alignment horizontal="left"/>
    </xf>
    <xf numFmtId="0" fontId="2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Border="1"/>
    <xf numFmtId="0" fontId="6" fillId="0" borderId="2" xfId="0" applyFont="1" applyBorder="1" applyAlignment="1">
      <alignment horizontal="left"/>
    </xf>
    <xf numFmtId="0" fontId="26" fillId="0" borderId="0" xfId="0" applyFont="1"/>
    <xf numFmtId="185" fontId="26" fillId="0" borderId="0" xfId="0" applyNumberFormat="1" applyFont="1"/>
    <xf numFmtId="0" fontId="20" fillId="0" borderId="2" xfId="0" applyFont="1" applyBorder="1"/>
    <xf numFmtId="0" fontId="27" fillId="0" borderId="0" xfId="0" applyFont="1"/>
    <xf numFmtId="9" fontId="0" fillId="0" borderId="0" xfId="12" applyFont="1"/>
    <xf numFmtId="177" fontId="0" fillId="0" borderId="0" xfId="12" applyNumberFormat="1" applyFont="1"/>
    <xf numFmtId="9" fontId="27" fillId="0" borderId="0" xfId="12" applyFont="1"/>
    <xf numFmtId="177" fontId="27" fillId="0" borderId="0" xfId="12" applyNumberFormat="1" applyFont="1"/>
    <xf numFmtId="177" fontId="26" fillId="0" borderId="0" xfId="12" applyNumberFormat="1" applyFont="1"/>
    <xf numFmtId="9" fontId="26" fillId="0" borderId="0" xfId="12" applyFont="1"/>
    <xf numFmtId="0" fontId="6" fillId="0" borderId="16" xfId="0" applyFont="1" applyBorder="1"/>
    <xf numFmtId="177" fontId="0" fillId="0" borderId="16" xfId="12" applyNumberFormat="1" applyFont="1" applyBorder="1"/>
    <xf numFmtId="177" fontId="0" fillId="0" borderId="18" xfId="12" applyNumberFormat="1" applyFont="1" applyBorder="1"/>
    <xf numFmtId="9" fontId="0" fillId="0" borderId="16" xfId="12" applyFont="1" applyBorder="1"/>
    <xf numFmtId="9" fontId="0" fillId="0" borderId="18" xfId="12" applyFont="1" applyBorder="1"/>
    <xf numFmtId="0" fontId="20" fillId="0" borderId="0" xfId="0" applyFont="1" applyBorder="1"/>
    <xf numFmtId="0" fontId="28" fillId="0" borderId="0" xfId="0" applyFont="1"/>
    <xf numFmtId="177" fontId="28" fillId="0" borderId="0" xfId="12" applyNumberFormat="1" applyFont="1"/>
    <xf numFmtId="0" fontId="24" fillId="0" borderId="9" xfId="0" applyFont="1" applyBorder="1"/>
    <xf numFmtId="0" fontId="24" fillId="0" borderId="14" xfId="0" applyFont="1" applyBorder="1"/>
    <xf numFmtId="0" fontId="25" fillId="0" borderId="0" xfId="0" applyFont="1"/>
    <xf numFmtId="0" fontId="24" fillId="0" borderId="2" xfId="0" applyFont="1" applyBorder="1"/>
    <xf numFmtId="0" fontId="24" fillId="0" borderId="0" xfId="0" applyFont="1" applyAlignment="1">
      <alignment horizontal="centerContinuous"/>
    </xf>
    <xf numFmtId="0" fontId="24" fillId="0" borderId="1" xfId="0" applyFont="1" applyBorder="1" applyAlignment="1">
      <alignment horizontal="centerContinuous"/>
    </xf>
    <xf numFmtId="167" fontId="28" fillId="0" borderId="0" xfId="1" applyNumberFormat="1" applyFont="1"/>
    <xf numFmtId="192" fontId="8" fillId="0" borderId="0" xfId="0" applyNumberFormat="1" applyFont="1"/>
    <xf numFmtId="194" fontId="8" fillId="0" borderId="0" xfId="0" applyNumberFormat="1" applyFont="1"/>
    <xf numFmtId="167" fontId="8" fillId="0" borderId="0" xfId="0" applyNumberFormat="1" applyFont="1"/>
    <xf numFmtId="192" fontId="16" fillId="0" borderId="0" xfId="0" applyNumberFormat="1" applyFont="1"/>
    <xf numFmtId="170" fontId="11" fillId="0" borderId="0" xfId="0" applyNumberFormat="1" applyFont="1"/>
    <xf numFmtId="9" fontId="8" fillId="0" borderId="0" xfId="0" applyNumberFormat="1" applyFont="1"/>
    <xf numFmtId="9" fontId="28" fillId="0" borderId="0" xfId="0" applyNumberFormat="1" applyFont="1"/>
    <xf numFmtId="195" fontId="8" fillId="0" borderId="0" xfId="0" applyNumberFormat="1" applyFont="1"/>
    <xf numFmtId="196" fontId="11" fillId="0" borderId="3" xfId="0" applyNumberFormat="1" applyFont="1" applyBorder="1"/>
    <xf numFmtId="196" fontId="11" fillId="0" borderId="3" xfId="1" applyNumberFormat="1" applyFont="1" applyBorder="1"/>
    <xf numFmtId="170" fontId="11" fillId="0" borderId="0" xfId="1" applyNumberFormat="1" applyFont="1" applyAlignment="1" applyProtection="1">
      <alignment horizontal="right"/>
      <protection locked="0"/>
    </xf>
    <xf numFmtId="170" fontId="8" fillId="0" borderId="0" xfId="1" applyNumberFormat="1" applyFont="1" applyAlignment="1" applyProtection="1">
      <alignment horizontal="right"/>
      <protection locked="0"/>
    </xf>
    <xf numFmtId="170" fontId="8" fillId="0" borderId="2" xfId="1" applyNumberFormat="1" applyFont="1" applyBorder="1" applyAlignment="1" applyProtection="1">
      <alignment horizontal="right"/>
      <protection locked="0"/>
    </xf>
    <xf numFmtId="197" fontId="28" fillId="0" borderId="2" xfId="1" applyNumberFormat="1" applyFont="1" applyBorder="1" applyAlignment="1" applyProtection="1">
      <alignment horizontal="right"/>
      <protection locked="0"/>
    </xf>
    <xf numFmtId="170" fontId="8" fillId="0" borderId="2" xfId="1" applyNumberFormat="1" applyFont="1" applyBorder="1" applyProtection="1">
      <protection locked="0"/>
    </xf>
    <xf numFmtId="170" fontId="28" fillId="0" borderId="0" xfId="1" applyNumberFormat="1" applyFont="1" applyProtection="1">
      <protection locked="0"/>
    </xf>
    <xf numFmtId="170" fontId="11" fillId="0" borderId="4" xfId="1" applyNumberFormat="1" applyFont="1" applyBorder="1"/>
    <xf numFmtId="0" fontId="10" fillId="0" borderId="0" xfId="0" applyFont="1"/>
    <xf numFmtId="170" fontId="10" fillId="0" borderId="0" xfId="1" applyNumberFormat="1" applyFont="1"/>
    <xf numFmtId="0" fontId="8" fillId="0" borderId="0" xfId="0" applyFont="1" applyBorder="1"/>
    <xf numFmtId="195" fontId="11" fillId="0" borderId="0" xfId="0" applyNumberFormat="1" applyFont="1"/>
    <xf numFmtId="0" fontId="11" fillId="0" borderId="2" xfId="0" applyFont="1" applyBorder="1"/>
    <xf numFmtId="196" fontId="11" fillId="0" borderId="2" xfId="0" applyNumberFormat="1" applyFont="1" applyBorder="1"/>
    <xf numFmtId="170" fontId="8" fillId="0" borderId="0" xfId="1" applyNumberFormat="1" applyFont="1" applyProtection="1">
      <protection locked="0"/>
    </xf>
    <xf numFmtId="170" fontId="11" fillId="0" borderId="16" xfId="1" applyNumberFormat="1" applyFont="1" applyBorder="1" applyProtection="1">
      <protection locked="0"/>
    </xf>
    <xf numFmtId="0" fontId="8" fillId="0" borderId="3" xfId="0" applyFont="1" applyBorder="1"/>
    <xf numFmtId="170" fontId="11" fillId="0" borderId="3" xfId="1" applyNumberFormat="1" applyFont="1" applyBorder="1" applyProtection="1">
      <protection locked="0"/>
    </xf>
    <xf numFmtId="0" fontId="8" fillId="0" borderId="19" xfId="0" applyFont="1" applyBorder="1"/>
    <xf numFmtId="170" fontId="11" fillId="0" borderId="16" xfId="0" applyNumberFormat="1" applyFont="1" applyBorder="1"/>
    <xf numFmtId="10" fontId="8" fillId="0" borderId="0" xfId="0" applyNumberFormat="1" applyFont="1"/>
    <xf numFmtId="10" fontId="28" fillId="0" borderId="0" xfId="0" applyNumberFormat="1" applyFont="1"/>
    <xf numFmtId="177" fontId="8" fillId="0" borderId="0" xfId="0" applyNumberFormat="1" applyFont="1"/>
    <xf numFmtId="0" fontId="11" fillId="0" borderId="0" xfId="0" applyFont="1" applyBorder="1"/>
    <xf numFmtId="0" fontId="25" fillId="0" borderId="0" xfId="0" applyFont="1" applyBorder="1"/>
    <xf numFmtId="0" fontId="24" fillId="0" borderId="0" xfId="0" applyFont="1" applyBorder="1"/>
    <xf numFmtId="0" fontId="0" fillId="0" borderId="20" xfId="0" applyBorder="1"/>
    <xf numFmtId="0" fontId="0" fillId="0" borderId="4" xfId="0" applyBorder="1"/>
    <xf numFmtId="0" fontId="20" fillId="0" borderId="4" xfId="0" applyFont="1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1" fontId="12" fillId="0" borderId="23" xfId="0" quotePrefix="1" applyNumberFormat="1" applyFont="1" applyBorder="1" applyAlignment="1">
      <alignment horizontal="right"/>
    </xf>
    <xf numFmtId="0" fontId="0" fillId="0" borderId="24" xfId="0" applyBorder="1"/>
    <xf numFmtId="0" fontId="20" fillId="0" borderId="22" xfId="0" applyFont="1" applyBorder="1"/>
    <xf numFmtId="196" fontId="0" fillId="0" borderId="0" xfId="0" applyNumberFormat="1" applyBorder="1"/>
    <xf numFmtId="196" fontId="0" fillId="0" borderId="24" xfId="0" applyNumberFormat="1" applyBorder="1"/>
    <xf numFmtId="171" fontId="0" fillId="0" borderId="0" xfId="12" applyNumberFormat="1" applyFont="1" applyBorder="1"/>
    <xf numFmtId="171" fontId="0" fillId="0" borderId="24" xfId="12" applyNumberFormat="1" applyFont="1" applyBorder="1"/>
    <xf numFmtId="0" fontId="20" fillId="0" borderId="25" xfId="0" applyFont="1" applyBorder="1"/>
    <xf numFmtId="0" fontId="0" fillId="0" borderId="23" xfId="0" applyBorder="1"/>
    <xf numFmtId="0" fontId="21" fillId="0" borderId="22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20" fillId="0" borderId="0" xfId="0" applyFont="1" applyBorder="1" applyAlignment="1">
      <alignment horizontal="centerContinuous"/>
    </xf>
    <xf numFmtId="0" fontId="0" fillId="0" borderId="24" xfId="0" applyBorder="1" applyAlignment="1">
      <alignment horizontal="centerContinuous"/>
    </xf>
    <xf numFmtId="196" fontId="26" fillId="0" borderId="0" xfId="0" applyNumberFormat="1" applyFont="1" applyBorder="1"/>
    <xf numFmtId="196" fontId="26" fillId="0" borderId="24" xfId="0" applyNumberFormat="1" applyFont="1" applyBorder="1"/>
    <xf numFmtId="0" fontId="26" fillId="0" borderId="0" xfId="0" applyFont="1" applyBorder="1"/>
    <xf numFmtId="171" fontId="26" fillId="0" borderId="0" xfId="12" applyNumberFormat="1" applyFont="1" applyBorder="1"/>
    <xf numFmtId="171" fontId="26" fillId="0" borderId="24" xfId="12" applyNumberFormat="1" applyFont="1" applyBorder="1"/>
    <xf numFmtId="0" fontId="26" fillId="0" borderId="24" xfId="0" applyFont="1" applyBorder="1"/>
    <xf numFmtId="0" fontId="6" fillId="0" borderId="0" xfId="0" applyFont="1" applyBorder="1"/>
    <xf numFmtId="0" fontId="21" fillId="2" borderId="17" xfId="0" applyFont="1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20" fillId="2" borderId="16" xfId="0" applyFont="1" applyFill="1" applyBorder="1" applyAlignment="1">
      <alignment horizontal="centerContinuous"/>
    </xf>
    <xf numFmtId="0" fontId="0" fillId="2" borderId="18" xfId="0" applyFill="1" applyBorder="1" applyAlignment="1">
      <alignment horizontal="centerContinuous"/>
    </xf>
    <xf numFmtId="0" fontId="26" fillId="0" borderId="23" xfId="0" applyFont="1" applyBorder="1"/>
    <xf numFmtId="0" fontId="6" fillId="0" borderId="0" xfId="0" applyFont="1" applyBorder="1" applyAlignment="1">
      <alignment horizontal="left"/>
    </xf>
    <xf numFmtId="167" fontId="26" fillId="0" borderId="24" xfId="1" applyNumberFormat="1" applyFont="1" applyBorder="1"/>
    <xf numFmtId="177" fontId="26" fillId="0" borderId="23" xfId="0" applyNumberFormat="1" applyFont="1" applyBorder="1"/>
    <xf numFmtId="9" fontId="26" fillId="0" borderId="24" xfId="0" applyNumberFormat="1" applyFont="1" applyBorder="1"/>
    <xf numFmtId="182" fontId="26" fillId="0" borderId="24" xfId="1" applyNumberFormat="1" applyFont="1" applyBorder="1"/>
    <xf numFmtId="0" fontId="0" fillId="0" borderId="2" xfId="0" quotePrefix="1" applyBorder="1"/>
    <xf numFmtId="0" fontId="0" fillId="0" borderId="0" xfId="0" quotePrefix="1" applyBorder="1"/>
    <xf numFmtId="184" fontId="26" fillId="0" borderId="24" xfId="0" applyNumberFormat="1" applyFont="1" applyBorder="1"/>
    <xf numFmtId="184" fontId="26" fillId="0" borderId="23" xfId="0" applyNumberFormat="1" applyFont="1" applyBorder="1"/>
    <xf numFmtId="0" fontId="6" fillId="0" borderId="2" xfId="0" applyFont="1" applyBorder="1"/>
    <xf numFmtId="9" fontId="26" fillId="0" borderId="23" xfId="0" applyNumberFormat="1" applyFont="1" applyBorder="1"/>
    <xf numFmtId="10" fontId="26" fillId="0" borderId="24" xfId="0" applyNumberFormat="1" applyFont="1" applyBorder="1"/>
    <xf numFmtId="10" fontId="0" fillId="0" borderId="24" xfId="0" applyNumberFormat="1" applyFont="1" applyBorder="1"/>
    <xf numFmtId="177" fontId="26" fillId="0" borderId="24" xfId="0" applyNumberFormat="1" applyFont="1" applyBorder="1"/>
    <xf numFmtId="182" fontId="26" fillId="0" borderId="23" xfId="1" applyNumberFormat="1" applyFont="1" applyBorder="1"/>
    <xf numFmtId="0" fontId="20" fillId="2" borderId="17" xfId="0" applyFont="1" applyFill="1" applyBorder="1"/>
    <xf numFmtId="0" fontId="0" fillId="2" borderId="16" xfId="0" applyFill="1" applyBorder="1"/>
    <xf numFmtId="0" fontId="6" fillId="2" borderId="16" xfId="0" applyFont="1" applyFill="1" applyBorder="1" applyAlignment="1">
      <alignment horizontal="left"/>
    </xf>
    <xf numFmtId="0" fontId="0" fillId="2" borderId="18" xfId="0" applyFill="1" applyBorder="1"/>
    <xf numFmtId="0" fontId="26" fillId="2" borderId="18" xfId="0" applyFont="1" applyFill="1" applyBorder="1"/>
    <xf numFmtId="0" fontId="29" fillId="0" borderId="0" xfId="0" applyFont="1"/>
    <xf numFmtId="202" fontId="30" fillId="0" borderId="0" xfId="0" applyNumberFormat="1" applyFont="1" applyAlignment="1">
      <alignment horizontal="left"/>
    </xf>
    <xf numFmtId="0" fontId="11" fillId="0" borderId="14" xfId="0" applyFont="1" applyBorder="1"/>
    <xf numFmtId="0" fontId="11" fillId="0" borderId="8" xfId="0" applyFont="1" applyBorder="1"/>
    <xf numFmtId="0" fontId="24" fillId="0" borderId="10" xfId="0" applyFont="1" applyBorder="1"/>
    <xf numFmtId="0" fontId="11" fillId="0" borderId="11" xfId="0" applyFont="1" applyBorder="1"/>
    <xf numFmtId="1" fontId="8" fillId="0" borderId="0" xfId="0" applyNumberFormat="1" applyFont="1" applyBorder="1"/>
    <xf numFmtId="182" fontId="8" fillId="0" borderId="12" xfId="0" applyNumberFormat="1" applyFont="1" applyBorder="1"/>
    <xf numFmtId="0" fontId="11" fillId="0" borderId="13" xfId="0" applyFont="1" applyBorder="1"/>
    <xf numFmtId="1" fontId="8" fillId="0" borderId="14" xfId="0" applyNumberFormat="1" applyFont="1" applyBorder="1"/>
    <xf numFmtId="182" fontId="8" fillId="0" borderId="15" xfId="0" applyNumberFormat="1" applyFont="1" applyBorder="1"/>
    <xf numFmtId="0" fontId="20" fillId="0" borderId="8" xfId="0" applyFont="1" applyBorder="1"/>
    <xf numFmtId="0" fontId="0" fillId="0" borderId="9" xfId="0" applyBorder="1"/>
    <xf numFmtId="0" fontId="20" fillId="0" borderId="11" xfId="0" applyFont="1" applyBorder="1"/>
    <xf numFmtId="184" fontId="8" fillId="0" borderId="12" xfId="0" applyNumberFormat="1" applyFont="1" applyBorder="1"/>
    <xf numFmtId="0" fontId="20" fillId="0" borderId="13" xfId="0" applyFont="1" applyBorder="1"/>
    <xf numFmtId="0" fontId="0" fillId="0" borderId="14" xfId="0" quotePrefix="1" applyBorder="1"/>
    <xf numFmtId="0" fontId="0" fillId="0" borderId="14" xfId="0" applyBorder="1"/>
    <xf numFmtId="184" fontId="8" fillId="0" borderId="15" xfId="0" applyNumberFormat="1" applyFont="1" applyBorder="1"/>
    <xf numFmtId="0" fontId="20" fillId="0" borderId="26" xfId="0" applyFont="1" applyBorder="1"/>
    <xf numFmtId="0" fontId="8" fillId="0" borderId="27" xfId="0" applyFont="1" applyBorder="1"/>
    <xf numFmtId="0" fontId="24" fillId="0" borderId="27" xfId="0" applyFont="1" applyBorder="1"/>
    <xf numFmtId="9" fontId="28" fillId="0" borderId="27" xfId="0" applyNumberFormat="1" applyFont="1" applyBorder="1"/>
    <xf numFmtId="9" fontId="8" fillId="0" borderId="27" xfId="0" applyNumberFormat="1" applyFont="1" applyBorder="1"/>
    <xf numFmtId="9" fontId="8" fillId="0" borderId="28" xfId="0" applyNumberFormat="1" applyFont="1" applyBorder="1"/>
    <xf numFmtId="0" fontId="11" fillId="0" borderId="26" xfId="0" applyFont="1" applyBorder="1"/>
    <xf numFmtId="1" fontId="8" fillId="0" borderId="27" xfId="0" applyNumberFormat="1" applyFont="1" applyBorder="1"/>
    <xf numFmtId="1" fontId="8" fillId="0" borderId="28" xfId="0" applyNumberFormat="1" applyFont="1" applyBorder="1"/>
    <xf numFmtId="9" fontId="28" fillId="0" borderId="9" xfId="0" applyNumberFormat="1" applyFont="1" applyBorder="1"/>
    <xf numFmtId="9" fontId="28" fillId="0" borderId="10" xfId="0" applyNumberFormat="1" applyFont="1" applyBorder="1"/>
    <xf numFmtId="9" fontId="28" fillId="0" borderId="14" xfId="0" applyNumberFormat="1" applyFont="1" applyBorder="1"/>
    <xf numFmtId="9" fontId="8" fillId="0" borderId="14" xfId="0" applyNumberFormat="1" applyFont="1" applyBorder="1"/>
    <xf numFmtId="9" fontId="28" fillId="0" borderId="15" xfId="0" applyNumberFormat="1" applyFont="1" applyBorder="1"/>
    <xf numFmtId="0" fontId="28" fillId="0" borderId="9" xfId="0" applyFont="1" applyBorder="1"/>
    <xf numFmtId="0" fontId="28" fillId="0" borderId="10" xfId="0" applyFont="1" applyBorder="1"/>
    <xf numFmtId="177" fontId="28" fillId="0" borderId="14" xfId="12" applyNumberFormat="1" applyFont="1" applyBorder="1"/>
    <xf numFmtId="177" fontId="28" fillId="0" borderId="15" xfId="12" applyNumberFormat="1" applyFont="1" applyBorder="1"/>
    <xf numFmtId="0" fontId="21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5" xfId="0" applyBorder="1"/>
  </cellXfs>
  <cellStyles count="14">
    <cellStyle name="Across" xfId="3" xr:uid="{00000000-0005-0000-0000-000000000000}"/>
    <cellStyle name="Bottom" xfId="4" xr:uid="{00000000-0005-0000-0000-000001000000}"/>
    <cellStyle name="Center" xfId="5" xr:uid="{00000000-0005-0000-0000-000002000000}"/>
    <cellStyle name="Comma" xfId="1" builtinId="3"/>
    <cellStyle name="Currency [2]" xfId="6" xr:uid="{00000000-0005-0000-0000-000004000000}"/>
    <cellStyle name="Double" xfId="7" xr:uid="{00000000-0005-0000-0000-000005000000}"/>
    <cellStyle name="Normal" xfId="0" builtinId="0"/>
    <cellStyle name="Normal 2" xfId="13" xr:uid="{B37D9BF8-4343-45CF-AD0C-D5909FA0999C}"/>
    <cellStyle name="Normal_TrainingDCF1" xfId="2" xr:uid="{00000000-0005-0000-0000-000007000000}"/>
    <cellStyle name="Numbers" xfId="8" xr:uid="{00000000-0005-0000-0000-000008000000}"/>
    <cellStyle name="Numbers - Bold - Italic" xfId="9" xr:uid="{00000000-0005-0000-0000-000009000000}"/>
    <cellStyle name="Outline" xfId="10" xr:uid="{00000000-0005-0000-0000-00000A000000}"/>
    <cellStyle name="Percent" xfId="12" builtinId="5"/>
    <cellStyle name="Percent 2" xfId="11" xr:uid="{00000000-0005-0000-0000-00000C000000}"/>
  </cellStyles>
  <dxfs count="0"/>
  <tableStyles count="0" defaultTableStyle="TableStyleMedium2" defaultPivotStyle="PivotStyleLight16"/>
  <colors>
    <mruColors>
      <color rgb="FF0000FF"/>
      <color rgb="FF9933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$D$6" fmlaRange="$C$13:$C$15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82487</xdr:colOff>
      <xdr:row>0</xdr:row>
      <xdr:rowOff>47621</xdr:rowOff>
    </xdr:from>
    <xdr:to>
      <xdr:col>2</xdr:col>
      <xdr:colOff>84713</xdr:colOff>
      <xdr:row>5</xdr:row>
      <xdr:rowOff>140363</xdr:rowOff>
    </xdr:to>
    <xdr:pic>
      <xdr:nvPicPr>
        <xdr:cNvPr id="2" name="Picture 1" descr="C:\Users\Chantal Giurlanda\AppData\Local\Microsoft\Windows\INetCache\Content.Word\FMI-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2487" y="47621"/>
          <a:ext cx="1279634" cy="88331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962025</xdr:colOff>
          <xdr:row>5</xdr:row>
          <xdr:rowOff>57149</xdr:rowOff>
        </xdr:from>
        <xdr:to>
          <xdr:col>4</xdr:col>
          <xdr:colOff>571500</xdr:colOff>
          <xdr:row>5</xdr:row>
          <xdr:rowOff>295274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zoomScale="120" zoomScaleNormal="120" workbookViewId="0">
      <selection activeCell="G322" sqref="G322"/>
    </sheetView>
  </sheetViews>
  <sheetFormatPr defaultColWidth="0" defaultRowHeight="0" customHeight="1" zeroHeight="1"/>
  <cols>
    <col min="1" max="3" width="9.140625" style="2" customWidth="1"/>
    <col min="4" max="4" width="39.140625" style="2" customWidth="1"/>
    <col min="5" max="7" width="9.140625" style="2" customWidth="1"/>
    <col min="8" max="9" width="9.140625" style="2" hidden="1" customWidth="1"/>
    <col min="10" max="11" width="0" style="2" hidden="1" customWidth="1"/>
    <col min="12" max="16384" width="9.140625" style="2" hidden="1"/>
  </cols>
  <sheetData>
    <row r="1" spans="1:7" ht="12.75"/>
    <row r="2" spans="1:7" ht="12.75"/>
    <row r="3" spans="1:7" ht="12.75"/>
    <row r="4" spans="1:7" ht="12.75"/>
    <row r="5" spans="1:7" ht="12.75"/>
    <row r="6" spans="1:7" ht="12.75"/>
    <row r="7" spans="1:7" ht="12.75"/>
    <row r="8" spans="1:7" ht="19.5">
      <c r="A8" s="66" t="s">
        <v>57</v>
      </c>
      <c r="B8" s="39"/>
      <c r="C8" s="39"/>
      <c r="D8" s="39"/>
      <c r="E8" s="39"/>
      <c r="F8" s="39"/>
      <c r="G8" s="39"/>
    </row>
    <row r="9" spans="1:7" ht="19.5">
      <c r="A9" s="67" t="s">
        <v>58</v>
      </c>
    </row>
    <row r="10" spans="1:7" ht="12.75" customHeight="1"/>
    <row r="11" spans="1:7" ht="12.75" customHeight="1"/>
    <row r="12" spans="1:7" ht="18" customHeight="1">
      <c r="A12" s="68" t="s">
        <v>62</v>
      </c>
      <c r="D12" s="69" t="s">
        <v>183</v>
      </c>
    </row>
    <row r="13" spans="1:7" ht="12.75">
      <c r="A13" s="68"/>
    </row>
    <row r="14" spans="1:7" ht="18" customHeight="1">
      <c r="A14" s="68" t="s">
        <v>59</v>
      </c>
      <c r="D14" s="69" t="s">
        <v>184</v>
      </c>
    </row>
    <row r="15" spans="1:7" ht="12.75"/>
    <row r="16" spans="1:7" ht="12.75"/>
    <row r="17" s="2" customFormat="1" ht="12.75"/>
    <row r="18" s="2" customFormat="1" ht="12.75" customHeight="1"/>
    <row r="19" s="2" customFormat="1" ht="12.75" customHeight="1"/>
  </sheetData>
  <sheetProtection sheet="1" selectLockedCells="1"/>
  <printOptions horizontalCentered="1" verticalCentered="1"/>
  <pageMargins left="7.874015748031496E-2" right="7.874015748031496E-2" top="7.874015748031496E-2" bottom="0.19685039370078741" header="0" footer="0.1181102362204724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B364-9D5B-4FBA-AE22-C5B4DF0E7F5F}">
  <dimension ref="B9:B11"/>
  <sheetViews>
    <sheetView showGridLines="0" workbookViewId="0"/>
  </sheetViews>
  <sheetFormatPr defaultRowHeight="12.75"/>
  <cols>
    <col min="2" max="2" width="21.5703125" bestFit="1" customWidth="1"/>
  </cols>
  <sheetData>
    <row r="9" spans="2:2" ht="23.25">
      <c r="B9" s="70" t="s">
        <v>66</v>
      </c>
    </row>
    <row r="10" spans="2:2" ht="11.25" customHeight="1">
      <c r="B10" s="201"/>
    </row>
    <row r="11" spans="2:2" ht="15.75">
      <c r="B11" s="202">
        <f ca="1">TODAY()</f>
        <v>45787</v>
      </c>
    </row>
  </sheetData>
  <printOptions verticalCentered="1"/>
  <pageMargins left="7.874015748031496E-2" right="7.874015748031496E-2" top="7.874015748031496E-2" bottom="0.19685039370078741" header="0" footer="0.11811023622047245"/>
  <pageSetup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442B-8256-4544-869F-5AA63FF6660B}">
  <dimension ref="A1:AC54"/>
  <sheetViews>
    <sheetView showGridLines="0" workbookViewId="0"/>
  </sheetViews>
  <sheetFormatPr defaultRowHeight="12.75"/>
  <cols>
    <col min="2" max="2" width="1.7109375" customWidth="1"/>
    <col min="14" max="14" width="10" customWidth="1"/>
  </cols>
  <sheetData>
    <row r="1" spans="1:2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9" ht="23.25">
      <c r="A2" s="2"/>
      <c r="B2" s="72" t="str">
        <f>Cover!$B$9</f>
        <v>Night Owl Inc.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29" ht="18.75">
      <c r="A3" s="2"/>
      <c r="B3" s="3" t="s">
        <v>69</v>
      </c>
      <c r="C3" s="3"/>
      <c r="D3" s="3"/>
      <c r="E3" s="3"/>
      <c r="F3" s="3"/>
      <c r="G3" s="3"/>
      <c r="H3" s="3"/>
      <c r="I3" s="3"/>
      <c r="J3" s="44"/>
      <c r="K3" s="44"/>
      <c r="L3" s="44"/>
      <c r="M3" s="44"/>
      <c r="N3" s="44"/>
    </row>
    <row r="4" spans="1:29" ht="2.25" customHeight="1" thickBot="1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9" ht="3.75" customHeight="1"/>
    <row r="6" spans="1:29" ht="4.5" hidden="1" customHeight="1"/>
    <row r="7" spans="1:29" ht="15">
      <c r="B7" s="176" t="s">
        <v>180</v>
      </c>
      <c r="C7" s="177"/>
      <c r="D7" s="177"/>
      <c r="E7" s="177"/>
      <c r="F7" s="177"/>
      <c r="G7" s="177"/>
      <c r="H7" s="177"/>
      <c r="I7" s="177"/>
      <c r="J7" s="177"/>
      <c r="K7" s="178"/>
      <c r="L7" s="177"/>
      <c r="M7" s="177"/>
      <c r="N7" s="179"/>
      <c r="Q7" s="150"/>
      <c r="R7" s="151"/>
      <c r="S7" s="151"/>
      <c r="T7" s="151"/>
      <c r="U7" s="151"/>
      <c r="V7" s="151"/>
      <c r="W7" s="151"/>
      <c r="X7" s="151"/>
      <c r="Y7" s="151"/>
      <c r="Z7" s="152" t="str">
        <f>Model!$L$1</f>
        <v>CURRENTLY RUNNING: BASE CASE</v>
      </c>
      <c r="AA7" s="151"/>
      <c r="AB7" s="151"/>
      <c r="AC7" s="153"/>
    </row>
    <row r="8" spans="1:29" ht="5.25" customHeight="1">
      <c r="B8" s="165"/>
      <c r="C8" s="166"/>
      <c r="D8" s="166"/>
      <c r="E8" s="166"/>
      <c r="F8" s="166"/>
      <c r="G8" s="166"/>
      <c r="H8" s="166"/>
      <c r="I8" s="166"/>
      <c r="J8" s="166"/>
      <c r="K8" s="167"/>
      <c r="L8" s="166"/>
      <c r="M8" s="166"/>
      <c r="N8" s="168"/>
      <c r="Q8" s="154"/>
      <c r="R8" s="155"/>
      <c r="S8" s="155"/>
      <c r="T8" s="155"/>
      <c r="U8" s="155"/>
      <c r="V8" s="155"/>
      <c r="W8" s="155"/>
      <c r="X8" s="155"/>
      <c r="Y8" s="155"/>
      <c r="Z8" s="105"/>
      <c r="AA8" s="155"/>
      <c r="AB8" s="155"/>
      <c r="AC8" s="157"/>
    </row>
    <row r="9" spans="1:29">
      <c r="B9" s="154"/>
      <c r="C9" s="155"/>
      <c r="D9" s="155"/>
      <c r="E9" s="155"/>
      <c r="F9" s="155"/>
      <c r="G9" s="80">
        <v>2022</v>
      </c>
      <c r="H9" s="80">
        <v>2023</v>
      </c>
      <c r="I9" s="80">
        <v>2024</v>
      </c>
      <c r="J9" s="80">
        <v>2025</v>
      </c>
      <c r="K9" s="80">
        <v>2026</v>
      </c>
      <c r="L9" s="80">
        <v>2027</v>
      </c>
      <c r="M9" s="80">
        <v>2028</v>
      </c>
      <c r="N9" s="156">
        <v>2029</v>
      </c>
      <c r="Q9" s="154"/>
      <c r="R9" s="155"/>
      <c r="S9" s="155"/>
      <c r="T9" s="155"/>
      <c r="U9" s="155"/>
      <c r="V9" s="80">
        <v>2022</v>
      </c>
      <c r="W9" s="80">
        <f>V9+1</f>
        <v>2023</v>
      </c>
      <c r="X9" s="80">
        <f>W9+1</f>
        <v>2024</v>
      </c>
      <c r="Y9" s="80">
        <f>X9+1</f>
        <v>2025</v>
      </c>
      <c r="Z9" s="80">
        <f t="shared" ref="Z9:AC9" si="0">Y9+1</f>
        <v>2026</v>
      </c>
      <c r="AA9" s="80">
        <f t="shared" si="0"/>
        <v>2027</v>
      </c>
      <c r="AB9" s="80">
        <f t="shared" si="0"/>
        <v>2028</v>
      </c>
      <c r="AC9" s="156">
        <f t="shared" si="0"/>
        <v>2029</v>
      </c>
    </row>
    <row r="10" spans="1:29"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7"/>
      <c r="Q10" s="154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7"/>
    </row>
    <row r="11" spans="1:29">
      <c r="B11" s="158" t="s">
        <v>63</v>
      </c>
      <c r="C11" s="105"/>
      <c r="D11" s="155"/>
      <c r="E11" s="175" t="s">
        <v>88</v>
      </c>
      <c r="F11" s="155"/>
      <c r="G11" s="169">
        <v>62809.9</v>
      </c>
      <c r="H11" s="169">
        <v>66856.7</v>
      </c>
      <c r="I11" s="169">
        <v>69263.5</v>
      </c>
      <c r="J11" s="169">
        <v>70882.465858542448</v>
      </c>
      <c r="K11" s="169">
        <v>72534.416405341166</v>
      </c>
      <c r="L11" s="169">
        <v>74219.976913725695</v>
      </c>
      <c r="M11" s="169">
        <v>75939.783993670528</v>
      </c>
      <c r="N11" s="170">
        <v>77694.485791208121</v>
      </c>
      <c r="Q11" s="158" t="s">
        <v>63</v>
      </c>
      <c r="R11" s="105"/>
      <c r="S11" s="155"/>
      <c r="T11" s="155"/>
      <c r="U11" s="155"/>
      <c r="V11" s="159">
        <f>Model!G14</f>
        <v>62809.9</v>
      </c>
      <c r="W11" s="159">
        <f>Model!H14</f>
        <v>66856.7</v>
      </c>
      <c r="X11" s="159">
        <f>Model!I14</f>
        <v>69263.5</v>
      </c>
      <c r="Y11" s="159">
        <f>Model!J14</f>
        <v>70882.465858542448</v>
      </c>
      <c r="Z11" s="159">
        <f>Model!K14</f>
        <v>72534.416405341166</v>
      </c>
      <c r="AA11" s="159">
        <f>Model!L14</f>
        <v>74219.976913725695</v>
      </c>
      <c r="AB11" s="159">
        <f>Model!M14</f>
        <v>75939.783993670528</v>
      </c>
      <c r="AC11" s="160">
        <f>Model!N14</f>
        <v>77694.485791208121</v>
      </c>
    </row>
    <row r="12" spans="1:29">
      <c r="B12" s="158"/>
      <c r="C12" s="105" t="s">
        <v>178</v>
      </c>
      <c r="D12" s="155"/>
      <c r="E12" s="175" t="s">
        <v>84</v>
      </c>
      <c r="F12" s="155"/>
      <c r="G12" s="171"/>
      <c r="H12" s="172">
        <v>6.4429333592315841E-2</v>
      </c>
      <c r="I12" s="172">
        <v>3.5999383756601944E-2</v>
      </c>
      <c r="J12" s="172">
        <v>2.3374011687865126E-2</v>
      </c>
      <c r="K12" s="172">
        <v>2.3305489260142975E-2</v>
      </c>
      <c r="L12" s="172">
        <v>2.3238079134257905E-2</v>
      </c>
      <c r="M12" s="172">
        <v>2.3171754444816894E-2</v>
      </c>
      <c r="N12" s="173">
        <v>2.3106489184691936E-2</v>
      </c>
      <c r="Q12" s="158"/>
      <c r="R12" s="105" t="s">
        <v>178</v>
      </c>
      <c r="S12" s="155"/>
      <c r="T12" s="155"/>
      <c r="U12" s="155"/>
      <c r="V12" s="155"/>
      <c r="W12" s="161">
        <f>W11/V11-1</f>
        <v>6.4429333592315841E-2</v>
      </c>
      <c r="X12" s="161">
        <f t="shared" ref="X12:AC12" si="1">X11/W11-1</f>
        <v>3.5999383756601944E-2</v>
      </c>
      <c r="Y12" s="161">
        <f t="shared" si="1"/>
        <v>2.3374011687865126E-2</v>
      </c>
      <c r="Z12" s="161">
        <f t="shared" si="1"/>
        <v>2.3305489260142975E-2</v>
      </c>
      <c r="AA12" s="161">
        <f t="shared" si="1"/>
        <v>2.3238079134257905E-2</v>
      </c>
      <c r="AB12" s="161">
        <f t="shared" si="1"/>
        <v>2.3171754444816894E-2</v>
      </c>
      <c r="AC12" s="162">
        <f t="shared" si="1"/>
        <v>2.3106489184691936E-2</v>
      </c>
    </row>
    <row r="13" spans="1:29">
      <c r="B13" s="158"/>
      <c r="C13" s="105"/>
      <c r="D13" s="155"/>
      <c r="E13" s="155"/>
      <c r="F13" s="155"/>
      <c r="G13" s="171"/>
      <c r="H13" s="171"/>
      <c r="I13" s="171"/>
      <c r="J13" s="171"/>
      <c r="K13" s="171"/>
      <c r="L13" s="171"/>
      <c r="M13" s="171"/>
      <c r="N13" s="174"/>
      <c r="Q13" s="158"/>
      <c r="R13" s="10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7"/>
    </row>
    <row r="14" spans="1:29">
      <c r="B14" s="158" t="s">
        <v>7</v>
      </c>
      <c r="C14" s="105"/>
      <c r="D14" s="155"/>
      <c r="E14" s="175" t="s">
        <v>88</v>
      </c>
      <c r="F14" s="155"/>
      <c r="G14" s="169">
        <v>5134.2000000000025</v>
      </c>
      <c r="H14" s="169">
        <v>4757.899999999996</v>
      </c>
      <c r="I14" s="169">
        <v>5570.3000000000047</v>
      </c>
      <c r="J14" s="169">
        <v>5681.128435647981</v>
      </c>
      <c r="K14" s="169">
        <v>5832.7783026364632</v>
      </c>
      <c r="L14" s="169">
        <v>5984.1066389874904</v>
      </c>
      <c r="M14" s="169">
        <v>6134.9929152585682</v>
      </c>
      <c r="N14" s="170">
        <v>6285.3114250853541</v>
      </c>
      <c r="Q14" s="158" t="s">
        <v>7</v>
      </c>
      <c r="R14" s="105"/>
      <c r="S14" s="155"/>
      <c r="T14" s="155"/>
      <c r="U14" s="155"/>
      <c r="V14" s="159">
        <f>Model!G21</f>
        <v>5134.2000000000025</v>
      </c>
      <c r="W14" s="159">
        <f>Model!H21</f>
        <v>4757.899999999996</v>
      </c>
      <c r="X14" s="159">
        <f>Model!I21</f>
        <v>5570.3000000000047</v>
      </c>
      <c r="Y14" s="159">
        <f>Model!J21</f>
        <v>5681.128435647981</v>
      </c>
      <c r="Z14" s="159">
        <f>Model!K21</f>
        <v>5832.7783026364632</v>
      </c>
      <c r="AA14" s="159">
        <f>Model!L21</f>
        <v>5984.1066389874904</v>
      </c>
      <c r="AB14" s="159">
        <f>Model!M21</f>
        <v>6134.9929152585682</v>
      </c>
      <c r="AC14" s="160">
        <f>Model!N21</f>
        <v>6285.3114250853541</v>
      </c>
    </row>
    <row r="15" spans="1:29">
      <c r="B15" s="158"/>
      <c r="C15" s="105" t="s">
        <v>179</v>
      </c>
      <c r="D15" s="155"/>
      <c r="E15" s="175" t="s">
        <v>84</v>
      </c>
      <c r="F15" s="155"/>
      <c r="G15" s="172">
        <v>8.1741891007627812E-2</v>
      </c>
      <c r="H15" s="172">
        <v>7.1165642336519688E-2</v>
      </c>
      <c r="I15" s="172">
        <v>8.0421867217221263E-2</v>
      </c>
      <c r="J15" s="172">
        <v>8.0148572243318991E-2</v>
      </c>
      <c r="K15" s="172">
        <v>8.041394129431445E-2</v>
      </c>
      <c r="L15" s="172">
        <v>8.0626630293128457E-2</v>
      </c>
      <c r="M15" s="172">
        <v>8.07876002882746E-2</v>
      </c>
      <c r="N15" s="173">
        <v>8.0897780081538265E-2</v>
      </c>
      <c r="Q15" s="158"/>
      <c r="R15" s="105" t="s">
        <v>179</v>
      </c>
      <c r="S15" s="155"/>
      <c r="T15" s="155"/>
      <c r="U15" s="155"/>
      <c r="V15" s="161">
        <f>V14/V11</f>
        <v>8.1741891007627812E-2</v>
      </c>
      <c r="W15" s="161">
        <f t="shared" ref="W15:AC15" si="2">W14/W11</f>
        <v>7.1165642336519688E-2</v>
      </c>
      <c r="X15" s="161">
        <f t="shared" si="2"/>
        <v>8.0421867217221263E-2</v>
      </c>
      <c r="Y15" s="161">
        <f t="shared" si="2"/>
        <v>8.0148572243318991E-2</v>
      </c>
      <c r="Z15" s="161">
        <f t="shared" si="2"/>
        <v>8.041394129431445E-2</v>
      </c>
      <c r="AA15" s="161">
        <f t="shared" si="2"/>
        <v>8.0626630293128457E-2</v>
      </c>
      <c r="AB15" s="161">
        <f t="shared" si="2"/>
        <v>8.07876002882746E-2</v>
      </c>
      <c r="AC15" s="162">
        <f t="shared" si="2"/>
        <v>8.0897780081538265E-2</v>
      </c>
    </row>
    <row r="16" spans="1:29">
      <c r="B16" s="158"/>
      <c r="C16" s="105" t="s">
        <v>178</v>
      </c>
      <c r="D16" s="155"/>
      <c r="E16" s="175" t="s">
        <v>84</v>
      </c>
      <c r="F16" s="155"/>
      <c r="G16" s="171"/>
      <c r="H16" s="172">
        <v>-7.329282069261156E-2</v>
      </c>
      <c r="I16" s="172">
        <v>0.17074759873053447</v>
      </c>
      <c r="J16" s="172">
        <v>1.9896313600340498E-2</v>
      </c>
      <c r="K16" s="172">
        <v>2.6693617070318032E-2</v>
      </c>
      <c r="L16" s="172">
        <v>2.5944469084762778E-2</v>
      </c>
      <c r="M16" s="172">
        <v>2.5214503245652109E-2</v>
      </c>
      <c r="N16" s="173">
        <v>2.4501822887671665E-2</v>
      </c>
      <c r="Q16" s="158"/>
      <c r="R16" s="105" t="s">
        <v>178</v>
      </c>
      <c r="S16" s="155"/>
      <c r="T16" s="155"/>
      <c r="U16" s="155"/>
      <c r="V16" s="155"/>
      <c r="W16" s="161">
        <f>W14/V14-1</f>
        <v>-7.329282069261156E-2</v>
      </c>
      <c r="X16" s="161">
        <f t="shared" ref="X16:AC16" si="3">X14/W14-1</f>
        <v>0.17074759873053447</v>
      </c>
      <c r="Y16" s="161">
        <f t="shared" si="3"/>
        <v>1.9896313600340498E-2</v>
      </c>
      <c r="Z16" s="161">
        <f t="shared" si="3"/>
        <v>2.6693617070318032E-2</v>
      </c>
      <c r="AA16" s="161">
        <f t="shared" si="3"/>
        <v>2.5944469084762778E-2</v>
      </c>
      <c r="AB16" s="161">
        <f t="shared" si="3"/>
        <v>2.5214503245652109E-2</v>
      </c>
      <c r="AC16" s="162">
        <f t="shared" si="3"/>
        <v>2.4501822887671665E-2</v>
      </c>
    </row>
    <row r="17" spans="2:29">
      <c r="B17" s="158"/>
      <c r="C17" s="105"/>
      <c r="D17" s="155"/>
      <c r="E17" s="155"/>
      <c r="F17" s="155"/>
      <c r="G17" s="171"/>
      <c r="H17" s="171"/>
      <c r="I17" s="171"/>
      <c r="J17" s="171"/>
      <c r="K17" s="171"/>
      <c r="L17" s="171"/>
      <c r="M17" s="171"/>
      <c r="N17" s="174"/>
      <c r="Q17" s="158"/>
      <c r="R17" s="10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7"/>
    </row>
    <row r="18" spans="2:29">
      <c r="B18" s="158" t="s">
        <v>14</v>
      </c>
      <c r="C18" s="105"/>
      <c r="D18" s="155"/>
      <c r="E18" s="175" t="s">
        <v>88</v>
      </c>
      <c r="F18" s="155"/>
      <c r="G18" s="169">
        <v>2313.3000000000029</v>
      </c>
      <c r="H18" s="169">
        <v>1886.7999999999956</v>
      </c>
      <c r="I18" s="169">
        <v>2295.8000000000047</v>
      </c>
      <c r="J18" s="169">
        <v>2293.9321121758089</v>
      </c>
      <c r="K18" s="169">
        <v>2335.000806267994</v>
      </c>
      <c r="L18" s="169">
        <v>2375.5680494815256</v>
      </c>
      <c r="M18" s="169">
        <v>2391.676903837249</v>
      </c>
      <c r="N18" s="170">
        <v>2422.770572149343</v>
      </c>
      <c r="Q18" s="158" t="s">
        <v>14</v>
      </c>
      <c r="R18" s="105"/>
      <c r="S18" s="155"/>
      <c r="T18" s="155"/>
      <c r="U18" s="155"/>
      <c r="V18" s="159">
        <f>Model!G34</f>
        <v>2313.3000000000029</v>
      </c>
      <c r="W18" s="159">
        <f>Model!H34</f>
        <v>1886.7999999999956</v>
      </c>
      <c r="X18" s="159">
        <f>Model!I34</f>
        <v>2295.8000000000047</v>
      </c>
      <c r="Y18" s="159">
        <f>Model!J34</f>
        <v>2293.9321121758089</v>
      </c>
      <c r="Z18" s="159">
        <f>Model!K34</f>
        <v>2335.000806267994</v>
      </c>
      <c r="AA18" s="159">
        <f>Model!L34</f>
        <v>2376.0812673996388</v>
      </c>
      <c r="AB18" s="159">
        <f>Model!M34</f>
        <v>2391.6919924440417</v>
      </c>
      <c r="AC18" s="160">
        <f>Model!N34</f>
        <v>2423.4541815930452</v>
      </c>
    </row>
    <row r="19" spans="2:29">
      <c r="B19" s="158"/>
      <c r="C19" s="105" t="s">
        <v>179</v>
      </c>
      <c r="D19" s="155"/>
      <c r="E19" s="175" t="s">
        <v>84</v>
      </c>
      <c r="F19" s="155"/>
      <c r="G19" s="172">
        <v>3.6830181229392224E-2</v>
      </c>
      <c r="H19" s="172">
        <v>2.8221554459014513E-2</v>
      </c>
      <c r="I19" s="172">
        <v>3.3145884917741737E-2</v>
      </c>
      <c r="J19" s="172">
        <v>3.2362476169405921E-2</v>
      </c>
      <c r="K19" s="172">
        <v>3.2191626016805634E-2</v>
      </c>
      <c r="L19" s="172">
        <v>3.2007124608013797E-2</v>
      </c>
      <c r="M19" s="172">
        <v>3.1494386447512041E-2</v>
      </c>
      <c r="N19" s="173">
        <v>3.1183301459258808E-2</v>
      </c>
      <c r="Q19" s="158"/>
      <c r="R19" s="105" t="s">
        <v>179</v>
      </c>
      <c r="S19" s="155"/>
      <c r="T19" s="155"/>
      <c r="U19" s="155"/>
      <c r="V19" s="161">
        <f>V18/V11</f>
        <v>3.6830181229392224E-2</v>
      </c>
      <c r="W19" s="161">
        <f t="shared" ref="W19:AC19" si="4">W18/W11</f>
        <v>2.8221554459014513E-2</v>
      </c>
      <c r="X19" s="161">
        <f t="shared" si="4"/>
        <v>3.3145884917741737E-2</v>
      </c>
      <c r="Y19" s="161">
        <f t="shared" si="4"/>
        <v>3.2362476169405921E-2</v>
      </c>
      <c r="Z19" s="161">
        <f t="shared" si="4"/>
        <v>3.2191626016805634E-2</v>
      </c>
      <c r="AA19" s="161">
        <f t="shared" si="4"/>
        <v>3.2014039429864388E-2</v>
      </c>
      <c r="AB19" s="161">
        <f t="shared" si="4"/>
        <v>3.1494585139238557E-2</v>
      </c>
      <c r="AC19" s="162">
        <f t="shared" si="4"/>
        <v>3.1192100146021976E-2</v>
      </c>
    </row>
    <row r="20" spans="2:29">
      <c r="B20" s="158"/>
      <c r="C20" s="105" t="s">
        <v>178</v>
      </c>
      <c r="D20" s="155"/>
      <c r="E20" s="175" t="s">
        <v>84</v>
      </c>
      <c r="F20" s="155"/>
      <c r="G20" s="171"/>
      <c r="H20" s="172">
        <v>-0.184368650845116</v>
      </c>
      <c r="I20" s="172">
        <v>0.21676913292347355</v>
      </c>
      <c r="J20" s="172">
        <v>-8.1361086514319947E-4</v>
      </c>
      <c r="K20" s="172">
        <v>1.7903186355951561E-2</v>
      </c>
      <c r="L20" s="172">
        <v>1.7373545698414539E-2</v>
      </c>
      <c r="M20" s="172">
        <v>6.7810536344092842E-3</v>
      </c>
      <c r="N20" s="173">
        <v>1.3000781277022311E-2</v>
      </c>
      <c r="Q20" s="158"/>
      <c r="R20" s="105" t="s">
        <v>178</v>
      </c>
      <c r="S20" s="155"/>
      <c r="T20" s="155"/>
      <c r="U20" s="155"/>
      <c r="V20" s="155"/>
      <c r="W20" s="161">
        <f>W18/V18-1</f>
        <v>-0.184368650845116</v>
      </c>
      <c r="X20" s="161">
        <f t="shared" ref="X20:AC20" si="5">X18/W18-1</f>
        <v>0.21676913292347355</v>
      </c>
      <c r="Y20" s="161">
        <f t="shared" si="5"/>
        <v>-8.1361086514319947E-4</v>
      </c>
      <c r="Z20" s="161">
        <f t="shared" si="5"/>
        <v>1.7903186355951561E-2</v>
      </c>
      <c r="AA20" s="161">
        <f t="shared" si="5"/>
        <v>1.7593339163468391E-2</v>
      </c>
      <c r="AB20" s="161">
        <f t="shared" si="5"/>
        <v>6.5699457584156296E-3</v>
      </c>
      <c r="AC20" s="162">
        <f t="shared" si="5"/>
        <v>1.3280217205789091E-2</v>
      </c>
    </row>
    <row r="21" spans="2:29" ht="6" customHeight="1">
      <c r="B21" s="163"/>
      <c r="C21" s="92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64"/>
      <c r="Q21" s="163"/>
      <c r="R21" s="92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164"/>
    </row>
    <row r="22" spans="2:29" ht="6.75" customHeight="1"/>
    <row r="23" spans="2:29" ht="15">
      <c r="B23" s="176" t="s">
        <v>181</v>
      </c>
      <c r="C23" s="177"/>
      <c r="D23" s="177"/>
      <c r="E23" s="177"/>
      <c r="F23" s="177"/>
      <c r="G23" s="177"/>
      <c r="H23" s="177"/>
      <c r="I23" s="177"/>
      <c r="J23" s="177"/>
      <c r="K23" s="178"/>
      <c r="L23" s="177"/>
      <c r="M23" s="177"/>
      <c r="N23" s="179"/>
    </row>
    <row r="24" spans="2:29" ht="3" customHeight="1">
      <c r="B24" s="165"/>
      <c r="C24" s="166"/>
      <c r="D24" s="166"/>
      <c r="E24" s="166"/>
      <c r="F24" s="166"/>
      <c r="G24" s="166"/>
      <c r="H24" s="166"/>
      <c r="I24" s="166"/>
      <c r="J24" s="166"/>
      <c r="K24" s="167"/>
      <c r="L24" s="166"/>
      <c r="M24" s="166"/>
      <c r="N24" s="168"/>
    </row>
    <row r="25" spans="2:29">
      <c r="B25" s="154"/>
      <c r="C25" s="155"/>
      <c r="D25" s="155"/>
      <c r="E25" s="155"/>
      <c r="F25" s="155"/>
      <c r="G25" s="80">
        <v>2022</v>
      </c>
      <c r="H25" s="80">
        <v>2023</v>
      </c>
      <c r="I25" s="80">
        <v>2024</v>
      </c>
      <c r="J25" s="80">
        <v>2025</v>
      </c>
      <c r="K25" s="80">
        <v>2026</v>
      </c>
      <c r="L25" s="80">
        <v>2027</v>
      </c>
      <c r="M25" s="80">
        <v>2028</v>
      </c>
      <c r="N25" s="156">
        <v>2029</v>
      </c>
    </row>
    <row r="26" spans="2:29">
      <c r="B26" s="15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7"/>
    </row>
    <row r="27" spans="2:29">
      <c r="B27" s="158" t="s">
        <v>63</v>
      </c>
      <c r="C27" s="105"/>
      <c r="D27" s="155"/>
      <c r="E27" s="175" t="s">
        <v>88</v>
      </c>
      <c r="F27" s="155"/>
      <c r="G27" s="169">
        <v>62809.9</v>
      </c>
      <c r="H27" s="169">
        <v>66856.7</v>
      </c>
      <c r="I27" s="169">
        <v>69263.5</v>
      </c>
      <c r="J27" s="169">
        <v>71377.358209006532</v>
      </c>
      <c r="K27" s="169">
        <v>73548.065346373318</v>
      </c>
      <c r="L27" s="169">
        <v>75777.049825951195</v>
      </c>
      <c r="M27" s="169">
        <v>78065.774458573607</v>
      </c>
      <c r="N27" s="170">
        <v>80415.737256570559</v>
      </c>
    </row>
    <row r="28" spans="2:29">
      <c r="B28" s="158"/>
      <c r="C28" s="105" t="s">
        <v>178</v>
      </c>
      <c r="D28" s="155"/>
      <c r="E28" s="175" t="s">
        <v>84</v>
      </c>
      <c r="F28" s="155"/>
      <c r="G28" s="171"/>
      <c r="H28" s="172">
        <v>6.4429333592315841E-2</v>
      </c>
      <c r="I28" s="172">
        <v>3.5999383756601944E-2</v>
      </c>
      <c r="J28" s="172">
        <v>3.0519078721209958E-2</v>
      </c>
      <c r="K28" s="172">
        <v>3.0411704661449379E-2</v>
      </c>
      <c r="L28" s="172">
        <v>3.0306500505220768E-2</v>
      </c>
      <c r="M28" s="172">
        <v>3.0203401133711116E-2</v>
      </c>
      <c r="N28" s="173">
        <v>3.0102344007923554E-2</v>
      </c>
    </row>
    <row r="29" spans="2:29">
      <c r="B29" s="158"/>
      <c r="C29" s="105"/>
      <c r="D29" s="155"/>
      <c r="E29" s="155"/>
      <c r="F29" s="155"/>
      <c r="G29" s="171"/>
      <c r="H29" s="171"/>
      <c r="I29" s="171"/>
      <c r="J29" s="171"/>
      <c r="K29" s="171"/>
      <c r="L29" s="171"/>
      <c r="M29" s="171"/>
      <c r="N29" s="174"/>
    </row>
    <row r="30" spans="2:29">
      <c r="B30" s="158" t="s">
        <v>7</v>
      </c>
      <c r="C30" s="105"/>
      <c r="D30" s="155"/>
      <c r="E30" s="175" t="s">
        <v>88</v>
      </c>
      <c r="F30" s="155"/>
      <c r="G30" s="169">
        <v>5134.2000000000025</v>
      </c>
      <c r="H30" s="169">
        <v>4757.899999999996</v>
      </c>
      <c r="I30" s="169">
        <v>5570.3000000000047</v>
      </c>
      <c r="J30" s="169">
        <v>6701.9285850807792</v>
      </c>
      <c r="K30" s="169">
        <v>7985.3260660433007</v>
      </c>
      <c r="L30" s="169">
        <v>9315.7222390512179</v>
      </c>
      <c r="M30" s="169">
        <v>10694.443072900322</v>
      </c>
      <c r="N30" s="170">
        <v>12122.848128907164</v>
      </c>
    </row>
    <row r="31" spans="2:29">
      <c r="B31" s="158"/>
      <c r="C31" s="105" t="s">
        <v>179</v>
      </c>
      <c r="D31" s="155"/>
      <c r="E31" s="175" t="s">
        <v>84</v>
      </c>
      <c r="F31" s="155"/>
      <c r="G31" s="172">
        <v>8.1741891007627812E-2</v>
      </c>
      <c r="H31" s="172">
        <v>7.1165642336519688E-2</v>
      </c>
      <c r="I31" s="172">
        <v>8.0421867217221263E-2</v>
      </c>
      <c r="J31" s="172">
        <v>9.3894321017825466E-2</v>
      </c>
      <c r="K31" s="172">
        <v>0.10857289078151204</v>
      </c>
      <c r="L31" s="172">
        <v>0.1229359319272533</v>
      </c>
      <c r="M31" s="172">
        <v>0.1369927237265216</v>
      </c>
      <c r="N31" s="173">
        <v>0.1507521853617855</v>
      </c>
    </row>
    <row r="32" spans="2:29">
      <c r="B32" s="158"/>
      <c r="C32" s="105" t="s">
        <v>178</v>
      </c>
      <c r="D32" s="155"/>
      <c r="E32" s="175" t="s">
        <v>84</v>
      </c>
      <c r="F32" s="155"/>
      <c r="G32" s="171"/>
      <c r="H32" s="172">
        <v>-7.329282069261156E-2</v>
      </c>
      <c r="I32" s="172">
        <v>0.17074759873053447</v>
      </c>
      <c r="J32" s="172">
        <v>0.20315397466577623</v>
      </c>
      <c r="K32" s="172">
        <v>0.19149674077690171</v>
      </c>
      <c r="L32" s="172">
        <v>0.16660511568403913</v>
      </c>
      <c r="M32" s="172">
        <v>0.14799934975192253</v>
      </c>
      <c r="N32" s="173">
        <v>0.13356516522364914</v>
      </c>
    </row>
    <row r="33" spans="2:14">
      <c r="B33" s="158"/>
      <c r="C33" s="105"/>
      <c r="D33" s="155"/>
      <c r="E33" s="155"/>
      <c r="F33" s="155"/>
      <c r="G33" s="171"/>
      <c r="H33" s="171"/>
      <c r="I33" s="171"/>
      <c r="J33" s="171"/>
      <c r="K33" s="171"/>
      <c r="L33" s="171"/>
      <c r="M33" s="171"/>
      <c r="N33" s="174"/>
    </row>
    <row r="34" spans="2:14">
      <c r="B34" s="158" t="s">
        <v>14</v>
      </c>
      <c r="C34" s="105"/>
      <c r="D34" s="155"/>
      <c r="E34" s="175" t="s">
        <v>88</v>
      </c>
      <c r="F34" s="155"/>
      <c r="G34" s="169">
        <v>2313.3000000000029</v>
      </c>
      <c r="H34" s="169">
        <v>1886.7999999999956</v>
      </c>
      <c r="I34" s="169">
        <v>2295.8000000000047</v>
      </c>
      <c r="J34" s="169">
        <v>3008.4922167787672</v>
      </c>
      <c r="K34" s="169">
        <v>3848.735961025598</v>
      </c>
      <c r="L34" s="169">
        <v>4712.7526907371439</v>
      </c>
      <c r="M34" s="169">
        <v>5599.68767642897</v>
      </c>
      <c r="N34" s="170">
        <v>6525.4117469655448</v>
      </c>
    </row>
    <row r="35" spans="2:14">
      <c r="B35" s="158"/>
      <c r="C35" s="105" t="s">
        <v>179</v>
      </c>
      <c r="D35" s="155"/>
      <c r="E35" s="175" t="s">
        <v>84</v>
      </c>
      <c r="F35" s="155"/>
      <c r="G35" s="172">
        <v>3.6830181229392224E-2</v>
      </c>
      <c r="H35" s="172">
        <v>2.8221554459014513E-2</v>
      </c>
      <c r="I35" s="172">
        <v>3.3145884917741737E-2</v>
      </c>
      <c r="J35" s="172">
        <v>4.2149111318596687E-2</v>
      </c>
      <c r="K35" s="172">
        <v>5.2329533658024091E-2</v>
      </c>
      <c r="L35" s="172">
        <v>6.2192348495509496E-2</v>
      </c>
      <c r="M35" s="172">
        <v>7.1730380121963699E-2</v>
      </c>
      <c r="N35" s="173">
        <v>8.1145954381365459E-2</v>
      </c>
    </row>
    <row r="36" spans="2:14">
      <c r="B36" s="158"/>
      <c r="C36" s="105" t="s">
        <v>178</v>
      </c>
      <c r="D36" s="155"/>
      <c r="E36" s="175" t="s">
        <v>84</v>
      </c>
      <c r="F36" s="155"/>
      <c r="G36" s="171"/>
      <c r="H36" s="172">
        <v>-0.184368650845116</v>
      </c>
      <c r="I36" s="172">
        <v>0.21676913292347355</v>
      </c>
      <c r="J36" s="172">
        <v>0.31043305896801154</v>
      </c>
      <c r="K36" s="172">
        <v>0.27929064916993229</v>
      </c>
      <c r="L36" s="172">
        <v>0.22449363595244032</v>
      </c>
      <c r="M36" s="172">
        <v>0.18819892404604333</v>
      </c>
      <c r="N36" s="173">
        <v>0.16531708981436033</v>
      </c>
    </row>
    <row r="37" spans="2:14" ht="6.75" customHeight="1">
      <c r="B37" s="163"/>
      <c r="C37" s="92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164"/>
    </row>
    <row r="38" spans="2:14" ht="6" customHeight="1"/>
    <row r="39" spans="2:14" ht="15">
      <c r="B39" s="176" t="s">
        <v>182</v>
      </c>
      <c r="C39" s="177"/>
      <c r="D39" s="177"/>
      <c r="E39" s="177"/>
      <c r="F39" s="177"/>
      <c r="G39" s="177"/>
      <c r="H39" s="177"/>
      <c r="I39" s="177"/>
      <c r="J39" s="177"/>
      <c r="K39" s="178"/>
      <c r="L39" s="177"/>
      <c r="M39" s="177"/>
      <c r="N39" s="179"/>
    </row>
    <row r="40" spans="2:14" ht="4.5" customHeight="1">
      <c r="B40" s="165"/>
      <c r="C40" s="166"/>
      <c r="D40" s="166"/>
      <c r="E40" s="166"/>
      <c r="F40" s="166"/>
      <c r="G40" s="166"/>
      <c r="H40" s="166"/>
      <c r="I40" s="166"/>
      <c r="J40" s="166"/>
      <c r="K40" s="167"/>
      <c r="L40" s="166"/>
      <c r="M40" s="166"/>
      <c r="N40" s="168"/>
    </row>
    <row r="41" spans="2:14">
      <c r="B41" s="154"/>
      <c r="C41" s="155"/>
      <c r="D41" s="155"/>
      <c r="E41" s="155"/>
      <c r="F41" s="155"/>
      <c r="G41" s="80">
        <v>2022</v>
      </c>
      <c r="H41" s="80">
        <v>2023</v>
      </c>
      <c r="I41" s="80">
        <v>2024</v>
      </c>
      <c r="J41" s="80">
        <v>2025</v>
      </c>
      <c r="K41" s="80">
        <v>2026</v>
      </c>
      <c r="L41" s="80">
        <v>2027</v>
      </c>
      <c r="M41" s="80">
        <v>2028</v>
      </c>
      <c r="N41" s="156">
        <v>2029</v>
      </c>
    </row>
    <row r="42" spans="2:14"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7"/>
    </row>
    <row r="43" spans="2:14">
      <c r="B43" s="158" t="s">
        <v>63</v>
      </c>
      <c r="C43" s="105"/>
      <c r="D43" s="155"/>
      <c r="E43" s="175" t="s">
        <v>88</v>
      </c>
      <c r="F43" s="155"/>
      <c r="G43" s="169">
        <v>62809.9</v>
      </c>
      <c r="H43" s="169">
        <v>66856.7</v>
      </c>
      <c r="I43" s="169">
        <v>69263.5</v>
      </c>
      <c r="J43" s="169">
        <v>70088.399951014071</v>
      </c>
      <c r="K43" s="169">
        <v>70919.817314038301</v>
      </c>
      <c r="L43" s="169">
        <v>71757.796640693996</v>
      </c>
      <c r="M43" s="169">
        <v>72602.382765183385</v>
      </c>
      <c r="N43" s="170">
        <v>73453.620806001665</v>
      </c>
    </row>
    <row r="44" spans="2:14">
      <c r="B44" s="158"/>
      <c r="C44" s="105" t="s">
        <v>178</v>
      </c>
      <c r="D44" s="155"/>
      <c r="E44" s="175" t="s">
        <v>84</v>
      </c>
      <c r="F44" s="155"/>
      <c r="G44" s="171"/>
      <c r="H44" s="172">
        <v>6.4429333592315841E-2</v>
      </c>
      <c r="I44" s="172">
        <v>3.5999383756601944E-2</v>
      </c>
      <c r="J44" s="172">
        <v>1.1909590924715996E-2</v>
      </c>
      <c r="K44" s="172">
        <v>1.1862410378968846E-2</v>
      </c>
      <c r="L44" s="172">
        <v>1.1815869786368172E-2</v>
      </c>
      <c r="M44" s="172">
        <v>1.1769956214213284E-2</v>
      </c>
      <c r="N44" s="173">
        <v>1.1724657075945055E-2</v>
      </c>
    </row>
    <row r="45" spans="2:14">
      <c r="B45" s="158"/>
      <c r="C45" s="105"/>
      <c r="D45" s="155"/>
      <c r="E45" s="155"/>
      <c r="F45" s="155"/>
      <c r="G45" s="171"/>
      <c r="H45" s="171"/>
      <c r="I45" s="171"/>
      <c r="J45" s="171"/>
      <c r="K45" s="171"/>
      <c r="L45" s="171"/>
      <c r="M45" s="171"/>
      <c r="N45" s="174"/>
    </row>
    <row r="46" spans="2:14">
      <c r="B46" s="158" t="s">
        <v>7</v>
      </c>
      <c r="C46" s="105"/>
      <c r="D46" s="155"/>
      <c r="E46" s="175" t="s">
        <v>88</v>
      </c>
      <c r="F46" s="155"/>
      <c r="G46" s="169">
        <v>5134.2000000000025</v>
      </c>
      <c r="H46" s="169">
        <v>4757.899999999996</v>
      </c>
      <c r="I46" s="169">
        <v>5570.3000000000047</v>
      </c>
      <c r="J46" s="169">
        <v>4345.90532880713</v>
      </c>
      <c r="K46" s="169">
        <v>3038.2634322919912</v>
      </c>
      <c r="L46" s="169">
        <v>1668.0081889959547</v>
      </c>
      <c r="M46" s="169">
        <v>232.95906783005921</v>
      </c>
      <c r="N46" s="170">
        <v>-1269.1354421397118</v>
      </c>
    </row>
    <row r="47" spans="2:14">
      <c r="B47" s="158"/>
      <c r="C47" s="105" t="s">
        <v>179</v>
      </c>
      <c r="D47" s="155"/>
      <c r="E47" s="175" t="s">
        <v>84</v>
      </c>
      <c r="F47" s="155"/>
      <c r="G47" s="172">
        <v>8.1741891007627812E-2</v>
      </c>
      <c r="H47" s="172">
        <v>7.1165642336519688E-2</v>
      </c>
      <c r="I47" s="172">
        <v>8.0421867217221263E-2</v>
      </c>
      <c r="J47" s="172">
        <v>6.2006057091395353E-2</v>
      </c>
      <c r="K47" s="172">
        <v>4.2840824290879535E-2</v>
      </c>
      <c r="L47" s="172">
        <v>2.3244975000389349E-2</v>
      </c>
      <c r="M47" s="172">
        <v>3.208697276279687E-3</v>
      </c>
      <c r="N47" s="173">
        <v>-1.7278051486279009E-2</v>
      </c>
    </row>
    <row r="48" spans="2:14">
      <c r="B48" s="158"/>
      <c r="C48" s="105" t="s">
        <v>178</v>
      </c>
      <c r="D48" s="155"/>
      <c r="E48" s="175" t="s">
        <v>84</v>
      </c>
      <c r="F48" s="155"/>
      <c r="G48" s="171"/>
      <c r="H48" s="172">
        <v>-7.329282069261156E-2</v>
      </c>
      <c r="I48" s="172">
        <v>0.17074759873053447</v>
      </c>
      <c r="J48" s="172">
        <v>-0.21980767125520595</v>
      </c>
      <c r="K48" s="172">
        <v>-0.30089056193823305</v>
      </c>
      <c r="L48" s="172">
        <v>-0.45099948501251241</v>
      </c>
      <c r="M48" s="172">
        <v>-0.86033697594117498</v>
      </c>
      <c r="N48" s="173">
        <v>-6.4478902837365855</v>
      </c>
    </row>
    <row r="49" spans="2:14">
      <c r="B49" s="158"/>
      <c r="C49" s="105"/>
      <c r="D49" s="155"/>
      <c r="E49" s="155"/>
      <c r="F49" s="155"/>
      <c r="G49" s="171"/>
      <c r="H49" s="171"/>
      <c r="I49" s="171"/>
      <c r="J49" s="171"/>
      <c r="K49" s="171"/>
      <c r="L49" s="171"/>
      <c r="M49" s="171"/>
      <c r="N49" s="174"/>
    </row>
    <row r="50" spans="2:14">
      <c r="B50" s="158" t="s">
        <v>14</v>
      </c>
      <c r="C50" s="105"/>
      <c r="D50" s="155"/>
      <c r="E50" s="175" t="s">
        <v>88</v>
      </c>
      <c r="F50" s="155"/>
      <c r="G50" s="169">
        <v>2313.3000000000029</v>
      </c>
      <c r="H50" s="169">
        <v>1886.7999999999956</v>
      </c>
      <c r="I50" s="169">
        <v>2295.8000000000047</v>
      </c>
      <c r="J50" s="169">
        <v>1359.2759373872132</v>
      </c>
      <c r="K50" s="169">
        <v>354.10836122983505</v>
      </c>
      <c r="L50" s="169">
        <v>-725.2928599536674</v>
      </c>
      <c r="M50" s="169">
        <v>-1908.0301347742948</v>
      </c>
      <c r="N50" s="170">
        <v>-3142.239846034221</v>
      </c>
    </row>
    <row r="51" spans="2:14">
      <c r="B51" s="158"/>
      <c r="C51" s="105" t="s">
        <v>179</v>
      </c>
      <c r="D51" s="155"/>
      <c r="E51" s="175" t="s">
        <v>84</v>
      </c>
      <c r="F51" s="155"/>
      <c r="G51" s="172">
        <v>3.6830181229392224E-2</v>
      </c>
      <c r="H51" s="172">
        <v>2.8221554459014513E-2</v>
      </c>
      <c r="I51" s="172">
        <v>3.3145884917741737E-2</v>
      </c>
      <c r="J51" s="172">
        <v>1.9393736172280053E-2</v>
      </c>
      <c r="K51" s="172">
        <v>4.9930805611330962E-3</v>
      </c>
      <c r="L51" s="172">
        <v>-1.0107512965947902E-2</v>
      </c>
      <c r="M51" s="172">
        <v>-2.6280544275597721E-2</v>
      </c>
      <c r="N51" s="173">
        <v>-4.2778556203964264E-2</v>
      </c>
    </row>
    <row r="52" spans="2:14">
      <c r="B52" s="158"/>
      <c r="C52" s="105" t="s">
        <v>178</v>
      </c>
      <c r="D52" s="155"/>
      <c r="E52" s="175" t="s">
        <v>84</v>
      </c>
      <c r="F52" s="155"/>
      <c r="G52" s="171"/>
      <c r="H52" s="172">
        <v>-0.184368650845116</v>
      </c>
      <c r="I52" s="172">
        <v>0.21676913292347355</v>
      </c>
      <c r="J52" s="172">
        <v>-0.40792928940360207</v>
      </c>
      <c r="K52" s="172">
        <v>-0.73948750839325628</v>
      </c>
      <c r="L52" s="172">
        <v>-3.0482229152530911</v>
      </c>
      <c r="M52" s="172">
        <v>1.6307030444173711</v>
      </c>
      <c r="N52" s="173">
        <v>0.64685021937870157</v>
      </c>
    </row>
    <row r="53" spans="2:14" ht="6.75" customHeight="1">
      <c r="B53" s="163"/>
      <c r="C53" s="92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164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</sheetData>
  <printOptions horizontalCentered="1"/>
  <pageMargins left="7.874015748031496E-2" right="7.874015748031496E-2" top="7.874015748031496E-2" bottom="0.19685039370078741" header="0" footer="0.11811023622047245"/>
  <pageSetup scale="95" orientation="landscape" r:id="rId1"/>
  <headerFooter alignWithMargins="0">
    <oddFooter>&amp;LC:/Users/Yamini/&amp;F&amp;CPage &amp;P of &amp;N&amp;RDate: &amp;D 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697B-D0CC-4020-94CE-4B9EBBC5A3F0}">
  <dimension ref="A1:N66"/>
  <sheetViews>
    <sheetView showGridLines="0" workbookViewId="0"/>
  </sheetViews>
  <sheetFormatPr defaultRowHeight="12.75"/>
  <cols>
    <col min="2" max="2" width="2.42578125" style="76" customWidth="1"/>
    <col min="3" max="3" width="2" customWidth="1"/>
    <col min="4" max="4" width="13.140625" customWidth="1"/>
    <col min="5" max="5" width="19.42578125" customWidth="1"/>
    <col min="6" max="6" width="11.28515625" style="87" customWidth="1"/>
    <col min="7" max="7" width="11.28515625" bestFit="1" customWidth="1"/>
    <col min="8" max="8" width="9" customWidth="1"/>
    <col min="9" max="9" width="2.140625" customWidth="1"/>
    <col min="10" max="10" width="14.42578125" customWidth="1"/>
    <col min="14" max="14" width="11.42578125" customWidth="1"/>
  </cols>
  <sheetData>
    <row r="1" spans="1:14">
      <c r="A1" s="2"/>
      <c r="B1" s="22"/>
      <c r="C1" s="2"/>
      <c r="D1" s="2"/>
      <c r="E1" s="2"/>
      <c r="F1" s="85"/>
      <c r="G1" s="2"/>
      <c r="H1" s="2"/>
      <c r="I1" s="2"/>
      <c r="J1" s="2"/>
      <c r="K1" s="2"/>
      <c r="L1" s="2"/>
      <c r="M1" s="2"/>
      <c r="N1" s="2"/>
    </row>
    <row r="2" spans="1:14" ht="23.25">
      <c r="A2" s="2"/>
      <c r="B2" s="72" t="str">
        <f>Cover!$B$9</f>
        <v>Night Owl Inc.</v>
      </c>
      <c r="C2" s="72"/>
      <c r="D2" s="72"/>
      <c r="E2" s="72"/>
      <c r="F2" s="82"/>
      <c r="G2" s="72"/>
      <c r="H2" s="72"/>
      <c r="I2" s="72"/>
      <c r="J2" s="72"/>
      <c r="K2" s="72"/>
      <c r="L2" s="72"/>
      <c r="M2" s="72"/>
      <c r="N2" s="72"/>
    </row>
    <row r="3" spans="1:14" ht="18.75">
      <c r="A3" s="2"/>
      <c r="B3" s="3" t="s">
        <v>70</v>
      </c>
      <c r="C3" s="3"/>
      <c r="D3" s="3"/>
      <c r="E3" s="3"/>
      <c r="F3" s="83"/>
      <c r="G3" s="3"/>
      <c r="H3" s="3"/>
      <c r="I3" s="3"/>
      <c r="J3" s="44"/>
      <c r="K3" s="44"/>
      <c r="L3" s="44"/>
      <c r="M3" s="44"/>
      <c r="N3" s="44"/>
    </row>
    <row r="4" spans="1:14" ht="3" customHeight="1" thickBot="1">
      <c r="A4" s="2"/>
      <c r="B4" s="4"/>
      <c r="C4" s="4"/>
      <c r="D4" s="4"/>
      <c r="E4" s="4"/>
      <c r="F4" s="86"/>
      <c r="G4" s="4"/>
      <c r="H4" s="4"/>
      <c r="I4" s="4"/>
      <c r="J4" s="4"/>
      <c r="K4" s="4"/>
      <c r="L4" s="4"/>
      <c r="M4" s="4"/>
      <c r="N4" s="4"/>
    </row>
    <row r="7" spans="1:14">
      <c r="B7" s="196" t="s">
        <v>76</v>
      </c>
      <c r="C7" s="197"/>
      <c r="D7" s="197"/>
      <c r="E7" s="197"/>
      <c r="F7" s="198"/>
      <c r="G7" s="199"/>
      <c r="I7" s="196" t="s">
        <v>96</v>
      </c>
      <c r="J7" s="197"/>
      <c r="K7" s="197"/>
      <c r="L7" s="197"/>
      <c r="M7" s="197"/>
      <c r="N7" s="199"/>
    </row>
    <row r="8" spans="1:14">
      <c r="B8" s="163" t="s">
        <v>77</v>
      </c>
      <c r="C8" s="88"/>
      <c r="D8" s="88"/>
      <c r="E8" s="88"/>
      <c r="F8" s="89"/>
      <c r="G8" s="180">
        <v>2025</v>
      </c>
      <c r="I8" s="163" t="s">
        <v>97</v>
      </c>
      <c r="J8" s="88"/>
      <c r="K8" s="88"/>
      <c r="L8" s="88"/>
      <c r="M8" s="190" t="s">
        <v>84</v>
      </c>
      <c r="N8" s="191">
        <v>0.3</v>
      </c>
    </row>
    <row r="9" spans="1:14">
      <c r="G9" s="90"/>
      <c r="I9" s="76"/>
      <c r="N9" s="90"/>
    </row>
    <row r="10" spans="1:14">
      <c r="G10" s="90"/>
      <c r="I10" s="76"/>
      <c r="N10" s="90"/>
    </row>
    <row r="11" spans="1:14">
      <c r="B11" s="196" t="s">
        <v>78</v>
      </c>
      <c r="C11" s="197"/>
      <c r="D11" s="197"/>
      <c r="E11" s="197"/>
      <c r="F11" s="198"/>
      <c r="G11" s="200"/>
      <c r="I11" s="196" t="s">
        <v>100</v>
      </c>
      <c r="J11" s="197"/>
      <c r="K11" s="197"/>
      <c r="L11" s="197"/>
      <c r="M11" s="197"/>
      <c r="N11" s="200"/>
    </row>
    <row r="12" spans="1:14">
      <c r="B12" s="158" t="s">
        <v>79</v>
      </c>
      <c r="C12" s="155"/>
      <c r="D12" s="155"/>
      <c r="E12" s="155">
        <v>2024</v>
      </c>
      <c r="F12" s="181"/>
      <c r="G12" s="182">
        <v>14545</v>
      </c>
      <c r="I12" s="158" t="s">
        <v>101</v>
      </c>
      <c r="J12" s="155"/>
      <c r="K12" s="155"/>
      <c r="L12" s="155"/>
      <c r="M12" s="155"/>
      <c r="N12" s="174"/>
    </row>
    <row r="13" spans="1:14">
      <c r="B13" s="158" t="s">
        <v>80</v>
      </c>
      <c r="C13" s="155"/>
      <c r="D13" s="155"/>
      <c r="E13" s="155">
        <v>2024</v>
      </c>
      <c r="F13" s="181" t="s">
        <v>81</v>
      </c>
      <c r="G13" s="182">
        <v>30600</v>
      </c>
      <c r="I13" s="158"/>
      <c r="J13" s="155" t="s">
        <v>102</v>
      </c>
      <c r="K13" s="155"/>
      <c r="L13" s="155"/>
      <c r="M13" s="175" t="s">
        <v>84</v>
      </c>
      <c r="N13" s="184">
        <v>7.0000000000000007E-2</v>
      </c>
    </row>
    <row r="14" spans="1:14">
      <c r="B14" s="158" t="s">
        <v>82</v>
      </c>
      <c r="C14" s="155"/>
      <c r="D14" s="155"/>
      <c r="E14" s="155"/>
      <c r="F14" s="181"/>
      <c r="G14" s="174">
        <v>120</v>
      </c>
      <c r="I14" s="158"/>
      <c r="J14" s="155" t="s">
        <v>103</v>
      </c>
      <c r="K14" s="155"/>
      <c r="L14" s="155"/>
      <c r="M14" s="175" t="s">
        <v>84</v>
      </c>
      <c r="N14" s="192">
        <v>6.25E-2</v>
      </c>
    </row>
    <row r="15" spans="1:14">
      <c r="B15" s="163" t="s">
        <v>83</v>
      </c>
      <c r="C15" s="88"/>
      <c r="D15" s="88"/>
      <c r="E15" s="88"/>
      <c r="F15" s="89" t="s">
        <v>84</v>
      </c>
      <c r="G15" s="183">
        <v>1.4999999999999999E-2</v>
      </c>
      <c r="I15" s="158"/>
      <c r="J15" s="155" t="s">
        <v>104</v>
      </c>
      <c r="K15" s="155"/>
      <c r="L15" s="155"/>
      <c r="M15" s="175"/>
      <c r="N15" s="193">
        <f>SUM(N16:N17)</f>
        <v>7.1000000000000008E-2</v>
      </c>
    </row>
    <row r="16" spans="1:14">
      <c r="G16" s="90"/>
      <c r="I16" s="158"/>
      <c r="J16" s="187" t="s">
        <v>105</v>
      </c>
      <c r="K16" s="155"/>
      <c r="L16" s="155"/>
      <c r="M16" s="175" t="s">
        <v>84</v>
      </c>
      <c r="N16" s="192">
        <v>2.2499999999999999E-2</v>
      </c>
    </row>
    <row r="17" spans="2:14">
      <c r="G17" s="90"/>
      <c r="I17" s="158"/>
      <c r="J17" s="187" t="s">
        <v>106</v>
      </c>
      <c r="K17" s="155"/>
      <c r="L17" s="155"/>
      <c r="M17" s="175" t="s">
        <v>84</v>
      </c>
      <c r="N17" s="192">
        <v>4.8500000000000001E-2</v>
      </c>
    </row>
    <row r="18" spans="2:14">
      <c r="B18" s="196" t="s">
        <v>85</v>
      </c>
      <c r="C18" s="197"/>
      <c r="D18" s="197"/>
      <c r="E18" s="197"/>
      <c r="F18" s="198"/>
      <c r="G18" s="200"/>
      <c r="I18" s="158"/>
      <c r="J18" s="155" t="s">
        <v>107</v>
      </c>
      <c r="K18" s="155"/>
      <c r="L18" s="155"/>
      <c r="M18" s="175" t="s">
        <v>84</v>
      </c>
      <c r="N18" s="194">
        <v>5.0000000000000001E-3</v>
      </c>
    </row>
    <row r="19" spans="2:14">
      <c r="B19" s="158" t="s">
        <v>86</v>
      </c>
      <c r="C19" s="155"/>
      <c r="D19" s="155"/>
      <c r="E19" s="155"/>
      <c r="F19" s="181" t="s">
        <v>84</v>
      </c>
      <c r="G19" s="184">
        <v>0.4</v>
      </c>
      <c r="I19" s="163" t="s">
        <v>177</v>
      </c>
      <c r="J19" s="88"/>
      <c r="K19" s="88"/>
      <c r="L19" s="88"/>
      <c r="M19" s="190" t="s">
        <v>88</v>
      </c>
      <c r="N19" s="195">
        <v>15</v>
      </c>
    </row>
    <row r="20" spans="2:14">
      <c r="B20" s="158" t="s">
        <v>87</v>
      </c>
      <c r="C20" s="155"/>
      <c r="D20" s="155"/>
      <c r="E20" s="155"/>
      <c r="F20" s="181" t="s">
        <v>84</v>
      </c>
      <c r="G20" s="184">
        <v>0.02</v>
      </c>
      <c r="I20" s="76"/>
      <c r="N20" s="90"/>
    </row>
    <row r="21" spans="2:14">
      <c r="B21" s="158" t="s">
        <v>4</v>
      </c>
      <c r="C21" s="155"/>
      <c r="D21" s="155"/>
      <c r="E21" s="155">
        <v>2025</v>
      </c>
      <c r="F21" s="181" t="s">
        <v>88</v>
      </c>
      <c r="G21" s="185">
        <v>6700</v>
      </c>
    </row>
    <row r="22" spans="2:14">
      <c r="B22" s="163"/>
      <c r="C22" s="186" t="s">
        <v>89</v>
      </c>
      <c r="D22" s="88"/>
      <c r="E22" s="88"/>
      <c r="F22" s="89"/>
      <c r="G22" s="180"/>
      <c r="I22" s="196" t="s">
        <v>111</v>
      </c>
      <c r="J22" s="197"/>
      <c r="K22" s="197"/>
      <c r="L22" s="197"/>
      <c r="M22" s="197"/>
      <c r="N22" s="200"/>
    </row>
    <row r="23" spans="2:14">
      <c r="G23" s="90"/>
      <c r="I23" s="158" t="s">
        <v>112</v>
      </c>
      <c r="J23" s="155"/>
      <c r="K23" s="155"/>
      <c r="L23" s="155"/>
      <c r="M23" s="155"/>
      <c r="N23" s="174"/>
    </row>
    <row r="24" spans="2:14">
      <c r="G24" s="90"/>
      <c r="I24" s="158"/>
      <c r="J24" s="187" t="s">
        <v>113</v>
      </c>
      <c r="K24" s="155"/>
      <c r="L24" s="155"/>
      <c r="M24" s="175" t="s">
        <v>84</v>
      </c>
      <c r="N24" s="184">
        <v>0.09</v>
      </c>
    </row>
    <row r="25" spans="2:14">
      <c r="B25" s="196" t="s">
        <v>90</v>
      </c>
      <c r="C25" s="197"/>
      <c r="D25" s="197"/>
      <c r="E25" s="197"/>
      <c r="F25" s="198"/>
      <c r="G25" s="200"/>
      <c r="I25" s="158" t="s">
        <v>54</v>
      </c>
      <c r="J25" s="155"/>
      <c r="K25" s="155"/>
      <c r="L25" s="155"/>
      <c r="M25" s="155"/>
      <c r="N25" s="174"/>
    </row>
    <row r="26" spans="2:14">
      <c r="B26" s="158" t="s">
        <v>91</v>
      </c>
      <c r="C26" s="155"/>
      <c r="D26" s="155"/>
      <c r="E26" s="155"/>
      <c r="F26" s="181"/>
      <c r="G26" s="174" t="s">
        <v>92</v>
      </c>
      <c r="I26" s="163"/>
      <c r="J26" s="186" t="s">
        <v>114</v>
      </c>
      <c r="K26" s="88"/>
      <c r="L26" s="88"/>
      <c r="M26" s="190" t="s">
        <v>84</v>
      </c>
      <c r="N26" s="191">
        <v>0.4</v>
      </c>
    </row>
    <row r="27" spans="2:14">
      <c r="B27" s="158" t="s">
        <v>93</v>
      </c>
      <c r="C27" s="155"/>
      <c r="D27" s="155"/>
      <c r="E27" s="155"/>
      <c r="F27" s="155"/>
      <c r="G27" s="174"/>
    </row>
    <row r="28" spans="2:14">
      <c r="B28" s="158"/>
      <c r="C28" s="187" t="s">
        <v>94</v>
      </c>
      <c r="D28" s="155"/>
      <c r="E28" s="155"/>
      <c r="F28" s="155"/>
      <c r="G28" s="188">
        <v>9</v>
      </c>
    </row>
    <row r="29" spans="2:14">
      <c r="B29" s="163"/>
      <c r="C29" s="186" t="s">
        <v>95</v>
      </c>
      <c r="D29" s="88"/>
      <c r="E29" s="88"/>
      <c r="F29" s="88"/>
      <c r="G29" s="189">
        <v>15</v>
      </c>
    </row>
    <row r="30" spans="2:14">
      <c r="B30" s="92"/>
      <c r="C30" s="88"/>
      <c r="D30" s="88"/>
      <c r="E30" s="88"/>
      <c r="F30" s="89"/>
      <c r="G30" s="88"/>
      <c r="H30" s="88"/>
      <c r="I30" s="88"/>
      <c r="J30" s="88"/>
      <c r="K30" s="88"/>
      <c r="L30" s="88"/>
      <c r="M30" s="88"/>
      <c r="N30" s="88"/>
    </row>
    <row r="31" spans="2:14">
      <c r="B31" s="92"/>
      <c r="C31" s="88"/>
      <c r="D31" s="88"/>
      <c r="E31" s="88"/>
      <c r="F31" s="89"/>
      <c r="G31" s="88"/>
      <c r="H31" s="88"/>
      <c r="I31" s="88"/>
      <c r="J31" s="88"/>
      <c r="K31" s="88"/>
      <c r="L31" s="88"/>
      <c r="M31" s="88"/>
      <c r="N31" s="88"/>
    </row>
    <row r="34" spans="2:14" ht="23.25">
      <c r="B34" s="72" t="str">
        <f>Cover!$B$9</f>
        <v>Night Owl Inc.</v>
      </c>
      <c r="C34" s="72"/>
      <c r="D34" s="72"/>
      <c r="E34" s="72"/>
      <c r="F34" s="82"/>
      <c r="G34" s="72"/>
      <c r="H34" s="72"/>
      <c r="I34" s="72"/>
      <c r="J34" s="72"/>
      <c r="K34" s="72"/>
      <c r="L34" s="72"/>
      <c r="M34" s="72"/>
      <c r="N34" s="72"/>
    </row>
    <row r="35" spans="2:14" ht="18.75">
      <c r="B35" s="3" t="s">
        <v>70</v>
      </c>
      <c r="C35" s="3"/>
      <c r="D35" s="3"/>
      <c r="E35" s="3"/>
      <c r="F35" s="83"/>
      <c r="G35" s="3"/>
      <c r="H35" s="3"/>
      <c r="I35" s="3"/>
      <c r="J35" s="44"/>
      <c r="K35" s="44"/>
      <c r="L35" s="44"/>
      <c r="M35" s="44"/>
      <c r="N35" s="44"/>
    </row>
    <row r="36" spans="2:14" ht="2.25" customHeight="1" thickBot="1">
      <c r="B36" s="4"/>
      <c r="C36" s="4"/>
      <c r="D36" s="4"/>
      <c r="E36" s="4"/>
      <c r="F36" s="86"/>
      <c r="G36" s="4"/>
      <c r="H36" s="4"/>
      <c r="I36" s="4"/>
      <c r="J36" s="4"/>
      <c r="K36" s="4"/>
      <c r="L36" s="4"/>
      <c r="M36" s="4"/>
      <c r="N36" s="4"/>
    </row>
    <row r="39" spans="2:14">
      <c r="J39" s="80">
        <f>Assumptions!$G$8</f>
        <v>2025</v>
      </c>
      <c r="K39" s="80">
        <f t="shared" ref="K39:N39" si="0">J39+1</f>
        <v>2026</v>
      </c>
      <c r="L39" s="80">
        <f t="shared" si="0"/>
        <v>2027</v>
      </c>
      <c r="M39" s="80">
        <f t="shared" si="0"/>
        <v>2028</v>
      </c>
      <c r="N39" s="80">
        <f t="shared" si="0"/>
        <v>2029</v>
      </c>
    </row>
    <row r="40" spans="2:14">
      <c r="B40" s="22" t="s">
        <v>19</v>
      </c>
    </row>
    <row r="41" spans="2:14">
      <c r="C41" t="s">
        <v>20</v>
      </c>
      <c r="F41" s="87" t="s">
        <v>88</v>
      </c>
      <c r="J41" s="91">
        <v>2000</v>
      </c>
      <c r="K41" s="91">
        <v>2000</v>
      </c>
      <c r="L41" s="91">
        <v>2500</v>
      </c>
      <c r="M41" s="91">
        <v>2500</v>
      </c>
      <c r="N41" s="91">
        <v>2500</v>
      </c>
    </row>
    <row r="42" spans="2:14">
      <c r="J42" s="91"/>
      <c r="K42" s="91"/>
      <c r="L42" s="91"/>
      <c r="M42" s="91"/>
      <c r="N42" s="91"/>
    </row>
    <row r="43" spans="2:14">
      <c r="B43" s="22" t="s">
        <v>98</v>
      </c>
      <c r="J43" s="91"/>
      <c r="K43" s="91"/>
      <c r="L43" s="91"/>
      <c r="M43" s="91"/>
      <c r="N43" s="91"/>
    </row>
    <row r="44" spans="2:14">
      <c r="C44" t="s">
        <v>99</v>
      </c>
      <c r="F44" s="87" t="s">
        <v>88</v>
      </c>
      <c r="J44" s="91">
        <v>350</v>
      </c>
      <c r="K44" s="91">
        <v>350</v>
      </c>
      <c r="L44" s="91">
        <v>350</v>
      </c>
      <c r="M44" s="91">
        <v>350</v>
      </c>
      <c r="N44" s="91">
        <v>350</v>
      </c>
    </row>
    <row r="45" spans="2:14">
      <c r="J45" s="91"/>
      <c r="K45" s="91"/>
      <c r="L45" s="91"/>
      <c r="M45" s="91"/>
      <c r="N45" s="91"/>
    </row>
    <row r="46" spans="2:14">
      <c r="B46" s="22" t="s">
        <v>108</v>
      </c>
      <c r="J46" s="91"/>
      <c r="K46" s="91"/>
      <c r="L46" s="91"/>
      <c r="M46" s="91"/>
      <c r="N46" s="91"/>
    </row>
    <row r="47" spans="2:14">
      <c r="C47" t="s">
        <v>110</v>
      </c>
      <c r="F47" s="87" t="s">
        <v>88</v>
      </c>
      <c r="J47" s="91">
        <v>250</v>
      </c>
      <c r="K47" s="91">
        <f>J47</f>
        <v>250</v>
      </c>
      <c r="L47" s="91">
        <f t="shared" ref="L47:N47" si="1">K47</f>
        <v>250</v>
      </c>
      <c r="M47" s="91">
        <f t="shared" si="1"/>
        <v>250</v>
      </c>
      <c r="N47" s="91">
        <f t="shared" si="1"/>
        <v>250</v>
      </c>
    </row>
    <row r="48" spans="2:14">
      <c r="C48" t="s">
        <v>109</v>
      </c>
      <c r="F48" s="87" t="s">
        <v>88</v>
      </c>
      <c r="J48" s="91">
        <v>500</v>
      </c>
      <c r="K48" s="91">
        <f>J48</f>
        <v>500</v>
      </c>
      <c r="L48" s="91">
        <f t="shared" ref="L48:N48" si="2">K48</f>
        <v>500</v>
      </c>
      <c r="M48" s="91">
        <f t="shared" si="2"/>
        <v>500</v>
      </c>
      <c r="N48" s="91">
        <f t="shared" si="2"/>
        <v>500</v>
      </c>
    </row>
    <row r="49" spans="2:14">
      <c r="J49" s="91"/>
      <c r="K49" s="91"/>
      <c r="L49" s="91"/>
      <c r="M49" s="91"/>
      <c r="N49" s="91"/>
    </row>
    <row r="50" spans="2:14">
      <c r="B50" s="22" t="s">
        <v>115</v>
      </c>
      <c r="J50" s="91"/>
      <c r="K50" s="91"/>
      <c r="L50" s="91"/>
      <c r="M50" s="91"/>
      <c r="N50" s="91"/>
    </row>
    <row r="51" spans="2:14">
      <c r="C51" t="s">
        <v>112</v>
      </c>
      <c r="J51" s="91"/>
      <c r="K51" s="91"/>
      <c r="L51" s="91"/>
      <c r="M51" s="91"/>
      <c r="N51" s="91"/>
    </row>
    <row r="52" spans="2:14">
      <c r="D52" t="s">
        <v>116</v>
      </c>
      <c r="F52" s="87" t="s">
        <v>88</v>
      </c>
      <c r="J52" s="91">
        <v>0</v>
      </c>
      <c r="K52" s="91">
        <v>0</v>
      </c>
      <c r="L52" s="91">
        <v>50</v>
      </c>
      <c r="M52" s="91">
        <v>0</v>
      </c>
      <c r="N52" s="91">
        <v>0</v>
      </c>
    </row>
    <row r="53" spans="2:14">
      <c r="C53" t="s">
        <v>54</v>
      </c>
      <c r="J53" s="91"/>
      <c r="K53" s="91"/>
      <c r="L53" s="91"/>
      <c r="M53" s="91"/>
      <c r="N53" s="91"/>
    </row>
    <row r="54" spans="2:14">
      <c r="D54" t="s">
        <v>116</v>
      </c>
      <c r="F54" s="87" t="s">
        <v>88</v>
      </c>
      <c r="J54" s="91">
        <v>-500</v>
      </c>
      <c r="K54" s="91">
        <v>-500</v>
      </c>
      <c r="L54" s="91">
        <v>-500</v>
      </c>
      <c r="M54" s="91">
        <v>0</v>
      </c>
      <c r="N54" s="91">
        <v>0</v>
      </c>
    </row>
    <row r="56" spans="2:14">
      <c r="B56" s="22" t="s">
        <v>142</v>
      </c>
    </row>
    <row r="57" spans="2:14">
      <c r="B57" s="22" t="s">
        <v>26</v>
      </c>
      <c r="C57" s="2"/>
    </row>
    <row r="58" spans="2:14">
      <c r="B58" s="2"/>
      <c r="C58" s="2" t="s">
        <v>27</v>
      </c>
      <c r="F58" s="87" t="s">
        <v>147</v>
      </c>
      <c r="J58" s="59">
        <v>15</v>
      </c>
      <c r="K58" s="59">
        <v>15</v>
      </c>
      <c r="L58" s="59">
        <v>15</v>
      </c>
      <c r="M58" s="59">
        <v>15</v>
      </c>
      <c r="N58" s="59">
        <v>15</v>
      </c>
    </row>
    <row r="59" spans="2:14">
      <c r="B59" s="2"/>
      <c r="C59" s="2" t="s">
        <v>28</v>
      </c>
      <c r="F59" s="87" t="s">
        <v>147</v>
      </c>
      <c r="J59" s="59">
        <v>14</v>
      </c>
      <c r="K59" s="59">
        <v>14</v>
      </c>
      <c r="L59" s="59">
        <v>14</v>
      </c>
      <c r="M59" s="59">
        <v>14</v>
      </c>
      <c r="N59" s="59">
        <v>14</v>
      </c>
    </row>
    <row r="60" spans="2:14">
      <c r="B60" s="2"/>
      <c r="C60" s="2" t="s">
        <v>65</v>
      </c>
      <c r="F60" s="87" t="s">
        <v>147</v>
      </c>
      <c r="J60" s="59">
        <v>1</v>
      </c>
      <c r="K60" s="59">
        <v>1</v>
      </c>
      <c r="L60" s="59">
        <v>1</v>
      </c>
      <c r="M60" s="59">
        <v>1</v>
      </c>
      <c r="N60" s="59">
        <v>1</v>
      </c>
    </row>
    <row r="61" spans="2:14">
      <c r="B61" s="2"/>
      <c r="C61" s="32" t="s">
        <v>29</v>
      </c>
      <c r="F61" s="87" t="s">
        <v>147</v>
      </c>
      <c r="J61" s="59">
        <v>0.7</v>
      </c>
      <c r="K61" s="59">
        <v>0.7</v>
      </c>
      <c r="L61" s="59">
        <v>0.7</v>
      </c>
      <c r="M61" s="59">
        <v>0.7</v>
      </c>
      <c r="N61" s="59">
        <v>0.7</v>
      </c>
    </row>
    <row r="63" spans="2:14">
      <c r="B63" s="27" t="s">
        <v>143</v>
      </c>
      <c r="C63" s="2"/>
    </row>
    <row r="64" spans="2:14">
      <c r="B64" s="2"/>
      <c r="C64" s="32" t="s">
        <v>37</v>
      </c>
      <c r="F64" s="87" t="s">
        <v>147</v>
      </c>
      <c r="J64" s="59">
        <v>30</v>
      </c>
      <c r="K64" s="59">
        <v>30</v>
      </c>
      <c r="L64" s="59">
        <v>30</v>
      </c>
      <c r="M64" s="59">
        <v>30</v>
      </c>
      <c r="N64" s="59">
        <v>30</v>
      </c>
    </row>
    <row r="65" spans="2:14">
      <c r="B65" s="2"/>
      <c r="C65" s="32" t="s">
        <v>29</v>
      </c>
      <c r="F65" s="87" t="s">
        <v>147</v>
      </c>
      <c r="J65" s="59">
        <v>1.5</v>
      </c>
      <c r="K65" s="59">
        <v>1.5</v>
      </c>
      <c r="L65" s="59">
        <v>1.5</v>
      </c>
      <c r="M65" s="59">
        <v>1.5</v>
      </c>
      <c r="N65" s="59">
        <v>1.5</v>
      </c>
    </row>
    <row r="66" spans="2:14">
      <c r="B66" s="92"/>
      <c r="C66" s="88"/>
      <c r="D66" s="88"/>
      <c r="E66" s="88"/>
      <c r="F66" s="89"/>
      <c r="G66" s="88"/>
      <c r="H66" s="88"/>
      <c r="I66" s="88"/>
      <c r="J66" s="88"/>
      <c r="K66" s="88"/>
      <c r="L66" s="88"/>
      <c r="M66" s="88"/>
      <c r="N66" s="88"/>
    </row>
  </sheetData>
  <printOptions horizontalCentered="1" verticalCentered="1"/>
  <pageMargins left="7.874015748031496E-2" right="7.874015748031496E-2" top="7.874015748031496E-2" bottom="0.19685039370078741" header="0" footer="0.11811023622047245"/>
  <pageSetup scale="95" orientation="landscape" r:id="rId1"/>
  <headerFooter alignWithMargins="0">
    <oddFooter>&amp;LC:/Users/Yamini/&amp;F&amp;CPage &amp;P of &amp;N&amp;RDate: &amp;D Time: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50AB-55B8-4A69-BEC2-926BA065DECF}">
  <dimension ref="A1:N31"/>
  <sheetViews>
    <sheetView showGridLines="0" workbookViewId="0"/>
  </sheetViews>
  <sheetFormatPr defaultRowHeight="12.75"/>
  <cols>
    <col min="2" max="2" width="3.42578125" customWidth="1"/>
    <col min="3" max="3" width="15" customWidth="1"/>
    <col min="5" max="5" width="9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3.25">
      <c r="A2" s="2"/>
      <c r="B2" s="72" t="str">
        <f>Cover!$B$9</f>
        <v>Night Owl Inc.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18.75">
      <c r="A3" s="2"/>
      <c r="B3" s="3" t="s">
        <v>71</v>
      </c>
      <c r="C3" s="3"/>
      <c r="D3" s="3"/>
      <c r="E3" s="3"/>
      <c r="F3" s="3"/>
      <c r="G3" s="3"/>
      <c r="H3" s="3"/>
      <c r="I3" s="3"/>
      <c r="J3" s="44"/>
      <c r="K3" s="44"/>
      <c r="L3" s="44"/>
      <c r="M3" s="44"/>
      <c r="N3" s="44"/>
    </row>
    <row r="4" spans="1:14" ht="5.25" customHeight="1" thickBot="1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6" spans="1:14" ht="24" customHeight="1">
      <c r="B6" s="238" t="s">
        <v>72</v>
      </c>
      <c r="C6" s="213"/>
      <c r="D6" s="239">
        <v>1</v>
      </c>
      <c r="E6" s="240"/>
    </row>
    <row r="7" spans="1:14" ht="3.75" customHeight="1">
      <c r="B7" s="241"/>
      <c r="C7" s="218"/>
      <c r="D7" s="218"/>
      <c r="E7" s="242"/>
    </row>
    <row r="9" spans="1:14">
      <c r="J9" s="80">
        <f>Assumptions!$G$8</f>
        <v>2025</v>
      </c>
      <c r="K9" s="80">
        <f t="shared" ref="K9:N9" si="0">J9+1</f>
        <v>2026</v>
      </c>
      <c r="L9" s="80">
        <f t="shared" si="0"/>
        <v>2027</v>
      </c>
      <c r="M9" s="80">
        <f t="shared" si="0"/>
        <v>2028</v>
      </c>
      <c r="N9" s="80">
        <f t="shared" si="0"/>
        <v>2029</v>
      </c>
    </row>
    <row r="10" spans="1:14">
      <c r="J10" s="8"/>
      <c r="K10" s="8"/>
      <c r="L10" s="8"/>
      <c r="M10" s="8"/>
      <c r="N10" s="8"/>
    </row>
    <row r="11" spans="1:14">
      <c r="B11" s="77" t="s">
        <v>117</v>
      </c>
      <c r="C11" s="78"/>
      <c r="D11" s="78"/>
      <c r="E11" s="78"/>
      <c r="F11" s="78"/>
      <c r="G11" s="78"/>
      <c r="H11" s="78"/>
      <c r="I11" s="78"/>
      <c r="J11" s="78">
        <f>CHOOSE($D$6,J13,J14,J15)</f>
        <v>120</v>
      </c>
      <c r="K11" s="78">
        <f t="shared" ref="K11:N11" si="1">CHOOSE($D$6,K13,K14,K15)</f>
        <v>120</v>
      </c>
      <c r="L11" s="78">
        <f t="shared" si="1"/>
        <v>120</v>
      </c>
      <c r="M11" s="78">
        <f t="shared" si="1"/>
        <v>120</v>
      </c>
      <c r="N11" s="79">
        <f t="shared" si="1"/>
        <v>120</v>
      </c>
    </row>
    <row r="12" spans="1:14" ht="6" customHeight="1"/>
    <row r="13" spans="1:14">
      <c r="C13" t="s">
        <v>73</v>
      </c>
      <c r="J13" s="93">
        <f>Assumptions!G14</f>
        <v>120</v>
      </c>
      <c r="K13" s="93">
        <f>J13</f>
        <v>120</v>
      </c>
      <c r="L13" s="93">
        <f t="shared" ref="L13:N13" si="2">K13</f>
        <v>120</v>
      </c>
      <c r="M13" s="93">
        <f t="shared" si="2"/>
        <v>120</v>
      </c>
      <c r="N13" s="93">
        <f t="shared" si="2"/>
        <v>120</v>
      </c>
    </row>
    <row r="14" spans="1:14">
      <c r="C14" t="s">
        <v>74</v>
      </c>
      <c r="J14" s="90">
        <v>150</v>
      </c>
      <c r="K14" s="90">
        <f>J14</f>
        <v>150</v>
      </c>
      <c r="L14" s="90">
        <f t="shared" ref="L14:N14" si="3">K14</f>
        <v>150</v>
      </c>
      <c r="M14" s="90">
        <f t="shared" si="3"/>
        <v>150</v>
      </c>
      <c r="N14" s="90">
        <f t="shared" si="3"/>
        <v>150</v>
      </c>
    </row>
    <row r="15" spans="1:14">
      <c r="C15" t="s">
        <v>75</v>
      </c>
      <c r="J15" s="90">
        <f>100</f>
        <v>100</v>
      </c>
      <c r="K15" s="90">
        <f>J15</f>
        <v>100</v>
      </c>
      <c r="L15" s="90">
        <f t="shared" ref="L15:N15" si="4">K15</f>
        <v>100</v>
      </c>
      <c r="M15" s="90">
        <f t="shared" si="4"/>
        <v>100</v>
      </c>
      <c r="N15" s="90">
        <f t="shared" si="4"/>
        <v>100</v>
      </c>
    </row>
    <row r="18" spans="2:14">
      <c r="B18" s="77" t="s">
        <v>83</v>
      </c>
      <c r="C18" s="78"/>
      <c r="D18" s="78"/>
      <c r="E18" s="78"/>
      <c r="F18" s="100" t="s">
        <v>84</v>
      </c>
      <c r="G18" s="78"/>
      <c r="H18" s="78"/>
      <c r="I18" s="78"/>
      <c r="J18" s="101">
        <f>CHOOSE($D$6,J20,J21,J22)</f>
        <v>1.4999999999999999E-2</v>
      </c>
      <c r="K18" s="101">
        <f t="shared" ref="K18:N18" si="5">CHOOSE($D$6,K20,K21,K22)</f>
        <v>1.4999999999999999E-2</v>
      </c>
      <c r="L18" s="101">
        <f t="shared" si="5"/>
        <v>1.4999999999999999E-2</v>
      </c>
      <c r="M18" s="101">
        <f t="shared" si="5"/>
        <v>1.4999999999999999E-2</v>
      </c>
      <c r="N18" s="102">
        <f t="shared" si="5"/>
        <v>1.4999999999999999E-2</v>
      </c>
    </row>
    <row r="19" spans="2:14" ht="3" customHeight="1">
      <c r="J19" s="95"/>
      <c r="K19" s="95"/>
      <c r="L19" s="95"/>
      <c r="M19" s="95"/>
      <c r="N19" s="95"/>
    </row>
    <row r="20" spans="2:14">
      <c r="C20" t="s">
        <v>73</v>
      </c>
      <c r="J20" s="97">
        <f>Assumptions!G15</f>
        <v>1.4999999999999999E-2</v>
      </c>
      <c r="K20" s="97">
        <f>J20</f>
        <v>1.4999999999999999E-2</v>
      </c>
      <c r="L20" s="97">
        <f t="shared" ref="L20:N20" si="6">K20</f>
        <v>1.4999999999999999E-2</v>
      </c>
      <c r="M20" s="97">
        <f t="shared" si="6"/>
        <v>1.4999999999999999E-2</v>
      </c>
      <c r="N20" s="97">
        <f t="shared" si="6"/>
        <v>1.4999999999999999E-2</v>
      </c>
    </row>
    <row r="21" spans="2:14">
      <c r="C21" t="s">
        <v>74</v>
      </c>
      <c r="J21" s="98">
        <v>0.02</v>
      </c>
      <c r="K21" s="98">
        <v>0.02</v>
      </c>
      <c r="L21" s="98">
        <v>0.02</v>
      </c>
      <c r="M21" s="98">
        <v>0.02</v>
      </c>
      <c r="N21" s="98">
        <v>0.02</v>
      </c>
    </row>
    <row r="22" spans="2:14">
      <c r="C22" t="s">
        <v>75</v>
      </c>
      <c r="J22" s="98">
        <v>5.0000000000000001E-3</v>
      </c>
      <c r="K22" s="98">
        <v>5.0000000000000001E-3</v>
      </c>
      <c r="L22" s="98">
        <v>5.0000000000000001E-3</v>
      </c>
      <c r="M22" s="98">
        <v>5.0000000000000001E-3</v>
      </c>
      <c r="N22" s="98">
        <v>5.0000000000000001E-3</v>
      </c>
    </row>
    <row r="23" spans="2:14">
      <c r="J23" s="94"/>
      <c r="K23" s="94"/>
      <c r="L23" s="94"/>
      <c r="M23" s="94"/>
      <c r="N23" s="94"/>
    </row>
    <row r="24" spans="2:14" ht="9" customHeight="1">
      <c r="J24" s="94"/>
      <c r="K24" s="94"/>
      <c r="L24" s="94"/>
      <c r="M24" s="94"/>
      <c r="N24" s="94"/>
    </row>
    <row r="25" spans="2:14">
      <c r="B25" s="77" t="s">
        <v>87</v>
      </c>
      <c r="C25" s="78"/>
      <c r="D25" s="78"/>
      <c r="E25" s="78"/>
      <c r="F25" s="100" t="s">
        <v>84</v>
      </c>
      <c r="G25" s="78"/>
      <c r="H25" s="78"/>
      <c r="I25" s="78"/>
      <c r="J25" s="103">
        <f>CHOOSE($D$6,J27,J28,J29)</f>
        <v>0.02</v>
      </c>
      <c r="K25" s="103">
        <f t="shared" ref="K25:N25" si="7">CHOOSE($D$6,K27,K28,K29)</f>
        <v>0.02</v>
      </c>
      <c r="L25" s="103">
        <f t="shared" si="7"/>
        <v>0.02</v>
      </c>
      <c r="M25" s="103">
        <f t="shared" si="7"/>
        <v>0.02</v>
      </c>
      <c r="N25" s="104">
        <f t="shared" si="7"/>
        <v>0.02</v>
      </c>
    </row>
    <row r="26" spans="2:14" ht="5.25" customHeight="1">
      <c r="J26" s="94"/>
      <c r="K26" s="94"/>
      <c r="L26" s="94"/>
      <c r="M26" s="94"/>
      <c r="N26" s="94"/>
    </row>
    <row r="27" spans="2:14">
      <c r="C27" t="s">
        <v>73</v>
      </c>
      <c r="J27" s="96">
        <f>Assumptions!G20</f>
        <v>0.02</v>
      </c>
      <c r="K27" s="96">
        <f>J27</f>
        <v>0.02</v>
      </c>
      <c r="L27" s="96">
        <f t="shared" ref="L27:N27" si="8">K27</f>
        <v>0.02</v>
      </c>
      <c r="M27" s="96">
        <f t="shared" si="8"/>
        <v>0.02</v>
      </c>
      <c r="N27" s="96">
        <f t="shared" si="8"/>
        <v>0.02</v>
      </c>
    </row>
    <row r="28" spans="2:14">
      <c r="C28" t="s">
        <v>74</v>
      </c>
      <c r="J28" s="99">
        <v>0.01</v>
      </c>
      <c r="K28" s="99">
        <v>0.01</v>
      </c>
      <c r="L28" s="99">
        <v>0.01</v>
      </c>
      <c r="M28" s="99">
        <v>0.01</v>
      </c>
      <c r="N28" s="99">
        <v>0.01</v>
      </c>
    </row>
    <row r="29" spans="2:14">
      <c r="C29" t="s">
        <v>75</v>
      </c>
      <c r="J29" s="99">
        <v>0.03</v>
      </c>
      <c r="K29" s="99">
        <v>0.03</v>
      </c>
      <c r="L29" s="99">
        <v>0.03</v>
      </c>
      <c r="M29" s="99">
        <v>0.03</v>
      </c>
      <c r="N29" s="99">
        <v>0.03</v>
      </c>
    </row>
    <row r="30" spans="2:14">
      <c r="J30" s="94"/>
      <c r="K30" s="94"/>
      <c r="L30" s="94"/>
      <c r="M30" s="94"/>
      <c r="N30" s="94"/>
    </row>
    <row r="31" spans="2:14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</row>
  </sheetData>
  <printOptions horizontalCentered="1" verticalCentered="1"/>
  <pageMargins left="7.874015748031496E-2" right="7.874015748031496E-2" top="7.874015748031496E-2" bottom="0.19685039370078741" header="0" footer="0.11811023622047245"/>
  <pageSetup scale="95" orientation="landscape" r:id="rId1"/>
  <headerFooter alignWithMargins="0">
    <oddFooter>&amp;LC:/Users/Yamini/&amp;F&amp;CPage &amp;P of &amp;N&amp;RDate: &amp;D Time: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</xdr:col>
                    <xdr:colOff>962025</xdr:colOff>
                    <xdr:row>5</xdr:row>
                    <xdr:rowOff>57150</xdr:rowOff>
                  </from>
                  <to>
                    <xdr:col>4</xdr:col>
                    <xdr:colOff>571500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364"/>
  <sheetViews>
    <sheetView showGridLines="0" zoomScale="110" zoomScaleNormal="110" zoomScaleSheetLayoutView="90" workbookViewId="0"/>
  </sheetViews>
  <sheetFormatPr defaultColWidth="9.28515625" defaultRowHeight="12.75"/>
  <cols>
    <col min="1" max="1" width="2.5703125" style="2" customWidth="1"/>
    <col min="2" max="2" width="1.85546875" style="2" customWidth="1"/>
    <col min="3" max="3" width="2.28515625" style="2" customWidth="1"/>
    <col min="4" max="4" width="29.85546875" style="2" customWidth="1"/>
    <col min="5" max="5" width="12.7109375" style="81" customWidth="1"/>
    <col min="6" max="6" width="1.85546875" style="2" customWidth="1"/>
    <col min="7" max="9" width="12.7109375" style="2" customWidth="1"/>
    <col min="10" max="10" width="10.42578125" style="2" customWidth="1"/>
    <col min="11" max="14" width="11.5703125" style="2" bestFit="1" customWidth="1"/>
    <col min="15" max="16384" width="9.28515625" style="2"/>
  </cols>
  <sheetData>
    <row r="1" spans="2:14">
      <c r="L1" s="73" t="str">
        <f>UPPER("Currently Running: " &amp; CHOOSE(Scenarios!$D$6,Scenarios!$C$13,Scenarios!$C$14,Scenarios!$C$15))</f>
        <v>CURRENTLY RUNNING: BASE CASE</v>
      </c>
    </row>
    <row r="3" spans="2:14" ht="23.25">
      <c r="B3" s="72" t="str">
        <f>Cover!$B$9</f>
        <v>Night Owl Inc.</v>
      </c>
      <c r="C3" s="72"/>
      <c r="D3" s="72"/>
      <c r="E3" s="82"/>
      <c r="F3" s="72"/>
      <c r="G3" s="72"/>
      <c r="H3" s="72"/>
      <c r="I3" s="72"/>
      <c r="J3" s="72"/>
      <c r="K3" s="72"/>
      <c r="L3" s="72"/>
      <c r="M3" s="72"/>
      <c r="N3" s="72"/>
    </row>
    <row r="4" spans="2:14" ht="19.5" customHeight="1">
      <c r="B4" s="3" t="s">
        <v>0</v>
      </c>
      <c r="C4" s="3"/>
      <c r="D4" s="3"/>
      <c r="E4" s="83"/>
      <c r="F4" s="3"/>
      <c r="G4" s="3"/>
      <c r="H4" s="3"/>
      <c r="I4" s="3"/>
      <c r="J4" s="44"/>
      <c r="K4" s="44"/>
      <c r="L4" s="44"/>
      <c r="M4" s="44"/>
      <c r="N4" s="44"/>
    </row>
    <row r="5" spans="2:14" ht="6" customHeight="1" thickBot="1">
      <c r="B5" s="4"/>
      <c r="C5" s="4"/>
      <c r="D5" s="4"/>
      <c r="E5" s="84"/>
      <c r="F5" s="4"/>
      <c r="G5" s="4"/>
      <c r="H5" s="4"/>
      <c r="I5" s="4"/>
      <c r="J5" s="4"/>
      <c r="K5" s="4"/>
      <c r="L5" s="4"/>
      <c r="M5" s="4"/>
      <c r="N5" s="4"/>
    </row>
    <row r="6" spans="2:14">
      <c r="B6" s="5" t="s">
        <v>60</v>
      </c>
    </row>
    <row r="7" spans="2:14">
      <c r="F7" s="6"/>
      <c r="J7" s="74" t="s">
        <v>67</v>
      </c>
      <c r="K7" s="75"/>
      <c r="L7" s="75"/>
      <c r="M7" s="75"/>
      <c r="N7" s="75"/>
    </row>
    <row r="8" spans="2:14">
      <c r="F8" s="7"/>
      <c r="G8" s="8">
        <v>2022</v>
      </c>
      <c r="H8" s="8">
        <f>G8+1</f>
        <v>2023</v>
      </c>
      <c r="I8" s="8">
        <f>H8+1</f>
        <v>2024</v>
      </c>
      <c r="J8" s="8">
        <f>I8+1</f>
        <v>2025</v>
      </c>
      <c r="K8" s="8">
        <f t="shared" ref="K8:N8" si="0">J8+1</f>
        <v>2026</v>
      </c>
      <c r="L8" s="8">
        <f t="shared" si="0"/>
        <v>2027</v>
      </c>
      <c r="M8" s="8">
        <f t="shared" si="0"/>
        <v>2028</v>
      </c>
      <c r="N8" s="8">
        <f t="shared" si="0"/>
        <v>2029</v>
      </c>
    </row>
    <row r="9" spans="2:14" ht="13.15" customHeight="1">
      <c r="F9" s="7"/>
      <c r="G9" s="7"/>
      <c r="H9" s="7"/>
      <c r="I9" s="7"/>
    </row>
    <row r="10" spans="2:14">
      <c r="B10" s="9" t="s">
        <v>1</v>
      </c>
      <c r="C10" s="10"/>
      <c r="D10" s="10"/>
      <c r="E10" s="108"/>
      <c r="F10" s="11"/>
      <c r="G10" s="11"/>
      <c r="H10" s="12">
        <f>H14/G14-1</f>
        <v>6.4429333592315841E-2</v>
      </c>
      <c r="I10" s="12">
        <f>I14/H14-1</f>
        <v>3.5999383756601944E-2</v>
      </c>
      <c r="J10" s="12">
        <f t="shared" ref="J10:N10" si="1">J14/I14-1</f>
        <v>2.3374011687865126E-2</v>
      </c>
      <c r="K10" s="12">
        <f t="shared" si="1"/>
        <v>2.3305489260142975E-2</v>
      </c>
      <c r="L10" s="12">
        <f t="shared" si="1"/>
        <v>2.3238079134257905E-2</v>
      </c>
      <c r="M10" s="12">
        <f t="shared" si="1"/>
        <v>2.3171754444816894E-2</v>
      </c>
      <c r="N10" s="13">
        <f t="shared" si="1"/>
        <v>2.3106489184691936E-2</v>
      </c>
    </row>
    <row r="11" spans="2:14">
      <c r="B11" s="14" t="s">
        <v>2</v>
      </c>
      <c r="F11" s="7"/>
      <c r="G11" s="15">
        <f>G16/G$14</f>
        <v>0.82479195158724972</v>
      </c>
      <c r="H11" s="15">
        <f>H16/H$14</f>
        <v>0.83468971696180039</v>
      </c>
      <c r="I11" s="15">
        <f>I16/I$14</f>
        <v>0.82533513322312613</v>
      </c>
      <c r="J11" s="15">
        <f t="shared" ref="J11:N11" si="2">J16/J$14</f>
        <v>0.82532875675690309</v>
      </c>
      <c r="K11" s="15">
        <f t="shared" si="2"/>
        <v>0.82536871556460567</v>
      </c>
      <c r="L11" s="15">
        <f t="shared" si="2"/>
        <v>0.82545418123686143</v>
      </c>
      <c r="M11" s="15">
        <f t="shared" si="2"/>
        <v>0.82558435356673487</v>
      </c>
      <c r="N11" s="16">
        <f t="shared" si="2"/>
        <v>0.8257584594424684</v>
      </c>
    </row>
    <row r="12" spans="2:14">
      <c r="B12" s="17" t="s">
        <v>3</v>
      </c>
      <c r="C12" s="18"/>
      <c r="D12" s="18"/>
      <c r="E12" s="109"/>
      <c r="F12" s="19"/>
      <c r="G12" s="20">
        <f>G17/G$14</f>
        <v>9.3687460097850811E-2</v>
      </c>
      <c r="H12" s="20">
        <f t="shared" ref="H12:I12" si="3">H17/H$14</f>
        <v>9.5155758510366215E-2</v>
      </c>
      <c r="I12" s="20">
        <f t="shared" si="3"/>
        <v>9.4208349274870595E-2</v>
      </c>
      <c r="J12" s="20">
        <f t="shared" ref="J12:N12" si="4">J17/J$14</f>
        <v>9.4522670999777944E-2</v>
      </c>
      <c r="K12" s="20">
        <f t="shared" si="4"/>
        <v>9.4217343141079851E-2</v>
      </c>
      <c r="L12" s="20">
        <f t="shared" si="4"/>
        <v>9.3919188470010073E-2</v>
      </c>
      <c r="M12" s="20">
        <f t="shared" si="4"/>
        <v>9.3628046144990568E-2</v>
      </c>
      <c r="N12" s="21">
        <f t="shared" si="4"/>
        <v>9.3343760475993368E-2</v>
      </c>
    </row>
    <row r="13" spans="2:14" ht="13.15" customHeight="1">
      <c r="B13" s="22"/>
      <c r="F13" s="7"/>
      <c r="G13" s="7"/>
      <c r="H13" s="7"/>
      <c r="I13" s="7"/>
    </row>
    <row r="14" spans="2:14">
      <c r="C14" s="22" t="s">
        <v>63</v>
      </c>
      <c r="D14" s="22"/>
      <c r="E14" s="110"/>
      <c r="F14" s="7"/>
      <c r="G14" s="23">
        <v>62809.9</v>
      </c>
      <c r="H14" s="23">
        <v>66856.7</v>
      </c>
      <c r="I14" s="23">
        <v>69263.5</v>
      </c>
      <c r="J14" s="125">
        <f>J151</f>
        <v>70882.465858542448</v>
      </c>
      <c r="K14" s="125">
        <f t="shared" ref="K14:N14" si="5">K151</f>
        <v>72534.416405341166</v>
      </c>
      <c r="L14" s="125">
        <f t="shared" si="5"/>
        <v>74219.976913725695</v>
      </c>
      <c r="M14" s="125">
        <f t="shared" si="5"/>
        <v>75939.783993670528</v>
      </c>
      <c r="N14" s="125">
        <f t="shared" si="5"/>
        <v>77694.485791208121</v>
      </c>
    </row>
    <row r="15" spans="2:14" ht="13.15" customHeight="1">
      <c r="F15" s="7"/>
      <c r="G15" s="7"/>
      <c r="H15" s="7"/>
      <c r="I15" s="7"/>
    </row>
    <row r="16" spans="2:14">
      <c r="C16" s="2" t="s">
        <v>64</v>
      </c>
      <c r="F16" s="7"/>
      <c r="G16" s="24">
        <v>51805.1</v>
      </c>
      <c r="H16" s="24">
        <v>55804.6</v>
      </c>
      <c r="I16" s="24">
        <v>57165.599999999999</v>
      </c>
      <c r="J16" s="126">
        <f>J176</f>
        <v>58501.337422894467</v>
      </c>
      <c r="K16" s="126">
        <f t="shared" ref="K16:N16" si="6">K176</f>
        <v>59867.638102704703</v>
      </c>
      <c r="L16" s="126">
        <f t="shared" si="6"/>
        <v>61265.190274738205</v>
      </c>
      <c r="M16" s="126">
        <f t="shared" si="6"/>
        <v>62694.697478411959</v>
      </c>
      <c r="N16" s="126">
        <f t="shared" si="6"/>
        <v>64156.878894122769</v>
      </c>
    </row>
    <row r="17" spans="2:14">
      <c r="C17" s="25" t="s">
        <v>4</v>
      </c>
      <c r="F17" s="7"/>
      <c r="G17" s="26">
        <v>5884.5</v>
      </c>
      <c r="H17" s="26">
        <v>6361.8</v>
      </c>
      <c r="I17" s="26">
        <v>6525.2</v>
      </c>
      <c r="J17" s="128">
        <f>Assumptions!G21</f>
        <v>6700</v>
      </c>
      <c r="K17" s="127">
        <f>J17*(1+K162)</f>
        <v>6834</v>
      </c>
      <c r="L17" s="127">
        <f t="shared" ref="L17:N17" si="7">K17*(1+L162)</f>
        <v>6970.68</v>
      </c>
      <c r="M17" s="127">
        <f t="shared" si="7"/>
        <v>7110.0936000000002</v>
      </c>
      <c r="N17" s="127">
        <f t="shared" si="7"/>
        <v>7252.2954720000007</v>
      </c>
    </row>
    <row r="18" spans="2:14">
      <c r="C18" s="27" t="s">
        <v>5</v>
      </c>
      <c r="F18" s="7"/>
      <c r="G18" s="28">
        <f t="shared" ref="G18:N18" si="8">SUM(G16:G17)</f>
        <v>57689.599999999999</v>
      </c>
      <c r="H18" s="28">
        <f t="shared" si="8"/>
        <v>62166.400000000001</v>
      </c>
      <c r="I18" s="28">
        <f t="shared" si="8"/>
        <v>63690.799999999996</v>
      </c>
      <c r="J18" s="28">
        <f t="shared" si="8"/>
        <v>65201.337422894467</v>
      </c>
      <c r="K18" s="28">
        <f t="shared" si="8"/>
        <v>66701.638102704703</v>
      </c>
      <c r="L18" s="28">
        <f t="shared" si="8"/>
        <v>68235.870274738205</v>
      </c>
      <c r="M18" s="28">
        <f t="shared" si="8"/>
        <v>69804.791078411959</v>
      </c>
      <c r="N18" s="28">
        <f t="shared" si="8"/>
        <v>71409.174366122767</v>
      </c>
    </row>
    <row r="19" spans="2:14">
      <c r="C19" s="27"/>
      <c r="F19" s="7"/>
      <c r="G19" s="7"/>
      <c r="H19" s="7"/>
      <c r="I19" s="7"/>
    </row>
    <row r="20" spans="2:14">
      <c r="C20" s="2" t="s">
        <v>6</v>
      </c>
      <c r="F20" s="7"/>
      <c r="G20" s="26">
        <v>13.9</v>
      </c>
      <c r="H20" s="26">
        <v>67.599999999999994</v>
      </c>
      <c r="I20" s="26">
        <v>-2.4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</row>
    <row r="21" spans="2:14">
      <c r="B21" s="22"/>
      <c r="C21" s="22" t="s">
        <v>7</v>
      </c>
      <c r="G21" s="29">
        <f t="shared" ref="G21:N21" si="9">G14-G18+G20</f>
        <v>5134.2000000000025</v>
      </c>
      <c r="H21" s="29">
        <f t="shared" si="9"/>
        <v>4757.899999999996</v>
      </c>
      <c r="I21" s="29">
        <f t="shared" si="9"/>
        <v>5570.3000000000047</v>
      </c>
      <c r="J21" s="29">
        <f t="shared" si="9"/>
        <v>5681.128435647981</v>
      </c>
      <c r="K21" s="29">
        <f t="shared" si="9"/>
        <v>5832.7783026364632</v>
      </c>
      <c r="L21" s="29">
        <f t="shared" si="9"/>
        <v>5984.1066389874904</v>
      </c>
      <c r="M21" s="29">
        <f t="shared" si="9"/>
        <v>6134.9929152585682</v>
      </c>
      <c r="N21" s="29">
        <f t="shared" si="9"/>
        <v>6285.3114250853541</v>
      </c>
    </row>
    <row r="23" spans="2:14">
      <c r="C23" s="2" t="s">
        <v>8</v>
      </c>
      <c r="G23" s="30">
        <v>1545.7</v>
      </c>
      <c r="H23" s="30">
        <v>1525.9</v>
      </c>
      <c r="I23" s="30">
        <v>1760.1</v>
      </c>
      <c r="J23" s="129">
        <f>J202</f>
        <v>1738.8111111111114</v>
      </c>
      <c r="K23" s="129">
        <f t="shared" ref="K23:N23" si="10">K202</f>
        <v>1872.1444444444446</v>
      </c>
      <c r="L23" s="129">
        <f t="shared" si="10"/>
        <v>2022.1444444444444</v>
      </c>
      <c r="M23" s="129">
        <f t="shared" si="10"/>
        <v>2188.8111111111111</v>
      </c>
      <c r="N23" s="129">
        <f t="shared" si="10"/>
        <v>2355.4777777777776</v>
      </c>
    </row>
    <row r="24" spans="2:14">
      <c r="C24" s="27" t="s">
        <v>9</v>
      </c>
      <c r="G24" s="29">
        <f t="shared" ref="G24:N24" si="11">G21-G23</f>
        <v>3588.5000000000027</v>
      </c>
      <c r="H24" s="29">
        <f t="shared" si="11"/>
        <v>3231.9999999999959</v>
      </c>
      <c r="I24" s="29">
        <f t="shared" si="11"/>
        <v>3810.2000000000048</v>
      </c>
      <c r="J24" s="29">
        <f t="shared" si="11"/>
        <v>3942.3173245368698</v>
      </c>
      <c r="K24" s="29">
        <f t="shared" si="11"/>
        <v>3960.6338581920186</v>
      </c>
      <c r="L24" s="29">
        <f t="shared" si="11"/>
        <v>3961.9621945430463</v>
      </c>
      <c r="M24" s="29">
        <f t="shared" si="11"/>
        <v>3946.1818041474571</v>
      </c>
      <c r="N24" s="29">
        <f t="shared" si="11"/>
        <v>3929.8336473075765</v>
      </c>
    </row>
    <row r="25" spans="2:14" ht="6" customHeight="1">
      <c r="C25" s="27"/>
    </row>
    <row r="26" spans="2:14" ht="12.75" customHeight="1">
      <c r="C26" s="2" t="s">
        <v>6</v>
      </c>
      <c r="G26" s="31">
        <v>40.799999999999997</v>
      </c>
      <c r="H26" s="31">
        <v>3.0999999999999996</v>
      </c>
      <c r="I26" s="31">
        <v>32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</row>
    <row r="27" spans="2:14">
      <c r="C27" s="32" t="s">
        <v>56</v>
      </c>
      <c r="G27" s="30">
        <v>341.7</v>
      </c>
      <c r="H27" s="30">
        <v>442.3</v>
      </c>
      <c r="I27" s="30">
        <v>494.1</v>
      </c>
      <c r="J27" s="129">
        <f>J363</f>
        <v>665.27145000000007</v>
      </c>
      <c r="K27" s="129">
        <f t="shared" ref="K27:N27" si="12">K363</f>
        <v>624.91842066631307</v>
      </c>
      <c r="L27" s="129">
        <f t="shared" si="12"/>
        <v>567.56038397213399</v>
      </c>
      <c r="M27" s="129">
        <f t="shared" si="12"/>
        <v>529.47895779882629</v>
      </c>
      <c r="N27" s="129">
        <f t="shared" si="12"/>
        <v>467.75624503179722</v>
      </c>
    </row>
    <row r="28" spans="2:14">
      <c r="C28" s="33" t="s">
        <v>10</v>
      </c>
      <c r="G28" s="29">
        <f t="shared" ref="G28:N28" si="13">G24+G26-G27</f>
        <v>3287.6000000000031</v>
      </c>
      <c r="H28" s="29">
        <f t="shared" si="13"/>
        <v>2792.7999999999956</v>
      </c>
      <c r="I28" s="29">
        <f t="shared" si="13"/>
        <v>3348.1000000000049</v>
      </c>
      <c r="J28" s="29">
        <f t="shared" si="13"/>
        <v>3277.0458745368696</v>
      </c>
      <c r="K28" s="29">
        <f t="shared" si="13"/>
        <v>3335.7154375257055</v>
      </c>
      <c r="L28" s="29">
        <f t="shared" si="13"/>
        <v>3394.4018105709124</v>
      </c>
      <c r="M28" s="29">
        <f t="shared" si="13"/>
        <v>3416.7028463486308</v>
      </c>
      <c r="N28" s="29">
        <f t="shared" si="13"/>
        <v>3462.0774022757791</v>
      </c>
    </row>
    <row r="29" spans="2:14" ht="6" customHeight="1">
      <c r="C29" s="27"/>
    </row>
    <row r="30" spans="2:14">
      <c r="C30" s="2" t="s">
        <v>11</v>
      </c>
      <c r="G30" s="31">
        <v>797.6</v>
      </c>
      <c r="H30" s="31">
        <v>657.3</v>
      </c>
      <c r="I30" s="31">
        <v>850.4</v>
      </c>
      <c r="J30" s="34">
        <f>J223</f>
        <v>878.11376236106082</v>
      </c>
      <c r="K30" s="34">
        <f t="shared" ref="K30:N30" si="14">K223</f>
        <v>895.71463125771163</v>
      </c>
      <c r="L30" s="34">
        <f t="shared" si="14"/>
        <v>913.3205431712737</v>
      </c>
      <c r="M30" s="34">
        <f t="shared" si="14"/>
        <v>920.01085390458923</v>
      </c>
      <c r="N30" s="34">
        <f t="shared" si="14"/>
        <v>933.62322068273374</v>
      </c>
    </row>
    <row r="31" spans="2:14">
      <c r="C31" s="2" t="s">
        <v>12</v>
      </c>
      <c r="G31" s="30">
        <v>176.69999999999993</v>
      </c>
      <c r="H31" s="30">
        <v>248.70000000000005</v>
      </c>
      <c r="I31" s="30">
        <v>201.89999999999998</v>
      </c>
      <c r="J31" s="129">
        <f>J224</f>
        <v>105</v>
      </c>
      <c r="K31" s="129">
        <f t="shared" ref="K31:N31" si="15">K224</f>
        <v>105</v>
      </c>
      <c r="L31" s="129">
        <f t="shared" si="15"/>
        <v>105</v>
      </c>
      <c r="M31" s="129">
        <f t="shared" si="15"/>
        <v>104.99999999999989</v>
      </c>
      <c r="N31" s="129">
        <f t="shared" si="15"/>
        <v>105</v>
      </c>
    </row>
    <row r="32" spans="2:14">
      <c r="C32" s="22" t="s">
        <v>13</v>
      </c>
      <c r="G32" s="29">
        <f t="shared" ref="G32:N32" si="16">SUM(G30:G31)</f>
        <v>974.3</v>
      </c>
      <c r="H32" s="29">
        <f t="shared" si="16"/>
        <v>906</v>
      </c>
      <c r="I32" s="29">
        <f t="shared" si="16"/>
        <v>1052.3</v>
      </c>
      <c r="J32" s="29">
        <f t="shared" si="16"/>
        <v>983.11376236106082</v>
      </c>
      <c r="K32" s="29">
        <f t="shared" si="16"/>
        <v>1000.7146312577116</v>
      </c>
      <c r="L32" s="29">
        <f t="shared" si="16"/>
        <v>1018.3205431712737</v>
      </c>
      <c r="M32" s="29">
        <f t="shared" si="16"/>
        <v>1025.0108539045891</v>
      </c>
      <c r="N32" s="29">
        <f t="shared" si="16"/>
        <v>1038.6232206827337</v>
      </c>
    </row>
    <row r="33" spans="2:14" ht="9" customHeight="1">
      <c r="G33" s="34"/>
      <c r="H33" s="34"/>
      <c r="I33" s="34"/>
    </row>
    <row r="34" spans="2:14">
      <c r="C34" s="35" t="s">
        <v>14</v>
      </c>
      <c r="D34" s="22"/>
      <c r="E34" s="110"/>
      <c r="G34" s="36">
        <f t="shared" ref="G34:N34" si="17">G28-G32</f>
        <v>2313.3000000000029</v>
      </c>
      <c r="H34" s="36">
        <f t="shared" si="17"/>
        <v>1886.7999999999956</v>
      </c>
      <c r="I34" s="36">
        <f t="shared" si="17"/>
        <v>2295.8000000000047</v>
      </c>
      <c r="J34" s="36">
        <f t="shared" si="17"/>
        <v>2293.9321121758089</v>
      </c>
      <c r="K34" s="36">
        <f t="shared" si="17"/>
        <v>2335.000806267994</v>
      </c>
      <c r="L34" s="36">
        <f t="shared" si="17"/>
        <v>2376.0812673996388</v>
      </c>
      <c r="M34" s="36">
        <f t="shared" si="17"/>
        <v>2391.6919924440417</v>
      </c>
      <c r="N34" s="36">
        <f t="shared" si="17"/>
        <v>2423.4541815930452</v>
      </c>
    </row>
    <row r="35" spans="2:14">
      <c r="C35" s="35"/>
      <c r="D35" s="22"/>
      <c r="E35" s="110"/>
      <c r="G35" s="28"/>
      <c r="H35" s="28"/>
      <c r="I35" s="28"/>
    </row>
    <row r="36" spans="2:14">
      <c r="C36" s="37" t="s">
        <v>52</v>
      </c>
      <c r="D36" s="22"/>
      <c r="E36" s="110"/>
      <c r="G36" s="30">
        <v>0</v>
      </c>
      <c r="H36" s="30">
        <v>0</v>
      </c>
      <c r="I36" s="30">
        <v>0</v>
      </c>
      <c r="J36" s="129">
        <f>J290</f>
        <v>0</v>
      </c>
      <c r="K36" s="129">
        <f t="shared" ref="K36:N36" si="18">K290</f>
        <v>0</v>
      </c>
      <c r="L36" s="129">
        <f t="shared" si="18"/>
        <v>0</v>
      </c>
      <c r="M36" s="129">
        <f t="shared" si="18"/>
        <v>4.5</v>
      </c>
      <c r="N36" s="129">
        <f t="shared" si="18"/>
        <v>4.5</v>
      </c>
    </row>
    <row r="37" spans="2:14" ht="13.5" customHeight="1" thickBot="1">
      <c r="C37" s="35" t="s">
        <v>53</v>
      </c>
      <c r="D37" s="22"/>
      <c r="E37" s="110"/>
      <c r="G37" s="38">
        <f>G34-G36</f>
        <v>2313.3000000000029</v>
      </c>
      <c r="H37" s="38">
        <f t="shared" ref="H37:N37" si="19">H34-H36</f>
        <v>1886.7999999999956</v>
      </c>
      <c r="I37" s="38">
        <f t="shared" si="19"/>
        <v>2295.8000000000047</v>
      </c>
      <c r="J37" s="38">
        <f t="shared" si="19"/>
        <v>2293.9321121758089</v>
      </c>
      <c r="K37" s="38">
        <f t="shared" si="19"/>
        <v>2335.000806267994</v>
      </c>
      <c r="L37" s="38">
        <f t="shared" si="19"/>
        <v>2376.0812673996388</v>
      </c>
      <c r="M37" s="38">
        <f t="shared" si="19"/>
        <v>2387.1919924440417</v>
      </c>
      <c r="N37" s="38">
        <f t="shared" si="19"/>
        <v>2418.9541815930452</v>
      </c>
    </row>
    <row r="38" spans="2:14" ht="9.75" customHeight="1" thickTop="1">
      <c r="B38" s="39"/>
      <c r="C38" s="39"/>
      <c r="D38" s="39"/>
      <c r="E38" s="111"/>
      <c r="F38" s="39"/>
      <c r="G38" s="40"/>
      <c r="H38" s="40"/>
      <c r="I38" s="40"/>
      <c r="J38" s="40"/>
      <c r="K38" s="40"/>
      <c r="L38" s="40"/>
      <c r="M38" s="40"/>
      <c r="N38" s="40"/>
    </row>
    <row r="39" spans="2:14">
      <c r="C39" s="41"/>
      <c r="G39" s="42"/>
      <c r="H39" s="42"/>
      <c r="I39" s="42"/>
    </row>
    <row r="40" spans="2:14">
      <c r="B40" s="22"/>
      <c r="C40" s="22"/>
      <c r="D40" s="22"/>
      <c r="E40" s="110"/>
      <c r="F40" s="22"/>
      <c r="G40" s="22"/>
      <c r="H40" s="22"/>
      <c r="I40" s="22"/>
    </row>
    <row r="41" spans="2:14">
      <c r="B41" s="22"/>
      <c r="G41" s="43"/>
      <c r="H41" s="43"/>
      <c r="I41" s="43"/>
      <c r="L41" s="22" t="str">
        <f>$L$1</f>
        <v>CURRENTLY RUNNING: BASE CASE</v>
      </c>
    </row>
    <row r="42" spans="2:14" ht="23.25">
      <c r="B42" s="1" t="str">
        <f>Cover!$B$9</f>
        <v>Night Owl Inc.</v>
      </c>
      <c r="C42" s="44"/>
      <c r="D42" s="44"/>
      <c r="E42" s="112"/>
      <c r="F42" s="44"/>
      <c r="G42" s="44"/>
      <c r="H42" s="44"/>
      <c r="I42" s="44"/>
      <c r="J42" s="44"/>
      <c r="K42" s="44"/>
      <c r="L42" s="44"/>
      <c r="M42" s="44"/>
      <c r="N42" s="44"/>
    </row>
    <row r="43" spans="2:14" ht="18.75">
      <c r="B43" s="3" t="s">
        <v>15</v>
      </c>
      <c r="C43" s="44"/>
      <c r="D43" s="44"/>
      <c r="E43" s="112"/>
      <c r="F43" s="44"/>
      <c r="G43" s="44"/>
      <c r="H43" s="44"/>
      <c r="I43" s="44"/>
      <c r="J43" s="44"/>
      <c r="K43" s="44"/>
      <c r="L43" s="44"/>
      <c r="M43" s="44"/>
      <c r="N43" s="44"/>
    </row>
    <row r="44" spans="2:14" ht="6" customHeight="1" thickBot="1">
      <c r="B44" s="4"/>
      <c r="C44" s="45"/>
      <c r="D44" s="45"/>
      <c r="E44" s="113"/>
      <c r="F44" s="45"/>
      <c r="G44" s="45"/>
      <c r="H44" s="45"/>
      <c r="I44" s="45"/>
      <c r="J44" s="45"/>
      <c r="K44" s="45"/>
      <c r="L44" s="45"/>
      <c r="M44" s="45"/>
      <c r="N44" s="45"/>
    </row>
    <row r="45" spans="2:14">
      <c r="B45" s="5" t="str">
        <f>$B$6</f>
        <v>Millions for the Year Ended December 31</v>
      </c>
    </row>
    <row r="46" spans="2:14">
      <c r="J46" s="74" t="s">
        <v>67</v>
      </c>
      <c r="K46" s="75"/>
      <c r="L46" s="75"/>
      <c r="M46" s="75"/>
      <c r="N46" s="75"/>
    </row>
    <row r="47" spans="2:14">
      <c r="B47" s="46"/>
      <c r="F47" s="47"/>
      <c r="G47" s="8">
        <f>G$8</f>
        <v>2022</v>
      </c>
      <c r="H47" s="8">
        <f t="shared" ref="H47:N47" si="20">H$8</f>
        <v>2023</v>
      </c>
      <c r="I47" s="8">
        <f t="shared" si="20"/>
        <v>2024</v>
      </c>
      <c r="J47" s="8">
        <f t="shared" si="20"/>
        <v>2025</v>
      </c>
      <c r="K47" s="8">
        <f t="shared" si="20"/>
        <v>2026</v>
      </c>
      <c r="L47" s="8">
        <f t="shared" si="20"/>
        <v>2027</v>
      </c>
      <c r="M47" s="8">
        <f t="shared" si="20"/>
        <v>2028</v>
      </c>
      <c r="N47" s="8">
        <f t="shared" si="20"/>
        <v>2029</v>
      </c>
    </row>
    <row r="48" spans="2:14">
      <c r="B48" s="46"/>
      <c r="F48" s="47"/>
      <c r="G48" s="47"/>
      <c r="H48" s="47"/>
      <c r="I48" s="47"/>
    </row>
    <row r="49" spans="2:14">
      <c r="B49" s="22" t="s">
        <v>16</v>
      </c>
    </row>
    <row r="50" spans="2:14">
      <c r="C50" s="2" t="s">
        <v>14</v>
      </c>
      <c r="F50" s="48"/>
      <c r="G50" s="49">
        <v>2313.3000000000029</v>
      </c>
      <c r="H50" s="49">
        <v>1886.7999999999956</v>
      </c>
      <c r="I50" s="49">
        <v>2295.8000000000047</v>
      </c>
      <c r="J50" s="34">
        <f>J34</f>
        <v>2293.9321121758089</v>
      </c>
      <c r="K50" s="34">
        <f t="shared" ref="K50:N50" si="21">K34</f>
        <v>2335.000806267994</v>
      </c>
      <c r="L50" s="34">
        <f t="shared" si="21"/>
        <v>2376.0812673996388</v>
      </c>
      <c r="M50" s="34">
        <f t="shared" si="21"/>
        <v>2391.6919924440417</v>
      </c>
      <c r="N50" s="34">
        <f t="shared" si="21"/>
        <v>2423.4541815930452</v>
      </c>
    </row>
    <row r="51" spans="2:14">
      <c r="C51" s="2" t="s">
        <v>8</v>
      </c>
      <c r="F51" s="48"/>
      <c r="G51" s="49">
        <v>1545.7</v>
      </c>
      <c r="H51" s="49">
        <v>1525.9</v>
      </c>
      <c r="I51" s="49">
        <v>1760.1</v>
      </c>
      <c r="J51" s="34">
        <f>J23</f>
        <v>1738.8111111111114</v>
      </c>
      <c r="K51" s="34">
        <f t="shared" ref="K51:N51" si="22">K23</f>
        <v>1872.1444444444446</v>
      </c>
      <c r="L51" s="34">
        <f t="shared" si="22"/>
        <v>2022.1444444444444</v>
      </c>
      <c r="M51" s="34">
        <f t="shared" si="22"/>
        <v>2188.8111111111111</v>
      </c>
      <c r="N51" s="34">
        <f t="shared" si="22"/>
        <v>2355.4777777777776</v>
      </c>
    </row>
    <row r="52" spans="2:14">
      <c r="C52" s="2" t="s">
        <v>12</v>
      </c>
      <c r="F52" s="48"/>
      <c r="G52" s="49">
        <v>176.69999999999993</v>
      </c>
      <c r="H52" s="49">
        <v>248.70000000000005</v>
      </c>
      <c r="I52" s="49">
        <v>201.89999999999998</v>
      </c>
      <c r="J52" s="34">
        <f>J31</f>
        <v>105</v>
      </c>
      <c r="K52" s="34">
        <f t="shared" ref="K52:N52" si="23">K31</f>
        <v>105</v>
      </c>
      <c r="L52" s="34">
        <f t="shared" si="23"/>
        <v>105</v>
      </c>
      <c r="M52" s="34">
        <f t="shared" si="23"/>
        <v>104.99999999999989</v>
      </c>
      <c r="N52" s="34">
        <f t="shared" si="23"/>
        <v>105</v>
      </c>
    </row>
    <row r="53" spans="2:14">
      <c r="C53" s="2" t="s">
        <v>17</v>
      </c>
      <c r="F53" s="50"/>
      <c r="G53" s="49">
        <v>-315.39999999999998</v>
      </c>
      <c r="H53" s="49">
        <v>-336.8</v>
      </c>
      <c r="I53" s="49">
        <v>-290.5</v>
      </c>
      <c r="J53" s="34">
        <f>J270</f>
        <v>-98.991387935354396</v>
      </c>
      <c r="K53" s="34">
        <f t="shared" ref="K53:N53" si="24">K270</f>
        <v>-8.7444040026821312</v>
      </c>
      <c r="L53" s="34">
        <f t="shared" si="24"/>
        <v>-8.7728309798312694</v>
      </c>
      <c r="M53" s="34">
        <f t="shared" si="24"/>
        <v>-7.6852015251624834</v>
      </c>
      <c r="N53" s="34">
        <f t="shared" si="24"/>
        <v>-9.928368271988802</v>
      </c>
    </row>
    <row r="54" spans="2:14">
      <c r="C54" s="2" t="s">
        <v>29</v>
      </c>
      <c r="F54" s="50"/>
      <c r="G54" s="51">
        <v>2.7</v>
      </c>
      <c r="H54" s="51">
        <v>-3.1</v>
      </c>
      <c r="I54" s="26">
        <v>1.2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</row>
    <row r="55" spans="2:14">
      <c r="C55" s="27" t="s">
        <v>18</v>
      </c>
      <c r="F55" s="52"/>
      <c r="G55" s="53">
        <f>SUM(G50:G54)</f>
        <v>3723.0000000000023</v>
      </c>
      <c r="H55" s="53">
        <f t="shared" ref="H55:N55" si="25">SUM(H50:H54)</f>
        <v>3321.4999999999959</v>
      </c>
      <c r="I55" s="53">
        <f t="shared" si="25"/>
        <v>3968.5000000000045</v>
      </c>
      <c r="J55" s="53">
        <f t="shared" si="25"/>
        <v>4038.7518353515661</v>
      </c>
      <c r="K55" s="53">
        <f t="shared" si="25"/>
        <v>4303.4008467097565</v>
      </c>
      <c r="L55" s="53">
        <f t="shared" si="25"/>
        <v>4494.4528808642517</v>
      </c>
      <c r="M55" s="53">
        <f t="shared" si="25"/>
        <v>4677.8179020299904</v>
      </c>
      <c r="N55" s="53">
        <f t="shared" si="25"/>
        <v>4874.0035910988336</v>
      </c>
    </row>
    <row r="56" spans="2:14">
      <c r="B56" s="25"/>
    </row>
    <row r="57" spans="2:14">
      <c r="B57" s="25"/>
    </row>
    <row r="58" spans="2:14">
      <c r="B58" s="22" t="s">
        <v>19</v>
      </c>
    </row>
    <row r="59" spans="2:14">
      <c r="C59" s="2" t="s">
        <v>20</v>
      </c>
      <c r="G59" s="31">
        <v>-1664.5</v>
      </c>
      <c r="H59" s="31">
        <v>-1803.8</v>
      </c>
      <c r="I59" s="31">
        <v>-1943.1</v>
      </c>
      <c r="J59" s="130">
        <f>-Assumptions!J41</f>
        <v>-2000</v>
      </c>
      <c r="K59" s="130">
        <f>-Assumptions!K41</f>
        <v>-2000</v>
      </c>
      <c r="L59" s="130">
        <f>-Assumptions!L41</f>
        <v>-2500</v>
      </c>
      <c r="M59" s="130">
        <f>-Assumptions!M41</f>
        <v>-2500</v>
      </c>
      <c r="N59" s="130">
        <f>-Assumptions!N41</f>
        <v>-2500</v>
      </c>
    </row>
    <row r="60" spans="2:14">
      <c r="C60" s="2" t="s">
        <v>21</v>
      </c>
      <c r="G60" s="31">
        <v>403.3</v>
      </c>
      <c r="H60" s="31">
        <v>362.1</v>
      </c>
      <c r="I60" s="31">
        <v>200.3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</row>
    <row r="61" spans="2:14">
      <c r="C61" s="2" t="s">
        <v>29</v>
      </c>
      <c r="G61" s="30">
        <v>12.1</v>
      </c>
      <c r="H61" s="30">
        <v>-1.5</v>
      </c>
      <c r="I61" s="30">
        <v>3.2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</row>
    <row r="62" spans="2:14">
      <c r="C62" s="22" t="s">
        <v>22</v>
      </c>
      <c r="F62" s="52"/>
      <c r="G62" s="53">
        <f>SUM(G59:G61)</f>
        <v>-1249.1000000000001</v>
      </c>
      <c r="H62" s="53">
        <f t="shared" ref="H62:N62" si="26">SUM(H59:H61)</f>
        <v>-1443.1999999999998</v>
      </c>
      <c r="I62" s="53">
        <f t="shared" si="26"/>
        <v>-1739.6</v>
      </c>
      <c r="J62" s="53">
        <f t="shared" si="26"/>
        <v>-2000</v>
      </c>
      <c r="K62" s="53">
        <f t="shared" si="26"/>
        <v>-2000</v>
      </c>
      <c r="L62" s="53">
        <f t="shared" si="26"/>
        <v>-2500</v>
      </c>
      <c r="M62" s="53">
        <f t="shared" si="26"/>
        <v>-2500</v>
      </c>
      <c r="N62" s="53">
        <f t="shared" si="26"/>
        <v>-2500</v>
      </c>
    </row>
    <row r="63" spans="2:14">
      <c r="B63" s="33"/>
      <c r="F63" s="48"/>
      <c r="G63" s="48"/>
      <c r="H63" s="48"/>
      <c r="I63" s="48"/>
    </row>
    <row r="64" spans="2:14">
      <c r="B64" s="33"/>
      <c r="F64" s="48"/>
      <c r="G64" s="54"/>
      <c r="H64" s="54"/>
      <c r="I64" s="54"/>
    </row>
    <row r="65" spans="2:14">
      <c r="B65" s="33" t="s">
        <v>23</v>
      </c>
      <c r="F65" s="48"/>
      <c r="G65" s="48"/>
      <c r="H65" s="48"/>
      <c r="I65" s="48"/>
    </row>
    <row r="66" spans="2:14">
      <c r="B66" s="33"/>
      <c r="C66" s="32" t="s">
        <v>175</v>
      </c>
      <c r="F66" s="48"/>
      <c r="G66" s="31">
        <v>0</v>
      </c>
      <c r="H66" s="31">
        <v>0</v>
      </c>
      <c r="I66" s="31">
        <v>0</v>
      </c>
      <c r="J66" s="34">
        <f>J338</f>
        <v>123.12100951875748</v>
      </c>
      <c r="K66" s="34">
        <f t="shared" ref="K66:N66" si="27">K338</f>
        <v>-119.40052420255898</v>
      </c>
      <c r="L66" s="34">
        <f t="shared" si="27"/>
        <v>155.97962609560369</v>
      </c>
      <c r="M66" s="34">
        <f t="shared" si="27"/>
        <v>-159.7001114118022</v>
      </c>
      <c r="N66" s="34">
        <f t="shared" si="27"/>
        <v>0</v>
      </c>
    </row>
    <row r="67" spans="2:14">
      <c r="B67" s="33"/>
      <c r="C67" s="32" t="s">
        <v>50</v>
      </c>
      <c r="F67" s="52"/>
      <c r="G67" s="31">
        <v>-278.99999999999989</v>
      </c>
      <c r="H67" s="31">
        <v>-145.9</v>
      </c>
      <c r="I67" s="31">
        <v>-203</v>
      </c>
      <c r="J67" s="130">
        <f>-Assumptions!J47</f>
        <v>-250</v>
      </c>
      <c r="K67" s="130">
        <f>-Assumptions!K47</f>
        <v>-250</v>
      </c>
      <c r="L67" s="130">
        <f>-Assumptions!L47</f>
        <v>-250</v>
      </c>
      <c r="M67" s="130">
        <f>-Assumptions!M47</f>
        <v>-250</v>
      </c>
      <c r="N67" s="130">
        <f>-Assumptions!N47</f>
        <v>-250</v>
      </c>
    </row>
    <row r="68" spans="2:14">
      <c r="B68" s="33"/>
      <c r="C68" s="32" t="s">
        <v>51</v>
      </c>
      <c r="F68" s="52"/>
      <c r="G68" s="31">
        <v>-443.6</v>
      </c>
      <c r="H68" s="31">
        <v>-438.9</v>
      </c>
      <c r="I68" s="31">
        <v>-478.9</v>
      </c>
      <c r="J68" s="130">
        <f>-Assumptions!J48</f>
        <v>-500</v>
      </c>
      <c r="K68" s="130">
        <f>-Assumptions!K48</f>
        <v>-500</v>
      </c>
      <c r="L68" s="130">
        <f>-Assumptions!L48</f>
        <v>-500</v>
      </c>
      <c r="M68" s="130">
        <f>-Assumptions!M48</f>
        <v>-500</v>
      </c>
      <c r="N68" s="130">
        <f>-Assumptions!N48</f>
        <v>-500</v>
      </c>
    </row>
    <row r="69" spans="2:14">
      <c r="B69" s="33"/>
      <c r="C69" s="32" t="s">
        <v>158</v>
      </c>
      <c r="F69" s="52"/>
      <c r="G69" s="31">
        <v>0</v>
      </c>
      <c r="H69" s="31">
        <v>0</v>
      </c>
      <c r="I69" s="31">
        <v>0</v>
      </c>
      <c r="J69" s="130">
        <f>Assumptions!J52</f>
        <v>0</v>
      </c>
      <c r="K69" s="130">
        <f>Assumptions!K52</f>
        <v>0</v>
      </c>
      <c r="L69" s="130">
        <f>Assumptions!L52</f>
        <v>50</v>
      </c>
      <c r="M69" s="130">
        <f>Assumptions!M52</f>
        <v>0</v>
      </c>
      <c r="N69" s="130">
        <f>Assumptions!N52</f>
        <v>0</v>
      </c>
    </row>
    <row r="70" spans="2:14">
      <c r="C70" s="2" t="s">
        <v>61</v>
      </c>
      <c r="G70" s="31">
        <v>-1342.3</v>
      </c>
      <c r="H70" s="31">
        <v>-1192.5</v>
      </c>
      <c r="I70" s="31">
        <v>-649.1</v>
      </c>
      <c r="J70" s="130">
        <f>Assumptions!J54</f>
        <v>-500</v>
      </c>
      <c r="K70" s="130">
        <f>Assumptions!K54</f>
        <v>-500</v>
      </c>
      <c r="L70" s="130">
        <f>Assumptions!L54</f>
        <v>-500</v>
      </c>
      <c r="M70" s="130">
        <f>Assumptions!M54</f>
        <v>0</v>
      </c>
      <c r="N70" s="130">
        <f>Assumptions!N54</f>
        <v>0</v>
      </c>
    </row>
    <row r="71" spans="2:14">
      <c r="C71" s="2" t="s">
        <v>157</v>
      </c>
      <c r="G71" s="31">
        <v>0</v>
      </c>
      <c r="H71" s="31">
        <v>0</v>
      </c>
      <c r="I71" s="31">
        <v>0</v>
      </c>
      <c r="J71" s="138">
        <f>-J36</f>
        <v>0</v>
      </c>
      <c r="K71" s="138">
        <f t="shared" ref="K71:N71" si="28">-K36</f>
        <v>0</v>
      </c>
      <c r="L71" s="138">
        <f t="shared" si="28"/>
        <v>0</v>
      </c>
      <c r="M71" s="138">
        <f t="shared" si="28"/>
        <v>-4.5</v>
      </c>
      <c r="N71" s="138">
        <f t="shared" si="28"/>
        <v>-4.5</v>
      </c>
    </row>
    <row r="72" spans="2:14">
      <c r="B72" s="33"/>
      <c r="C72" s="2" t="s">
        <v>55</v>
      </c>
      <c r="F72" s="52"/>
      <c r="G72" s="31">
        <v>-830.1</v>
      </c>
      <c r="H72" s="31">
        <v>-877.7</v>
      </c>
      <c r="I72" s="31">
        <v>-953</v>
      </c>
      <c r="J72" s="34">
        <f>-J298</f>
        <v>-917.57284487032359</v>
      </c>
      <c r="K72" s="34">
        <f t="shared" ref="K72:N72" si="29">-K298</f>
        <v>-934.00032250719767</v>
      </c>
      <c r="L72" s="34">
        <f t="shared" si="29"/>
        <v>-950.43250695985557</v>
      </c>
      <c r="M72" s="34">
        <f t="shared" si="29"/>
        <v>-954.87679697761678</v>
      </c>
      <c r="N72" s="34">
        <f t="shared" si="29"/>
        <v>-967.58167263721816</v>
      </c>
    </row>
    <row r="73" spans="2:14">
      <c r="B73" s="33"/>
      <c r="C73" s="2" t="s">
        <v>29</v>
      </c>
      <c r="F73" s="52"/>
      <c r="G73" s="30">
        <v>-8.4</v>
      </c>
      <c r="H73" s="30">
        <v>3.1</v>
      </c>
      <c r="I73" s="30">
        <v>-2.1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</row>
    <row r="74" spans="2:14">
      <c r="B74" s="33"/>
      <c r="C74" s="22" t="s">
        <v>24</v>
      </c>
      <c r="F74" s="52"/>
      <c r="G74" s="53">
        <f>SUM(G66:G73)</f>
        <v>-2903.3999999999996</v>
      </c>
      <c r="H74" s="53">
        <f t="shared" ref="H74:N74" si="30">SUM(H66:H73)</f>
        <v>-2651.9</v>
      </c>
      <c r="I74" s="53">
        <f t="shared" si="30"/>
        <v>-2286.1</v>
      </c>
      <c r="J74" s="53">
        <f t="shared" si="30"/>
        <v>-2044.4518353515659</v>
      </c>
      <c r="K74" s="53">
        <f t="shared" si="30"/>
        <v>-2303.4008467097565</v>
      </c>
      <c r="L74" s="53">
        <f t="shared" si="30"/>
        <v>-1994.4528808642519</v>
      </c>
      <c r="M74" s="53">
        <f t="shared" si="30"/>
        <v>-1869.076908389419</v>
      </c>
      <c r="N74" s="53">
        <f t="shared" si="30"/>
        <v>-1722.0816726372182</v>
      </c>
    </row>
    <row r="75" spans="2:14">
      <c r="B75" s="33"/>
      <c r="C75" s="22"/>
      <c r="F75" s="52"/>
    </row>
    <row r="76" spans="2:14">
      <c r="C76" s="25" t="s">
        <v>44</v>
      </c>
      <c r="F76" s="52"/>
      <c r="G76" s="55">
        <f>G74+G62+G55</f>
        <v>-429.49999999999773</v>
      </c>
      <c r="H76" s="55">
        <f>H74+H62+H55</f>
        <v>-773.600000000004</v>
      </c>
      <c r="I76" s="55">
        <f>I74+I62+I55</f>
        <v>-57.199999999995271</v>
      </c>
      <c r="J76" s="55">
        <f t="shared" ref="J76:N76" si="31">J74+J62+J55</f>
        <v>-5.6999999999998181</v>
      </c>
      <c r="K76" s="55">
        <f t="shared" si="31"/>
        <v>0</v>
      </c>
      <c r="L76" s="55">
        <f t="shared" si="31"/>
        <v>0</v>
      </c>
      <c r="M76" s="55">
        <f t="shared" si="31"/>
        <v>308.74099364057111</v>
      </c>
      <c r="N76" s="55">
        <f t="shared" si="31"/>
        <v>651.92191846161586</v>
      </c>
    </row>
    <row r="77" spans="2:14">
      <c r="C77" s="25" t="s">
        <v>45</v>
      </c>
      <c r="F77" s="52"/>
      <c r="G77" s="30">
        <v>1281</v>
      </c>
      <c r="H77" s="56">
        <f>G78</f>
        <v>851.50000000000227</v>
      </c>
      <c r="I77" s="56">
        <f>H78</f>
        <v>77.899999999998272</v>
      </c>
      <c r="J77" s="56">
        <f t="shared" ref="J77:N77" si="32">I78</f>
        <v>20.700000000003001</v>
      </c>
      <c r="K77" s="56">
        <f t="shared" si="32"/>
        <v>15.000000000003183</v>
      </c>
      <c r="L77" s="56">
        <f t="shared" si="32"/>
        <v>15.000000000003183</v>
      </c>
      <c r="M77" s="56">
        <f t="shared" si="32"/>
        <v>15.000000000003183</v>
      </c>
      <c r="N77" s="56">
        <f t="shared" si="32"/>
        <v>323.74099364057429</v>
      </c>
    </row>
    <row r="78" spans="2:14">
      <c r="C78" s="27" t="s">
        <v>46</v>
      </c>
      <c r="F78" s="52"/>
      <c r="G78" s="29">
        <f>G77+G76</f>
        <v>851.50000000000227</v>
      </c>
      <c r="H78" s="29">
        <f>H77+H76</f>
        <v>77.899999999998272</v>
      </c>
      <c r="I78" s="29">
        <f>I77+I76</f>
        <v>20.700000000003001</v>
      </c>
      <c r="J78" s="29">
        <f t="shared" ref="J78:N78" si="33">J77+J76</f>
        <v>15.000000000003183</v>
      </c>
      <c r="K78" s="29">
        <f t="shared" si="33"/>
        <v>15.000000000003183</v>
      </c>
      <c r="L78" s="29">
        <f t="shared" si="33"/>
        <v>15.000000000003183</v>
      </c>
      <c r="M78" s="29">
        <f t="shared" si="33"/>
        <v>323.74099364057429</v>
      </c>
      <c r="N78" s="29">
        <f t="shared" si="33"/>
        <v>975.66291210219015</v>
      </c>
    </row>
    <row r="79" spans="2:14">
      <c r="B79" s="39"/>
      <c r="C79" s="39"/>
      <c r="D79" s="39"/>
      <c r="E79" s="111"/>
      <c r="F79" s="39"/>
      <c r="G79" s="39"/>
      <c r="H79" s="39"/>
      <c r="I79" s="39"/>
      <c r="J79" s="39"/>
      <c r="K79" s="39"/>
      <c r="L79" s="39"/>
      <c r="M79" s="39"/>
      <c r="N79" s="39"/>
    </row>
    <row r="82" spans="2:14">
      <c r="L82" s="22" t="str">
        <f>$L$1</f>
        <v>CURRENTLY RUNNING: BASE CASE</v>
      </c>
    </row>
    <row r="83" spans="2:14" ht="23.25">
      <c r="B83" s="1" t="str">
        <f>Cover!$B$9</f>
        <v>Night Owl Inc.</v>
      </c>
      <c r="C83" s="44"/>
      <c r="D83" s="44"/>
      <c r="E83" s="112"/>
      <c r="F83" s="44"/>
      <c r="G83" s="44"/>
      <c r="H83" s="44"/>
      <c r="I83" s="44"/>
      <c r="J83" s="44"/>
      <c r="K83" s="44"/>
      <c r="L83" s="44"/>
      <c r="M83" s="44"/>
      <c r="N83" s="44"/>
    </row>
    <row r="84" spans="2:14" ht="18.75">
      <c r="B84" s="3" t="s">
        <v>25</v>
      </c>
      <c r="C84" s="44"/>
      <c r="D84" s="44"/>
      <c r="E84" s="112"/>
      <c r="F84" s="44"/>
      <c r="G84" s="44"/>
      <c r="H84" s="44"/>
      <c r="I84" s="44"/>
      <c r="J84" s="44"/>
      <c r="K84" s="44"/>
      <c r="L84" s="44"/>
      <c r="M84" s="44"/>
      <c r="N84" s="44"/>
    </row>
    <row r="85" spans="2:14" ht="6" customHeight="1" thickBot="1">
      <c r="B85" s="4"/>
      <c r="C85" s="45"/>
      <c r="D85" s="45"/>
      <c r="E85" s="113"/>
      <c r="F85" s="45"/>
      <c r="G85" s="45"/>
      <c r="H85" s="45"/>
      <c r="I85" s="45"/>
      <c r="J85" s="45"/>
      <c r="K85" s="45"/>
      <c r="L85" s="45"/>
      <c r="M85" s="45"/>
      <c r="N85" s="45"/>
    </row>
    <row r="86" spans="2:14">
      <c r="B86" s="5" t="str">
        <f>$B$6</f>
        <v>Millions for the Year Ended December 31</v>
      </c>
      <c r="D86" s="22"/>
      <c r="E86" s="110"/>
      <c r="G86" s="57"/>
      <c r="H86" s="57"/>
      <c r="I86" s="57"/>
      <c r="J86" s="74" t="s">
        <v>67</v>
      </c>
      <c r="K86" s="75"/>
      <c r="L86" s="75"/>
      <c r="M86" s="75"/>
      <c r="N86" s="75"/>
    </row>
    <row r="87" spans="2:14">
      <c r="B87" s="58"/>
      <c r="F87" s="47"/>
      <c r="G87" s="8">
        <f>G$8</f>
        <v>2022</v>
      </c>
      <c r="H87" s="8">
        <f t="shared" ref="H87:N87" si="34">H$8</f>
        <v>2023</v>
      </c>
      <c r="I87" s="8">
        <f t="shared" si="34"/>
        <v>2024</v>
      </c>
      <c r="J87" s="8">
        <f t="shared" si="34"/>
        <v>2025</v>
      </c>
      <c r="K87" s="8">
        <f t="shared" si="34"/>
        <v>2026</v>
      </c>
      <c r="L87" s="8">
        <f t="shared" si="34"/>
        <v>2027</v>
      </c>
      <c r="M87" s="8">
        <f t="shared" si="34"/>
        <v>2028</v>
      </c>
      <c r="N87" s="8">
        <f t="shared" si="34"/>
        <v>2029</v>
      </c>
    </row>
    <row r="88" spans="2:14">
      <c r="B88" s="22" t="s">
        <v>26</v>
      </c>
    </row>
    <row r="89" spans="2:14">
      <c r="C89" s="2" t="s">
        <v>47</v>
      </c>
      <c r="F89" s="50"/>
      <c r="G89" s="59">
        <v>851.5</v>
      </c>
      <c r="H89" s="59">
        <v>77.900000000000006</v>
      </c>
      <c r="I89" s="59">
        <v>20.7</v>
      </c>
      <c r="J89" s="34">
        <f>J78</f>
        <v>15.000000000003183</v>
      </c>
      <c r="K89" s="34">
        <f t="shared" ref="K89:N89" si="35">K78</f>
        <v>15.000000000003183</v>
      </c>
      <c r="L89" s="34">
        <f t="shared" si="35"/>
        <v>15.000000000003183</v>
      </c>
      <c r="M89" s="34">
        <f t="shared" si="35"/>
        <v>323.74099364057429</v>
      </c>
      <c r="N89" s="34">
        <f t="shared" si="35"/>
        <v>975.66291210219015</v>
      </c>
    </row>
    <row r="90" spans="2:14">
      <c r="C90" s="2" t="s">
        <v>27</v>
      </c>
      <c r="F90" s="50"/>
      <c r="G90" s="31">
        <v>2497.5</v>
      </c>
      <c r="H90" s="31">
        <v>2298.5</v>
      </c>
      <c r="I90" s="31">
        <v>2929.4</v>
      </c>
      <c r="J90" s="34">
        <f>J257</f>
        <v>2912.9780489811965</v>
      </c>
      <c r="K90" s="34">
        <f t="shared" ref="K90:N90" si="36">K257</f>
        <v>2980.8664276167601</v>
      </c>
      <c r="L90" s="34">
        <f t="shared" si="36"/>
        <v>3050.1360375503709</v>
      </c>
      <c r="M90" s="34">
        <f t="shared" si="36"/>
        <v>3112.2862292487921</v>
      </c>
      <c r="N90" s="34">
        <f t="shared" si="36"/>
        <v>3192.9240736112924</v>
      </c>
    </row>
    <row r="91" spans="2:14">
      <c r="C91" s="2" t="s">
        <v>28</v>
      </c>
      <c r="F91" s="50"/>
      <c r="G91" s="31">
        <v>2403</v>
      </c>
      <c r="H91" s="31">
        <v>2176</v>
      </c>
      <c r="I91" s="31">
        <v>2333.1</v>
      </c>
      <c r="J91" s="34">
        <f t="shared" ref="J91:N93" si="37">J258</f>
        <v>2243.886914850747</v>
      </c>
      <c r="K91" s="34">
        <f t="shared" si="37"/>
        <v>2296.2929683229204</v>
      </c>
      <c r="L91" s="34">
        <f t="shared" si="37"/>
        <v>2349.8977091680408</v>
      </c>
      <c r="M91" s="34">
        <f t="shared" si="37"/>
        <v>2398.1578270430805</v>
      </c>
      <c r="N91" s="34">
        <f t="shared" si="37"/>
        <v>2460.8117931992297</v>
      </c>
    </row>
    <row r="92" spans="2:14">
      <c r="C92" s="2" t="s">
        <v>65</v>
      </c>
      <c r="F92" s="50"/>
      <c r="G92" s="31">
        <v>147</v>
      </c>
      <c r="H92" s="31">
        <v>151.6</v>
      </c>
      <c r="I92" s="31">
        <v>144.1</v>
      </c>
      <c r="J92" s="34">
        <f t="shared" si="37"/>
        <v>160.27763677505334</v>
      </c>
      <c r="K92" s="34">
        <f t="shared" si="37"/>
        <v>164.02092630878002</v>
      </c>
      <c r="L92" s="34">
        <f t="shared" si="37"/>
        <v>167.84983636914578</v>
      </c>
      <c r="M92" s="34">
        <f t="shared" si="37"/>
        <v>171.29698764593431</v>
      </c>
      <c r="N92" s="34">
        <f t="shared" si="37"/>
        <v>175.77227094280209</v>
      </c>
    </row>
    <row r="93" spans="2:14">
      <c r="C93" s="32" t="s">
        <v>29</v>
      </c>
      <c r="F93" s="50"/>
      <c r="G93" s="30">
        <v>117.60000000000001</v>
      </c>
      <c r="H93" s="30">
        <v>118</v>
      </c>
      <c r="I93" s="30">
        <v>116.2</v>
      </c>
      <c r="J93" s="34">
        <f t="shared" si="37"/>
        <v>112.19434574253734</v>
      </c>
      <c r="K93" s="34">
        <f t="shared" si="37"/>
        <v>114.814648416146</v>
      </c>
      <c r="L93" s="34">
        <f t="shared" si="37"/>
        <v>117.49488545840204</v>
      </c>
      <c r="M93" s="34">
        <f t="shared" si="37"/>
        <v>119.90789135215401</v>
      </c>
      <c r="N93" s="34">
        <f t="shared" si="37"/>
        <v>123.04058965996147</v>
      </c>
    </row>
    <row r="94" spans="2:14">
      <c r="C94" s="27" t="s">
        <v>30</v>
      </c>
      <c r="F94" s="48"/>
      <c r="G94" s="55">
        <f>SUM(G89:G93)</f>
        <v>6016.6</v>
      </c>
      <c r="H94" s="55">
        <f t="shared" ref="H94:N94" si="38">SUM(H89:H93)</f>
        <v>4822</v>
      </c>
      <c r="I94" s="55">
        <f t="shared" si="38"/>
        <v>5543.5</v>
      </c>
      <c r="J94" s="60">
        <f t="shared" si="38"/>
        <v>5444.3369463495374</v>
      </c>
      <c r="K94" s="60">
        <f t="shared" si="38"/>
        <v>5570.9949706646094</v>
      </c>
      <c r="L94" s="60">
        <f t="shared" si="38"/>
        <v>5700.3784685459623</v>
      </c>
      <c r="M94" s="60">
        <f t="shared" si="38"/>
        <v>6125.3899289305355</v>
      </c>
      <c r="N94" s="60">
        <f t="shared" si="38"/>
        <v>6928.2116395154744</v>
      </c>
    </row>
    <row r="95" spans="2:14" ht="10.9" customHeight="1">
      <c r="F95" s="48"/>
      <c r="G95" s="31"/>
      <c r="H95" s="31"/>
      <c r="I95" s="31"/>
    </row>
    <row r="96" spans="2:14">
      <c r="C96" s="2" t="s">
        <v>31</v>
      </c>
      <c r="F96" s="50"/>
      <c r="G96" s="31">
        <v>14588.400000000001</v>
      </c>
      <c r="H96" s="31">
        <v>14866.300000000001</v>
      </c>
      <c r="I96" s="31">
        <v>15049.300000000001</v>
      </c>
      <c r="J96" s="138">
        <f>J203</f>
        <v>15310.488888888891</v>
      </c>
      <c r="K96" s="138">
        <f t="shared" ref="K96:N96" si="39">K203</f>
        <v>15438.344444444445</v>
      </c>
      <c r="L96" s="138">
        <f t="shared" si="39"/>
        <v>15916.200000000003</v>
      </c>
      <c r="M96" s="138">
        <f t="shared" si="39"/>
        <v>16227.388888888894</v>
      </c>
      <c r="N96" s="138">
        <f t="shared" si="39"/>
        <v>16371.911111111116</v>
      </c>
    </row>
    <row r="97" spans="2:14">
      <c r="C97" s="2" t="s">
        <v>32</v>
      </c>
      <c r="F97" s="50"/>
      <c r="G97" s="31">
        <v>6094.1</v>
      </c>
      <c r="H97" s="31">
        <v>5754.2</v>
      </c>
      <c r="I97" s="31">
        <v>5665.2</v>
      </c>
      <c r="J97" s="31">
        <f>I97</f>
        <v>5665.2</v>
      </c>
      <c r="K97" s="31">
        <f t="shared" ref="K97:N97" si="40">J97</f>
        <v>5665.2</v>
      </c>
      <c r="L97" s="31">
        <f t="shared" si="40"/>
        <v>5665.2</v>
      </c>
      <c r="M97" s="31">
        <f t="shared" si="40"/>
        <v>5665.2</v>
      </c>
      <c r="N97" s="31">
        <f t="shared" si="40"/>
        <v>5665.2</v>
      </c>
    </row>
    <row r="98" spans="2:14">
      <c r="C98" s="2" t="s">
        <v>33</v>
      </c>
      <c r="F98" s="50"/>
      <c r="G98" s="31">
        <v>687.5</v>
      </c>
      <c r="H98" s="31">
        <v>678.7</v>
      </c>
      <c r="I98" s="31">
        <v>615.6</v>
      </c>
      <c r="J98" s="31">
        <f t="shared" ref="J98:N99" si="41">I98</f>
        <v>615.6</v>
      </c>
      <c r="K98" s="31">
        <f t="shared" si="41"/>
        <v>615.6</v>
      </c>
      <c r="L98" s="31">
        <f t="shared" si="41"/>
        <v>615.6</v>
      </c>
      <c r="M98" s="31">
        <f t="shared" si="41"/>
        <v>615.6</v>
      </c>
      <c r="N98" s="31">
        <f t="shared" si="41"/>
        <v>615.6</v>
      </c>
    </row>
    <row r="99" spans="2:14">
      <c r="C99" s="32" t="s">
        <v>29</v>
      </c>
      <c r="F99" s="50"/>
      <c r="G99" s="31">
        <v>790.8</v>
      </c>
      <c r="H99" s="31">
        <v>800.1</v>
      </c>
      <c r="I99" s="31">
        <v>765.2</v>
      </c>
      <c r="J99" s="31">
        <f t="shared" si="41"/>
        <v>765.2</v>
      </c>
      <c r="K99" s="31">
        <f t="shared" si="41"/>
        <v>765.2</v>
      </c>
      <c r="L99" s="31">
        <f t="shared" si="41"/>
        <v>765.2</v>
      </c>
      <c r="M99" s="31">
        <f t="shared" si="41"/>
        <v>765.2</v>
      </c>
      <c r="N99" s="31">
        <f t="shared" si="41"/>
        <v>765.2</v>
      </c>
    </row>
    <row r="100" spans="2:14">
      <c r="C100" s="33" t="s">
        <v>34</v>
      </c>
      <c r="F100" s="50"/>
      <c r="G100" s="60">
        <f>SUM(G96:G99)</f>
        <v>22160.799999999999</v>
      </c>
      <c r="H100" s="60">
        <f t="shared" ref="H100:N100" si="42">SUM(H96:H99)</f>
        <v>22099.3</v>
      </c>
      <c r="I100" s="60">
        <f t="shared" si="42"/>
        <v>22095.3</v>
      </c>
      <c r="J100" s="60">
        <f t="shared" si="42"/>
        <v>22356.488888888889</v>
      </c>
      <c r="K100" s="60">
        <f t="shared" si="42"/>
        <v>22484.344444444443</v>
      </c>
      <c r="L100" s="60">
        <f t="shared" si="42"/>
        <v>22962.2</v>
      </c>
      <c r="M100" s="60">
        <f t="shared" si="42"/>
        <v>23273.388888888894</v>
      </c>
      <c r="N100" s="60">
        <f t="shared" si="42"/>
        <v>23417.911111111116</v>
      </c>
    </row>
    <row r="101" spans="2:14" ht="10.9" customHeight="1">
      <c r="C101" s="32"/>
      <c r="F101" s="48"/>
      <c r="G101" s="61"/>
      <c r="H101" s="61"/>
      <c r="I101" s="61"/>
    </row>
    <row r="102" spans="2:14" ht="13.5" thickBot="1">
      <c r="C102" s="22" t="s">
        <v>35</v>
      </c>
      <c r="F102" s="52"/>
      <c r="G102" s="62">
        <f>G94+G100</f>
        <v>28177.4</v>
      </c>
      <c r="H102" s="62">
        <f t="shared" ref="H102:N102" si="43">H94+H100</f>
        <v>26921.3</v>
      </c>
      <c r="I102" s="62">
        <f t="shared" si="43"/>
        <v>27638.799999999999</v>
      </c>
      <c r="J102" s="62">
        <f t="shared" si="43"/>
        <v>27800.825835238425</v>
      </c>
      <c r="K102" s="62">
        <f t="shared" si="43"/>
        <v>28055.339415109054</v>
      </c>
      <c r="L102" s="62">
        <f t="shared" si="43"/>
        <v>28662.578468545962</v>
      </c>
      <c r="M102" s="62">
        <f t="shared" si="43"/>
        <v>29398.778817819431</v>
      </c>
      <c r="N102" s="62">
        <f t="shared" si="43"/>
        <v>30346.12275062659</v>
      </c>
    </row>
    <row r="103" spans="2:14" ht="13.5" thickTop="1">
      <c r="F103" s="48"/>
      <c r="G103" s="48"/>
      <c r="H103" s="48"/>
      <c r="I103" s="48"/>
    </row>
    <row r="104" spans="2:14">
      <c r="F104" s="48"/>
      <c r="G104" s="48"/>
      <c r="H104" s="48"/>
      <c r="I104" s="48"/>
    </row>
    <row r="105" spans="2:14">
      <c r="B105" s="27" t="s">
        <v>36</v>
      </c>
      <c r="F105" s="48"/>
      <c r="G105" s="48"/>
      <c r="H105" s="48"/>
      <c r="I105" s="48"/>
    </row>
    <row r="106" spans="2:14">
      <c r="C106" s="32" t="s">
        <v>37</v>
      </c>
      <c r="F106" s="50"/>
      <c r="G106" s="49">
        <v>5256.1</v>
      </c>
      <c r="H106" s="49">
        <v>4497.8999999999996</v>
      </c>
      <c r="I106" s="49">
        <v>4987.8999999999996</v>
      </c>
      <c r="J106" s="34">
        <f>J264</f>
        <v>4808.3291032515999</v>
      </c>
      <c r="K106" s="34">
        <f t="shared" ref="K106:N107" si="44">K264</f>
        <v>4920.6277892633998</v>
      </c>
      <c r="L106" s="34">
        <f t="shared" si="44"/>
        <v>5035.4950910743728</v>
      </c>
      <c r="M106" s="34">
        <f t="shared" si="44"/>
        <v>5138.9096293780294</v>
      </c>
      <c r="N106" s="34">
        <f t="shared" si="44"/>
        <v>5273.1681282840627</v>
      </c>
    </row>
    <row r="107" spans="2:14">
      <c r="C107" s="32" t="s">
        <v>29</v>
      </c>
      <c r="F107" s="50"/>
      <c r="G107" s="30">
        <v>234.5</v>
      </c>
      <c r="H107" s="30">
        <v>254.1</v>
      </c>
      <c r="I107" s="30">
        <v>253.3</v>
      </c>
      <c r="J107" s="34">
        <f>J265</f>
        <v>240.41645516257998</v>
      </c>
      <c r="K107" s="34">
        <f t="shared" si="44"/>
        <v>246.03138946317</v>
      </c>
      <c r="L107" s="34">
        <f t="shared" si="44"/>
        <v>251.77475455371862</v>
      </c>
      <c r="M107" s="34">
        <f t="shared" si="44"/>
        <v>256.94548146890151</v>
      </c>
      <c r="N107" s="34">
        <f t="shared" si="44"/>
        <v>263.65840641420311</v>
      </c>
    </row>
    <row r="108" spans="2:14">
      <c r="C108" s="27" t="s">
        <v>38</v>
      </c>
      <c r="F108" s="48"/>
      <c r="G108" s="55">
        <f>SUM(G106:G107)</f>
        <v>5490.6</v>
      </c>
      <c r="H108" s="55">
        <f>SUM(H106:H107)</f>
        <v>4752</v>
      </c>
      <c r="I108" s="55">
        <f>SUM(I106:I107)</f>
        <v>5241.2</v>
      </c>
      <c r="J108" s="60">
        <f t="shared" ref="J108:N108" si="45">SUM(J106:J107)</f>
        <v>5048.7455584141799</v>
      </c>
      <c r="K108" s="60">
        <f t="shared" si="45"/>
        <v>5166.6591787265697</v>
      </c>
      <c r="L108" s="60">
        <f t="shared" si="45"/>
        <v>5287.2698456280914</v>
      </c>
      <c r="M108" s="60">
        <f t="shared" si="45"/>
        <v>5395.855110846931</v>
      </c>
      <c r="N108" s="60">
        <f t="shared" si="45"/>
        <v>5536.8265346982662</v>
      </c>
    </row>
    <row r="109" spans="2:14" ht="10.9" customHeight="1">
      <c r="F109" s="48"/>
      <c r="G109" s="48"/>
      <c r="H109" s="48"/>
      <c r="I109" s="48"/>
    </row>
    <row r="110" spans="2:14" ht="10.9" customHeight="1">
      <c r="C110" s="2" t="s">
        <v>176</v>
      </c>
      <c r="F110" s="48"/>
      <c r="G110" s="31">
        <v>0</v>
      </c>
      <c r="H110" s="31">
        <v>0</v>
      </c>
      <c r="I110" s="31">
        <v>0</v>
      </c>
      <c r="J110" s="34">
        <f>J339</f>
        <v>123.12100951875748</v>
      </c>
      <c r="K110" s="34">
        <f t="shared" ref="K110:N110" si="46">K339</f>
        <v>3.7204853161984914</v>
      </c>
      <c r="L110" s="34">
        <f t="shared" si="46"/>
        <v>159.7001114118022</v>
      </c>
      <c r="M110" s="34">
        <f t="shared" si="46"/>
        <v>0</v>
      </c>
      <c r="N110" s="34">
        <f t="shared" si="46"/>
        <v>0</v>
      </c>
    </row>
    <row r="111" spans="2:14">
      <c r="C111" s="32" t="s">
        <v>48</v>
      </c>
      <c r="F111" s="63"/>
      <c r="G111" s="31">
        <v>6963.6</v>
      </c>
      <c r="H111" s="31">
        <v>6817.7000000000007</v>
      </c>
      <c r="I111" s="31">
        <v>6614.7000000000007</v>
      </c>
      <c r="J111" s="34">
        <f>J348</f>
        <v>6364.7000000000007</v>
      </c>
      <c r="K111" s="34">
        <f t="shared" ref="K111:N111" si="47">K348</f>
        <v>6114.7000000000007</v>
      </c>
      <c r="L111" s="34">
        <f t="shared" si="47"/>
        <v>5864.7000000000007</v>
      </c>
      <c r="M111" s="34">
        <f t="shared" si="47"/>
        <v>5614.7000000000007</v>
      </c>
      <c r="N111" s="34">
        <f t="shared" si="47"/>
        <v>5364.7000000000007</v>
      </c>
    </row>
    <row r="112" spans="2:14">
      <c r="C112" s="32" t="s">
        <v>49</v>
      </c>
      <c r="F112" s="63"/>
      <c r="G112" s="31">
        <v>4049.5</v>
      </c>
      <c r="H112" s="31">
        <v>3610.6</v>
      </c>
      <c r="I112" s="31">
        <v>3131.7</v>
      </c>
      <c r="J112" s="34">
        <f>J357</f>
        <v>2631.7</v>
      </c>
      <c r="K112" s="34">
        <f t="shared" ref="K112:N112" si="48">K357</f>
        <v>2131.6999999999998</v>
      </c>
      <c r="L112" s="34">
        <f t="shared" si="48"/>
        <v>1631.6999999999998</v>
      </c>
      <c r="M112" s="34">
        <f t="shared" si="48"/>
        <v>1131.6999999999998</v>
      </c>
      <c r="N112" s="34">
        <f t="shared" si="48"/>
        <v>631.69999999999982</v>
      </c>
    </row>
    <row r="113" spans="2:14">
      <c r="C113" s="2" t="s">
        <v>12</v>
      </c>
      <c r="F113" s="63"/>
      <c r="G113" s="31">
        <v>582.70000000000005</v>
      </c>
      <c r="H113" s="31">
        <v>831.40000000000009</v>
      </c>
      <c r="I113" s="31">
        <v>1033.3000000000002</v>
      </c>
      <c r="J113" s="122">
        <f>I113+J52</f>
        <v>1138.3000000000002</v>
      </c>
      <c r="K113" s="122">
        <f t="shared" ref="K113:N113" si="49">J113+K52</f>
        <v>1243.3000000000002</v>
      </c>
      <c r="L113" s="122">
        <f t="shared" si="49"/>
        <v>1348.3000000000002</v>
      </c>
      <c r="M113" s="122">
        <f t="shared" si="49"/>
        <v>1453.3000000000002</v>
      </c>
      <c r="N113" s="122">
        <f t="shared" si="49"/>
        <v>1558.3000000000002</v>
      </c>
    </row>
    <row r="114" spans="2:14">
      <c r="C114" s="32" t="s">
        <v>29</v>
      </c>
      <c r="F114" s="63"/>
      <c r="G114" s="30">
        <v>240.8</v>
      </c>
      <c r="H114" s="30">
        <v>235.1</v>
      </c>
      <c r="I114" s="30">
        <v>254.3</v>
      </c>
      <c r="J114" s="59">
        <f>I114</f>
        <v>254.3</v>
      </c>
      <c r="K114" s="59">
        <f t="shared" ref="K114:N114" si="50">J114</f>
        <v>254.3</v>
      </c>
      <c r="L114" s="59">
        <f t="shared" si="50"/>
        <v>254.3</v>
      </c>
      <c r="M114" s="59">
        <f t="shared" si="50"/>
        <v>254.3</v>
      </c>
      <c r="N114" s="59">
        <f t="shared" si="50"/>
        <v>254.3</v>
      </c>
    </row>
    <row r="115" spans="2:14">
      <c r="C115" s="33" t="s">
        <v>39</v>
      </c>
      <c r="F115" s="50"/>
      <c r="G115" s="55">
        <f>SUM(G110:G114)</f>
        <v>11836.6</v>
      </c>
      <c r="H115" s="55">
        <f t="shared" ref="H115:N115" si="51">SUM(H110:H114)</f>
        <v>11494.800000000001</v>
      </c>
      <c r="I115" s="55">
        <f t="shared" si="51"/>
        <v>11034</v>
      </c>
      <c r="J115" s="60">
        <f t="shared" si="51"/>
        <v>10512.121009518756</v>
      </c>
      <c r="K115" s="60">
        <f t="shared" si="51"/>
        <v>9747.7204853161966</v>
      </c>
      <c r="L115" s="60">
        <f t="shared" si="51"/>
        <v>9258.7001114118029</v>
      </c>
      <c r="M115" s="60">
        <f t="shared" si="51"/>
        <v>8454</v>
      </c>
      <c r="N115" s="60">
        <f t="shared" si="51"/>
        <v>7809.0000000000009</v>
      </c>
    </row>
    <row r="116" spans="2:14" ht="10.9" customHeight="1">
      <c r="C116" s="27"/>
      <c r="F116" s="48"/>
      <c r="G116" s="61"/>
      <c r="H116" s="61"/>
      <c r="I116" s="61"/>
    </row>
    <row r="117" spans="2:14">
      <c r="C117" s="33" t="s">
        <v>40</v>
      </c>
      <c r="F117" s="52"/>
      <c r="G117" s="29">
        <f>G108+G115</f>
        <v>17327.2</v>
      </c>
      <c r="H117" s="29">
        <f t="shared" ref="H117:N117" si="52">H108+H115</f>
        <v>16246.800000000001</v>
      </c>
      <c r="I117" s="29">
        <f t="shared" si="52"/>
        <v>16275.2</v>
      </c>
      <c r="J117" s="29">
        <f t="shared" si="52"/>
        <v>15560.866567932935</v>
      </c>
      <c r="K117" s="29">
        <f t="shared" si="52"/>
        <v>14914.379664042766</v>
      </c>
      <c r="L117" s="29">
        <f t="shared" si="52"/>
        <v>14545.969957039895</v>
      </c>
      <c r="M117" s="29">
        <f t="shared" si="52"/>
        <v>13849.855110846931</v>
      </c>
      <c r="N117" s="29">
        <f t="shared" si="52"/>
        <v>13345.826534698266</v>
      </c>
    </row>
    <row r="118" spans="2:14" ht="10.9" customHeight="1">
      <c r="F118" s="48"/>
      <c r="G118" s="48"/>
      <c r="H118" s="48"/>
      <c r="I118" s="48"/>
    </row>
    <row r="119" spans="2:14" ht="10.9" customHeight="1">
      <c r="C119" s="2" t="s">
        <v>112</v>
      </c>
      <c r="F119" s="48"/>
      <c r="G119" s="31">
        <v>0</v>
      </c>
      <c r="H119" s="31">
        <v>0</v>
      </c>
      <c r="I119" s="31">
        <v>0</v>
      </c>
      <c r="J119" s="34">
        <f>J287</f>
        <v>0</v>
      </c>
      <c r="K119" s="34">
        <f t="shared" ref="K119:N119" si="53">K287</f>
        <v>0</v>
      </c>
      <c r="L119" s="34">
        <f t="shared" si="53"/>
        <v>50</v>
      </c>
      <c r="M119" s="34">
        <f t="shared" si="53"/>
        <v>50</v>
      </c>
      <c r="N119" s="34">
        <f t="shared" si="53"/>
        <v>50</v>
      </c>
    </row>
    <row r="120" spans="2:14">
      <c r="C120" s="2" t="s">
        <v>54</v>
      </c>
      <c r="F120" s="48"/>
      <c r="G120" s="31">
        <v>3465.7</v>
      </c>
      <c r="H120" s="31">
        <v>2273.1999999999998</v>
      </c>
      <c r="I120" s="31">
        <v>1624.1</v>
      </c>
      <c r="J120" s="34">
        <f>J295</f>
        <v>1124.0999999999999</v>
      </c>
      <c r="K120" s="34">
        <f t="shared" ref="K120:N120" si="54">K295</f>
        <v>624.09999999999991</v>
      </c>
      <c r="L120" s="34">
        <f t="shared" si="54"/>
        <v>124.09999999999991</v>
      </c>
      <c r="M120" s="34">
        <f t="shared" si="54"/>
        <v>124.09999999999991</v>
      </c>
      <c r="N120" s="34">
        <f t="shared" si="54"/>
        <v>124.09999999999991</v>
      </c>
    </row>
    <row r="121" spans="2:14">
      <c r="C121" s="2" t="s">
        <v>41</v>
      </c>
      <c r="F121" s="48"/>
      <c r="G121" s="31">
        <v>7261</v>
      </c>
      <c r="H121" s="31">
        <v>8270.1</v>
      </c>
      <c r="I121" s="31">
        <v>9612.9</v>
      </c>
      <c r="J121" s="34">
        <f>J304</f>
        <v>10989.259267305486</v>
      </c>
      <c r="K121" s="34">
        <f t="shared" ref="K121:N121" si="55">K304</f>
        <v>12390.259751066282</v>
      </c>
      <c r="L121" s="34">
        <f t="shared" si="55"/>
        <v>13815.908511506064</v>
      </c>
      <c r="M121" s="34">
        <f t="shared" si="55"/>
        <v>15248.223706972491</v>
      </c>
      <c r="N121" s="34">
        <f t="shared" si="55"/>
        <v>16699.596215928319</v>
      </c>
    </row>
    <row r="122" spans="2:14">
      <c r="C122" s="2" t="s">
        <v>29</v>
      </c>
      <c r="F122" s="48"/>
      <c r="G122" s="30">
        <v>123.5</v>
      </c>
      <c r="H122" s="30">
        <v>131.19999999999999</v>
      </c>
      <c r="I122" s="30">
        <v>126.6</v>
      </c>
      <c r="J122" s="59">
        <f>I122</f>
        <v>126.6</v>
      </c>
      <c r="K122" s="59">
        <f t="shared" ref="K122:N122" si="56">J122</f>
        <v>126.6</v>
      </c>
      <c r="L122" s="59">
        <f t="shared" si="56"/>
        <v>126.6</v>
      </c>
      <c r="M122" s="59">
        <f t="shared" si="56"/>
        <v>126.6</v>
      </c>
      <c r="N122" s="59">
        <f t="shared" si="56"/>
        <v>126.6</v>
      </c>
    </row>
    <row r="123" spans="2:14">
      <c r="C123" s="27" t="s">
        <v>42</v>
      </c>
      <c r="F123" s="50"/>
      <c r="G123" s="29">
        <f>SUM(G119:G122)</f>
        <v>10850.2</v>
      </c>
      <c r="H123" s="29">
        <f t="shared" ref="H123:N123" si="57">SUM(H119:H122)</f>
        <v>10674.5</v>
      </c>
      <c r="I123" s="29">
        <f t="shared" si="57"/>
        <v>11363.6</v>
      </c>
      <c r="J123" s="131">
        <f t="shared" si="57"/>
        <v>12239.959267305487</v>
      </c>
      <c r="K123" s="131">
        <f t="shared" si="57"/>
        <v>13140.959751066282</v>
      </c>
      <c r="L123" s="131">
        <f t="shared" si="57"/>
        <v>14116.608511506065</v>
      </c>
      <c r="M123" s="131">
        <f t="shared" si="57"/>
        <v>15548.923706972491</v>
      </c>
      <c r="N123" s="131">
        <f t="shared" si="57"/>
        <v>17000.296215928316</v>
      </c>
    </row>
    <row r="124" spans="2:14">
      <c r="F124" s="48"/>
      <c r="G124" s="48"/>
      <c r="H124" s="48"/>
      <c r="I124" s="48"/>
    </row>
    <row r="125" spans="2:14" ht="13.5" thickBot="1">
      <c r="B125" s="27" t="s">
        <v>43</v>
      </c>
      <c r="F125" s="52"/>
      <c r="G125" s="62">
        <f>G123+G117</f>
        <v>28177.4</v>
      </c>
      <c r="H125" s="62">
        <f>H123+H117</f>
        <v>26921.300000000003</v>
      </c>
      <c r="I125" s="62">
        <f>I123+I117</f>
        <v>27638.800000000003</v>
      </c>
      <c r="J125" s="62">
        <f t="shared" ref="J125:N125" si="58">J123+J117</f>
        <v>27800.825835238422</v>
      </c>
      <c r="K125" s="62">
        <f t="shared" si="58"/>
        <v>28055.339415109047</v>
      </c>
      <c r="L125" s="62">
        <f t="shared" si="58"/>
        <v>28662.578468545958</v>
      </c>
      <c r="M125" s="62">
        <f t="shared" si="58"/>
        <v>29398.778817819424</v>
      </c>
      <c r="N125" s="62">
        <f t="shared" si="58"/>
        <v>30346.122750626582</v>
      </c>
    </row>
    <row r="126" spans="2:14" ht="6" customHeight="1" thickTop="1">
      <c r="F126" s="64"/>
      <c r="G126" s="64"/>
      <c r="H126" s="64"/>
      <c r="I126" s="64"/>
    </row>
    <row r="127" spans="2:14" ht="6" customHeight="1">
      <c r="B127" s="65"/>
      <c r="C127" s="39"/>
      <c r="D127" s="39"/>
      <c r="E127" s="111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2:14" ht="8.25" customHeight="1">
      <c r="B128" s="46"/>
    </row>
    <row r="129" spans="2:14">
      <c r="C129" s="132" t="s">
        <v>129</v>
      </c>
      <c r="G129" s="133">
        <f>G125-G102</f>
        <v>0</v>
      </c>
      <c r="H129" s="133">
        <f>H125-H102</f>
        <v>0</v>
      </c>
      <c r="I129" s="133">
        <f>I125-I102</f>
        <v>0</v>
      </c>
      <c r="J129" s="133">
        <f t="shared" ref="J129:N129" si="59">J125-J102</f>
        <v>0</v>
      </c>
      <c r="K129" s="133">
        <f t="shared" si="59"/>
        <v>0</v>
      </c>
      <c r="L129" s="133">
        <f>L125-L102</f>
        <v>0</v>
      </c>
      <c r="M129" s="133">
        <f t="shared" si="59"/>
        <v>0</v>
      </c>
      <c r="N129" s="133">
        <f t="shared" si="59"/>
        <v>0</v>
      </c>
    </row>
    <row r="130" spans="2:14" ht="5.25" customHeight="1">
      <c r="B130" s="39"/>
      <c r="C130" s="39"/>
      <c r="D130" s="39"/>
      <c r="E130" s="111"/>
      <c r="F130" s="39"/>
      <c r="G130" s="39"/>
      <c r="H130" s="39"/>
      <c r="I130" s="39"/>
      <c r="J130" s="39"/>
      <c r="K130" s="39"/>
      <c r="L130" s="39"/>
      <c r="M130" s="39"/>
      <c r="N130" s="39"/>
    </row>
    <row r="133" spans="2:14">
      <c r="B133" s="22"/>
      <c r="G133" s="43"/>
      <c r="H133" s="43"/>
      <c r="I133" s="43"/>
      <c r="L133" s="22" t="str">
        <f>$L$1</f>
        <v>CURRENTLY RUNNING: BASE CASE</v>
      </c>
    </row>
    <row r="134" spans="2:14" ht="23.25">
      <c r="B134" s="1" t="str">
        <f>Cover!$B$9</f>
        <v>Night Owl Inc.</v>
      </c>
      <c r="C134" s="44"/>
      <c r="D134" s="44"/>
      <c r="E134" s="112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2:14" ht="18.75">
      <c r="B135" s="3" t="s">
        <v>68</v>
      </c>
      <c r="C135" s="44"/>
      <c r="D135" s="44"/>
      <c r="E135" s="112"/>
      <c r="F135" s="44"/>
      <c r="G135" s="44"/>
      <c r="H135" s="44"/>
      <c r="I135" s="44"/>
      <c r="J135" s="44"/>
      <c r="K135" s="44"/>
      <c r="L135" s="44"/>
      <c r="M135" s="44"/>
      <c r="N135" s="44"/>
    </row>
    <row r="136" spans="2:14" ht="2.25" customHeight="1" thickBot="1">
      <c r="B136" s="4"/>
      <c r="C136" s="45"/>
      <c r="D136" s="45"/>
      <c r="E136" s="113"/>
      <c r="F136" s="45"/>
      <c r="G136" s="45"/>
      <c r="H136" s="45"/>
      <c r="I136" s="45"/>
      <c r="J136" s="45"/>
      <c r="K136" s="45"/>
      <c r="L136" s="45"/>
      <c r="M136" s="45"/>
      <c r="N136" s="45"/>
    </row>
    <row r="137" spans="2:14" ht="9" customHeight="1">
      <c r="B137" s="5"/>
    </row>
    <row r="138" spans="2:14">
      <c r="J138" s="74" t="s">
        <v>67</v>
      </c>
      <c r="K138" s="75"/>
      <c r="L138" s="75"/>
      <c r="M138" s="75"/>
      <c r="N138" s="75"/>
    </row>
    <row r="139" spans="2:14">
      <c r="B139" s="46"/>
      <c r="F139" s="47"/>
      <c r="G139" s="8"/>
      <c r="H139" s="8"/>
      <c r="I139" s="8">
        <f t="shared" ref="I139:N139" si="60">I$8</f>
        <v>2024</v>
      </c>
      <c r="J139" s="8">
        <f t="shared" si="60"/>
        <v>2025</v>
      </c>
      <c r="K139" s="8">
        <f t="shared" si="60"/>
        <v>2026</v>
      </c>
      <c r="L139" s="8">
        <f t="shared" si="60"/>
        <v>2027</v>
      </c>
      <c r="M139" s="8">
        <f t="shared" si="60"/>
        <v>2028</v>
      </c>
      <c r="N139" s="8">
        <f t="shared" si="60"/>
        <v>2029</v>
      </c>
    </row>
    <row r="141" spans="2:14">
      <c r="B141" s="212" t="s">
        <v>117</v>
      </c>
      <c r="C141" s="10"/>
      <c r="D141" s="10"/>
      <c r="E141" s="108"/>
      <c r="F141" s="10"/>
      <c r="G141" s="10"/>
      <c r="H141" s="10"/>
      <c r="I141" s="10"/>
      <c r="J141" s="234">
        <f>Scenarios!J11</f>
        <v>120</v>
      </c>
      <c r="K141" s="234">
        <f>Scenarios!K11</f>
        <v>120</v>
      </c>
      <c r="L141" s="234">
        <f>Scenarios!L11</f>
        <v>120</v>
      </c>
      <c r="M141" s="234">
        <f>Scenarios!M11</f>
        <v>120</v>
      </c>
      <c r="N141" s="235">
        <f>Scenarios!N11</f>
        <v>120</v>
      </c>
    </row>
    <row r="142" spans="2:14">
      <c r="B142" s="216" t="s">
        <v>83</v>
      </c>
      <c r="C142" s="18"/>
      <c r="D142" s="18"/>
      <c r="E142" s="109" t="s">
        <v>84</v>
      </c>
      <c r="F142" s="18"/>
      <c r="G142" s="18"/>
      <c r="H142" s="18"/>
      <c r="I142" s="18"/>
      <c r="J142" s="236">
        <f>Scenarios!J18</f>
        <v>1.4999999999999999E-2</v>
      </c>
      <c r="K142" s="236">
        <f>Scenarios!K18</f>
        <v>1.4999999999999999E-2</v>
      </c>
      <c r="L142" s="236">
        <f>Scenarios!L18</f>
        <v>1.4999999999999999E-2</v>
      </c>
      <c r="M142" s="236">
        <f>Scenarios!M18</f>
        <v>1.4999999999999999E-2</v>
      </c>
      <c r="N142" s="237">
        <f>Scenarios!N18</f>
        <v>1.4999999999999999E-2</v>
      </c>
    </row>
    <row r="144" spans="2:14">
      <c r="B144" s="22" t="s">
        <v>79</v>
      </c>
      <c r="I144" s="114">
        <f>Assumptions!G12</f>
        <v>14545</v>
      </c>
      <c r="J144" s="117">
        <f>I144+J141</f>
        <v>14665</v>
      </c>
      <c r="K144" s="117">
        <f t="shared" ref="K144:N144" si="61">J144+K141</f>
        <v>14785</v>
      </c>
      <c r="L144" s="117">
        <f t="shared" si="61"/>
        <v>14905</v>
      </c>
      <c r="M144" s="117">
        <f t="shared" si="61"/>
        <v>15025</v>
      </c>
      <c r="N144" s="117">
        <f t="shared" si="61"/>
        <v>15145</v>
      </c>
    </row>
    <row r="145" spans="1:14">
      <c r="B145" s="22" t="s">
        <v>80</v>
      </c>
      <c r="E145" s="81" t="s">
        <v>120</v>
      </c>
      <c r="I145" s="114">
        <f>Assumptions!G13</f>
        <v>30600</v>
      </c>
      <c r="J145" s="117">
        <f>J147*J144</f>
        <v>30852.45788930904</v>
      </c>
      <c r="K145" s="117">
        <f t="shared" ref="K145:N145" si="62">K147*K144</f>
        <v>31104.91577861808</v>
      </c>
      <c r="L145" s="117">
        <f t="shared" si="62"/>
        <v>31357.373667927124</v>
      </c>
      <c r="M145" s="117">
        <f t="shared" si="62"/>
        <v>31609.831557236164</v>
      </c>
      <c r="N145" s="117">
        <f t="shared" si="62"/>
        <v>31862.289446545205</v>
      </c>
    </row>
    <row r="146" spans="1:14">
      <c r="B146" s="22"/>
    </row>
    <row r="147" spans="1:14">
      <c r="B147" s="22" t="s">
        <v>118</v>
      </c>
      <c r="E147" s="81" t="s">
        <v>120</v>
      </c>
      <c r="I147" s="115">
        <f>I145/I144</f>
        <v>2.1038157442420076</v>
      </c>
      <c r="J147" s="118">
        <f>I147</f>
        <v>2.1038157442420076</v>
      </c>
      <c r="K147" s="118">
        <f t="shared" ref="K147:N147" si="63">J147</f>
        <v>2.1038157442420076</v>
      </c>
      <c r="L147" s="118">
        <f t="shared" si="63"/>
        <v>2.1038157442420076</v>
      </c>
      <c r="M147" s="118">
        <f t="shared" si="63"/>
        <v>2.1038157442420076</v>
      </c>
      <c r="N147" s="118">
        <f t="shared" si="63"/>
        <v>2.1038157442420076</v>
      </c>
    </row>
    <row r="148" spans="1:14">
      <c r="B148" s="22"/>
    </row>
    <row r="149" spans="1:14">
      <c r="B149" s="22" t="s">
        <v>119</v>
      </c>
      <c r="E149" s="81" t="s">
        <v>121</v>
      </c>
      <c r="I149" s="116">
        <f>I151*1000/I145</f>
        <v>2263.5130718954247</v>
      </c>
      <c r="J149" s="116">
        <f>I149*(1+J142)</f>
        <v>2297.4657679738557</v>
      </c>
      <c r="K149" s="116">
        <f t="shared" ref="K149:N149" si="64">J149*(1+K142)</f>
        <v>2331.9277544934635</v>
      </c>
      <c r="L149" s="116">
        <f t="shared" si="64"/>
        <v>2366.9066708108653</v>
      </c>
      <c r="M149" s="116">
        <f t="shared" si="64"/>
        <v>2402.4102708730279</v>
      </c>
      <c r="N149" s="116">
        <f t="shared" si="64"/>
        <v>2438.4464249361231</v>
      </c>
    </row>
    <row r="150" spans="1:14">
      <c r="B150" s="22"/>
    </row>
    <row r="151" spans="1:14" ht="13.5" thickBot="1">
      <c r="B151" s="22" t="s">
        <v>63</v>
      </c>
      <c r="E151" s="110" t="s">
        <v>88</v>
      </c>
      <c r="F151" s="22"/>
      <c r="G151" s="22"/>
      <c r="H151" s="22"/>
      <c r="I151" s="123">
        <f>I14</f>
        <v>69263.5</v>
      </c>
      <c r="J151" s="124">
        <f>J149*J145/1000</f>
        <v>70882.465858542448</v>
      </c>
      <c r="K151" s="124">
        <f t="shared" ref="K151:N151" si="65">K149*K145/1000</f>
        <v>72534.416405341166</v>
      </c>
      <c r="L151" s="124">
        <f t="shared" si="65"/>
        <v>74219.976913725695</v>
      </c>
      <c r="M151" s="124">
        <f t="shared" si="65"/>
        <v>75939.783993670528</v>
      </c>
      <c r="N151" s="124">
        <f t="shared" si="65"/>
        <v>77694.485791208121</v>
      </c>
    </row>
    <row r="152" spans="1:14" ht="13.5" thickTop="1">
      <c r="A152" s="134"/>
      <c r="B152" s="39"/>
      <c r="C152" s="39"/>
      <c r="D152" s="39"/>
      <c r="E152" s="111"/>
      <c r="F152" s="39"/>
      <c r="G152" s="39"/>
      <c r="H152" s="39"/>
      <c r="I152" s="39"/>
      <c r="J152" s="39"/>
      <c r="K152" s="39"/>
      <c r="L152" s="39"/>
      <c r="M152" s="39"/>
      <c r="N152" s="39"/>
    </row>
    <row r="154" spans="1:14">
      <c r="B154" s="22"/>
      <c r="G154" s="43"/>
      <c r="H154" s="43"/>
      <c r="I154" s="43"/>
      <c r="L154" s="22" t="str">
        <f>$L$1</f>
        <v>CURRENTLY RUNNING: BASE CASE</v>
      </c>
    </row>
    <row r="155" spans="1:14" ht="23.25">
      <c r="B155" s="1" t="str">
        <f>Cover!$B$9</f>
        <v>Night Owl Inc.</v>
      </c>
      <c r="C155" s="44"/>
      <c r="D155" s="44"/>
      <c r="E155" s="112"/>
      <c r="F155" s="44"/>
      <c r="G155" s="44"/>
      <c r="H155" s="44"/>
      <c r="I155" s="44"/>
      <c r="J155" s="44"/>
      <c r="K155" s="44"/>
      <c r="L155" s="44"/>
      <c r="M155" s="44"/>
      <c r="N155" s="44"/>
    </row>
    <row r="156" spans="1:14" ht="18.75">
      <c r="B156" s="3" t="s">
        <v>122</v>
      </c>
      <c r="C156" s="44"/>
      <c r="D156" s="44"/>
      <c r="E156" s="112"/>
      <c r="F156" s="44"/>
      <c r="G156" s="44"/>
      <c r="H156" s="44"/>
      <c r="I156" s="44"/>
      <c r="J156" s="44"/>
      <c r="K156" s="44"/>
      <c r="L156" s="44"/>
      <c r="M156" s="44"/>
      <c r="N156" s="44"/>
    </row>
    <row r="157" spans="1:14" ht="3" customHeight="1" thickBot="1">
      <c r="B157" s="4"/>
      <c r="C157" s="45"/>
      <c r="D157" s="45"/>
      <c r="E157" s="113"/>
      <c r="F157" s="45"/>
      <c r="G157" s="45"/>
      <c r="H157" s="45"/>
      <c r="I157" s="45"/>
      <c r="J157" s="45"/>
      <c r="K157" s="45"/>
      <c r="L157" s="45"/>
      <c r="M157" s="45"/>
      <c r="N157" s="45"/>
    </row>
    <row r="158" spans="1:14" ht="9" customHeight="1">
      <c r="B158" s="5"/>
    </row>
    <row r="159" spans="1:14">
      <c r="J159" s="74" t="s">
        <v>67</v>
      </c>
      <c r="K159" s="75"/>
      <c r="L159" s="75"/>
      <c r="M159" s="75"/>
      <c r="N159" s="75"/>
    </row>
    <row r="160" spans="1:14">
      <c r="B160" s="46"/>
      <c r="F160" s="47"/>
      <c r="G160" s="8"/>
      <c r="H160" s="8"/>
      <c r="I160" s="8">
        <f t="shared" ref="I160:N160" si="66">I$8</f>
        <v>2024</v>
      </c>
      <c r="J160" s="8">
        <f t="shared" si="66"/>
        <v>2025</v>
      </c>
      <c r="K160" s="8">
        <f t="shared" si="66"/>
        <v>2026</v>
      </c>
      <c r="L160" s="8">
        <f t="shared" si="66"/>
        <v>2027</v>
      </c>
      <c r="M160" s="8">
        <f t="shared" si="66"/>
        <v>2028</v>
      </c>
      <c r="N160" s="8">
        <f t="shared" si="66"/>
        <v>2029</v>
      </c>
    </row>
    <row r="162" spans="2:14">
      <c r="B162" s="212" t="s">
        <v>87</v>
      </c>
      <c r="C162" s="10"/>
      <c r="D162" s="10"/>
      <c r="E162" s="108" t="s">
        <v>84</v>
      </c>
      <c r="F162" s="10"/>
      <c r="G162" s="10"/>
      <c r="H162" s="10"/>
      <c r="I162" s="10"/>
      <c r="J162" s="229">
        <f>Scenarios!J25</f>
        <v>0.02</v>
      </c>
      <c r="K162" s="229">
        <f>Scenarios!K25</f>
        <v>0.02</v>
      </c>
      <c r="L162" s="229">
        <f>Scenarios!L25</f>
        <v>0.02</v>
      </c>
      <c r="M162" s="229">
        <f>Scenarios!M25</f>
        <v>0.02</v>
      </c>
      <c r="N162" s="230">
        <f>Scenarios!N25</f>
        <v>0.02</v>
      </c>
    </row>
    <row r="163" spans="2:14">
      <c r="B163" s="216" t="s">
        <v>124</v>
      </c>
      <c r="C163" s="18"/>
      <c r="D163" s="18"/>
      <c r="E163" s="109" t="s">
        <v>84</v>
      </c>
      <c r="F163" s="18"/>
      <c r="G163" s="18"/>
      <c r="H163" s="18"/>
      <c r="I163" s="231">
        <f>Assumptions!G19</f>
        <v>0.4</v>
      </c>
      <c r="J163" s="232"/>
      <c r="K163" s="231"/>
      <c r="L163" s="231"/>
      <c r="M163" s="231"/>
      <c r="N163" s="233"/>
    </row>
    <row r="164" spans="2:14">
      <c r="B164" s="105"/>
      <c r="I164" s="121"/>
      <c r="J164" s="120"/>
      <c r="K164" s="121"/>
      <c r="L164" s="121"/>
      <c r="M164" s="121"/>
      <c r="N164" s="121"/>
    </row>
    <row r="165" spans="2:14">
      <c r="B165" s="22" t="s">
        <v>80</v>
      </c>
      <c r="E165" s="81" t="s">
        <v>120</v>
      </c>
      <c r="I165" s="117">
        <f>I145</f>
        <v>30600</v>
      </c>
      <c r="J165" s="117">
        <f t="shared" ref="J165:N165" si="67">J145</f>
        <v>30852.45788930904</v>
      </c>
      <c r="K165" s="117">
        <f t="shared" si="67"/>
        <v>31104.91577861808</v>
      </c>
      <c r="L165" s="117">
        <f t="shared" si="67"/>
        <v>31357.373667927124</v>
      </c>
      <c r="M165" s="117">
        <f t="shared" si="67"/>
        <v>31609.831557236164</v>
      </c>
      <c r="N165" s="117">
        <f t="shared" si="67"/>
        <v>31862.289446545205</v>
      </c>
    </row>
    <row r="167" spans="2:14">
      <c r="B167" s="22" t="s">
        <v>123</v>
      </c>
    </row>
    <row r="168" spans="2:14">
      <c r="C168" s="2" t="s">
        <v>125</v>
      </c>
      <c r="E168" s="81" t="s">
        <v>121</v>
      </c>
      <c r="I168" s="64">
        <f>I173*1000/I$165</f>
        <v>747.2627450980392</v>
      </c>
      <c r="J168" s="64">
        <f>I168*(1+J162)</f>
        <v>762.20799999999997</v>
      </c>
      <c r="K168" s="64">
        <f t="shared" ref="K168:N168" si="68">J168*(1+K162)</f>
        <v>777.45215999999994</v>
      </c>
      <c r="L168" s="64">
        <f t="shared" si="68"/>
        <v>793.00120319999996</v>
      </c>
      <c r="M168" s="64">
        <f t="shared" si="68"/>
        <v>808.86122726399992</v>
      </c>
      <c r="N168" s="64">
        <f t="shared" si="68"/>
        <v>825.03845180927999</v>
      </c>
    </row>
    <row r="169" spans="2:14">
      <c r="C169" s="2" t="s">
        <v>126</v>
      </c>
      <c r="E169" s="81" t="s">
        <v>121</v>
      </c>
      <c r="I169" s="64">
        <f>I174*1000/I$165</f>
        <v>1120.8941176470589</v>
      </c>
      <c r="J169" s="64">
        <f>J174*1000/J$165</f>
        <v>1133.9565659734062</v>
      </c>
      <c r="K169" s="64">
        <f t="shared" ref="K169:N169" si="69">K174*1000/K$165</f>
        <v>1147.2480555157256</v>
      </c>
      <c r="L169" s="64">
        <f t="shared" si="69"/>
        <v>1160.7718048182489</v>
      </c>
      <c r="M169" s="64">
        <f t="shared" si="69"/>
        <v>1174.5311032167936</v>
      </c>
      <c r="N169" s="64">
        <f t="shared" si="69"/>
        <v>1188.5293114789679</v>
      </c>
    </row>
    <row r="170" spans="2:14">
      <c r="C170" s="2" t="s">
        <v>127</v>
      </c>
      <c r="E170" s="81" t="s">
        <v>121</v>
      </c>
      <c r="I170" s="64">
        <f>SUM(I168:I169)</f>
        <v>1868.1568627450981</v>
      </c>
      <c r="J170" s="64">
        <f t="shared" ref="J170:N170" si="70">SUM(J168:J169)</f>
        <v>1896.1645659734063</v>
      </c>
      <c r="K170" s="64">
        <f t="shared" si="70"/>
        <v>1924.7002155157256</v>
      </c>
      <c r="L170" s="64">
        <f t="shared" si="70"/>
        <v>1953.7730080182489</v>
      </c>
      <c r="M170" s="64">
        <f t="shared" si="70"/>
        <v>1983.3923304807936</v>
      </c>
      <c r="N170" s="64">
        <f t="shared" si="70"/>
        <v>2013.567763288248</v>
      </c>
    </row>
    <row r="172" spans="2:14">
      <c r="B172" s="22" t="s">
        <v>128</v>
      </c>
    </row>
    <row r="173" spans="2:14">
      <c r="C173" s="2" t="s">
        <v>125</v>
      </c>
      <c r="E173" s="81" t="s">
        <v>88</v>
      </c>
      <c r="I173" s="64">
        <f>I163*I176</f>
        <v>22866.240000000002</v>
      </c>
      <c r="J173" s="64">
        <f>J168*J165/1000</f>
        <v>23515.990222894463</v>
      </c>
      <c r="K173" s="64">
        <f t="shared" ref="K173:N173" si="71">K168*K165/1000</f>
        <v>24182.583958704705</v>
      </c>
      <c r="L173" s="64">
        <f t="shared" si="71"/>
        <v>24866.435047858206</v>
      </c>
      <c r="M173" s="64">
        <f t="shared" si="71"/>
        <v>25567.967146994357</v>
      </c>
      <c r="N173" s="64">
        <f t="shared" si="71"/>
        <v>26287.613956076817</v>
      </c>
    </row>
    <row r="174" spans="2:14">
      <c r="C174" s="2" t="s">
        <v>126</v>
      </c>
      <c r="E174" s="81" t="s">
        <v>88</v>
      </c>
      <c r="I174" s="64">
        <f>I176-I173</f>
        <v>34299.360000000001</v>
      </c>
      <c r="J174" s="64">
        <f>I174*(1+J162)</f>
        <v>34985.347200000004</v>
      </c>
      <c r="K174" s="64">
        <f>J174*(1+K162)</f>
        <v>35685.054144000002</v>
      </c>
      <c r="L174" s="64">
        <f t="shared" ref="L174:N174" si="72">K174*(1+L162)</f>
        <v>36398.755226879999</v>
      </c>
      <c r="M174" s="64">
        <f t="shared" si="72"/>
        <v>37126.730331417602</v>
      </c>
      <c r="N174" s="64">
        <f t="shared" si="72"/>
        <v>37869.264938045955</v>
      </c>
    </row>
    <row r="175" spans="2:14">
      <c r="I175" s="64"/>
      <c r="J175" s="64"/>
      <c r="K175" s="64"/>
      <c r="L175" s="64"/>
      <c r="M175" s="64"/>
      <c r="N175" s="64"/>
    </row>
    <row r="176" spans="2:14" ht="13.5" thickBot="1">
      <c r="B176" s="22" t="s">
        <v>5</v>
      </c>
      <c r="D176" s="22"/>
      <c r="E176" s="110" t="s">
        <v>88</v>
      </c>
      <c r="F176" s="22"/>
      <c r="G176" s="22"/>
      <c r="H176" s="22"/>
      <c r="I176" s="123">
        <f>I16</f>
        <v>57165.599999999999</v>
      </c>
      <c r="J176" s="123">
        <f>SUM(J173:J174)</f>
        <v>58501.337422894467</v>
      </c>
      <c r="K176" s="123">
        <f t="shared" ref="K176:N176" si="73">SUM(K173:K174)</f>
        <v>59867.638102704703</v>
      </c>
      <c r="L176" s="123">
        <f t="shared" si="73"/>
        <v>61265.190274738205</v>
      </c>
      <c r="M176" s="123">
        <f t="shared" si="73"/>
        <v>62694.697478411959</v>
      </c>
      <c r="N176" s="123">
        <f t="shared" si="73"/>
        <v>64156.878894122769</v>
      </c>
    </row>
    <row r="177" spans="1:14" ht="13.5" thickTop="1">
      <c r="A177" s="134"/>
      <c r="B177" s="39"/>
      <c r="C177" s="39"/>
      <c r="D177" s="39"/>
      <c r="E177" s="111"/>
      <c r="F177" s="39"/>
      <c r="G177" s="39"/>
      <c r="H177" s="39"/>
      <c r="I177" s="39"/>
      <c r="J177" s="39"/>
      <c r="K177" s="39"/>
      <c r="L177" s="39"/>
      <c r="M177" s="39"/>
      <c r="N177" s="39"/>
    </row>
    <row r="179" spans="1:14">
      <c r="B179" s="22"/>
      <c r="G179" s="43"/>
      <c r="H179" s="43"/>
      <c r="I179" s="43"/>
      <c r="L179" s="22" t="str">
        <f>$L$1</f>
        <v>CURRENTLY RUNNING: BASE CASE</v>
      </c>
    </row>
    <row r="180" spans="1:14" ht="23.25">
      <c r="B180" s="1" t="str">
        <f>Cover!$B$9</f>
        <v>Night Owl Inc.</v>
      </c>
      <c r="C180" s="44"/>
      <c r="D180" s="44"/>
      <c r="E180" s="112"/>
      <c r="F180" s="44"/>
      <c r="G180" s="44"/>
      <c r="H180" s="44"/>
      <c r="I180" s="44"/>
      <c r="J180" s="44"/>
      <c r="K180" s="44"/>
      <c r="L180" s="44"/>
      <c r="M180" s="44"/>
      <c r="N180" s="44"/>
    </row>
    <row r="181" spans="1:14" ht="18.75">
      <c r="B181" s="3" t="s">
        <v>130</v>
      </c>
      <c r="C181" s="44"/>
      <c r="D181" s="44"/>
      <c r="E181" s="112"/>
      <c r="F181" s="44"/>
      <c r="G181" s="44"/>
      <c r="H181" s="44"/>
      <c r="I181" s="44"/>
      <c r="J181" s="44"/>
      <c r="K181" s="44"/>
      <c r="L181" s="44"/>
      <c r="M181" s="44"/>
      <c r="N181" s="44"/>
    </row>
    <row r="182" spans="1:14" ht="3" customHeight="1" thickBot="1">
      <c r="B182" s="4"/>
      <c r="C182" s="45"/>
      <c r="D182" s="45"/>
      <c r="E182" s="113"/>
      <c r="F182" s="45"/>
      <c r="G182" s="45"/>
      <c r="H182" s="45"/>
      <c r="I182" s="45"/>
      <c r="J182" s="45"/>
      <c r="K182" s="45"/>
      <c r="L182" s="45"/>
      <c r="M182" s="45"/>
      <c r="N182" s="45"/>
    </row>
    <row r="183" spans="1:14">
      <c r="B183" s="5" t="str">
        <f>$B$86</f>
        <v>Millions for the Year Ended December 31</v>
      </c>
    </row>
    <row r="184" spans="1:14">
      <c r="J184" s="74" t="s">
        <v>67</v>
      </c>
      <c r="K184" s="75"/>
      <c r="L184" s="75"/>
      <c r="M184" s="75"/>
      <c r="N184" s="75"/>
    </row>
    <row r="185" spans="1:14">
      <c r="B185" s="46"/>
      <c r="F185" s="47"/>
      <c r="G185" s="8"/>
      <c r="H185" s="8"/>
      <c r="I185" s="8">
        <f t="shared" ref="I185:N185" si="74">I$8</f>
        <v>2024</v>
      </c>
      <c r="J185" s="8">
        <f t="shared" si="74"/>
        <v>2025</v>
      </c>
      <c r="K185" s="8">
        <f t="shared" si="74"/>
        <v>2026</v>
      </c>
      <c r="L185" s="8">
        <f t="shared" si="74"/>
        <v>2027</v>
      </c>
      <c r="M185" s="8">
        <f t="shared" si="74"/>
        <v>2028</v>
      </c>
      <c r="N185" s="8">
        <f t="shared" si="74"/>
        <v>2029</v>
      </c>
    </row>
    <row r="186" spans="1:14">
      <c r="B186" s="212" t="s">
        <v>93</v>
      </c>
      <c r="C186" s="213"/>
      <c r="D186" s="213"/>
      <c r="E186" s="205"/>
    </row>
    <row r="187" spans="1:14">
      <c r="B187" s="214"/>
      <c r="C187" s="187" t="s">
        <v>94</v>
      </c>
      <c r="D187" s="155"/>
      <c r="E187" s="215">
        <f>Assumptions!G28</f>
        <v>9</v>
      </c>
    </row>
    <row r="188" spans="1:14">
      <c r="B188" s="216"/>
      <c r="C188" s="217" t="s">
        <v>95</v>
      </c>
      <c r="D188" s="218"/>
      <c r="E188" s="219">
        <f>Assumptions!G29</f>
        <v>15</v>
      </c>
    </row>
    <row r="190" spans="1:14">
      <c r="B190" s="22" t="s">
        <v>131</v>
      </c>
      <c r="J190" s="34">
        <f>I203</f>
        <v>15049.300000000001</v>
      </c>
      <c r="K190" s="34">
        <f t="shared" ref="K190:N190" si="75">J203</f>
        <v>15310.488888888891</v>
      </c>
      <c r="L190" s="34">
        <f t="shared" si="75"/>
        <v>15438.344444444445</v>
      </c>
      <c r="M190" s="34">
        <f t="shared" si="75"/>
        <v>15916.200000000003</v>
      </c>
      <c r="N190" s="34">
        <f t="shared" si="75"/>
        <v>16227.388888888894</v>
      </c>
    </row>
    <row r="191" spans="1:14">
      <c r="B191" s="22" t="s">
        <v>20</v>
      </c>
      <c r="J191" s="34">
        <f>-J59</f>
        <v>2000</v>
      </c>
      <c r="K191" s="34">
        <f>-K59</f>
        <v>2000</v>
      </c>
      <c r="L191" s="34">
        <f>-L59</f>
        <v>2500</v>
      </c>
      <c r="M191" s="34">
        <f>-M59</f>
        <v>2500</v>
      </c>
      <c r="N191" s="34">
        <f>-N59</f>
        <v>2500</v>
      </c>
    </row>
    <row r="192" spans="1:14" ht="4.5" customHeight="1">
      <c r="B192" s="22"/>
    </row>
    <row r="193" spans="2:14">
      <c r="B193" s="22" t="s">
        <v>132</v>
      </c>
      <c r="J193" s="122">
        <f>J190/E187</f>
        <v>1672.1444444444446</v>
      </c>
      <c r="K193" s="122">
        <f>J193</f>
        <v>1672.1444444444446</v>
      </c>
      <c r="L193" s="122">
        <f t="shared" ref="L193:N193" si="76">K193</f>
        <v>1672.1444444444446</v>
      </c>
      <c r="M193" s="122">
        <f t="shared" si="76"/>
        <v>1672.1444444444446</v>
      </c>
      <c r="N193" s="122">
        <f t="shared" si="76"/>
        <v>1672.1444444444446</v>
      </c>
    </row>
    <row r="194" spans="2:14" ht="3" customHeight="1">
      <c r="B194" s="22"/>
    </row>
    <row r="195" spans="2:14">
      <c r="B195" s="204" t="s">
        <v>20</v>
      </c>
      <c r="C195" s="10"/>
      <c r="D195" s="10"/>
      <c r="E195" s="205"/>
    </row>
    <row r="196" spans="2:14">
      <c r="B196" s="206"/>
      <c r="C196" s="134"/>
      <c r="D196" s="207">
        <f>J185</f>
        <v>2025</v>
      </c>
      <c r="E196" s="208">
        <f>HLOOKUP($D196,$J$185:$N$191,MATCH($B$195,$B$185:$B$191,0),FALSE)</f>
        <v>2000</v>
      </c>
      <c r="J196" s="34">
        <f>IF($D196=J$185,$E196/$E$188/2,$E196/$E$188)</f>
        <v>66.666666666666671</v>
      </c>
      <c r="K196" s="34">
        <f t="shared" ref="K196:N200" si="77">IF($D196=K$185,$E196/$E$188/2,$E196/$E$188)</f>
        <v>133.33333333333334</v>
      </c>
      <c r="L196" s="34">
        <f t="shared" si="77"/>
        <v>133.33333333333334</v>
      </c>
      <c r="M196" s="34">
        <f t="shared" si="77"/>
        <v>133.33333333333334</v>
      </c>
      <c r="N196" s="34">
        <f t="shared" si="77"/>
        <v>133.33333333333334</v>
      </c>
    </row>
    <row r="197" spans="2:14">
      <c r="B197" s="206"/>
      <c r="C197" s="134"/>
      <c r="D197" s="207">
        <f>D196+1</f>
        <v>2026</v>
      </c>
      <c r="E197" s="208">
        <f>HLOOKUP($D197,$J$185:$N$191,MATCH($B$195,$B$185:$B$191,0),FALSE)</f>
        <v>2000</v>
      </c>
      <c r="K197" s="34">
        <f t="shared" si="77"/>
        <v>66.666666666666671</v>
      </c>
      <c r="L197" s="34">
        <f t="shared" si="77"/>
        <v>133.33333333333334</v>
      </c>
      <c r="M197" s="34">
        <f t="shared" si="77"/>
        <v>133.33333333333334</v>
      </c>
      <c r="N197" s="34">
        <f t="shared" si="77"/>
        <v>133.33333333333334</v>
      </c>
    </row>
    <row r="198" spans="2:14">
      <c r="B198" s="206"/>
      <c r="C198" s="134"/>
      <c r="D198" s="207">
        <f t="shared" ref="D198:D200" si="78">D197+1</f>
        <v>2027</v>
      </c>
      <c r="E198" s="208">
        <f>HLOOKUP($D198,$J$185:$N$191,MATCH($B$195,$B$185:$B$191,0),FALSE)</f>
        <v>2500</v>
      </c>
      <c r="L198" s="34">
        <f t="shared" si="77"/>
        <v>83.333333333333329</v>
      </c>
      <c r="M198" s="34">
        <f t="shared" si="77"/>
        <v>166.66666666666666</v>
      </c>
      <c r="N198" s="34">
        <f t="shared" si="77"/>
        <v>166.66666666666666</v>
      </c>
    </row>
    <row r="199" spans="2:14">
      <c r="B199" s="206"/>
      <c r="C199" s="134"/>
      <c r="D199" s="207">
        <f t="shared" si="78"/>
        <v>2028</v>
      </c>
      <c r="E199" s="208">
        <f>HLOOKUP($D199,$J$185:$N$191,MATCH($B$195,$B$185:$B$191,0),FALSE)</f>
        <v>2500</v>
      </c>
      <c r="M199" s="34">
        <f t="shared" si="77"/>
        <v>83.333333333333329</v>
      </c>
      <c r="N199" s="34">
        <f t="shared" si="77"/>
        <v>166.66666666666666</v>
      </c>
    </row>
    <row r="200" spans="2:14">
      <c r="B200" s="209"/>
      <c r="C200" s="18"/>
      <c r="D200" s="210">
        <f t="shared" si="78"/>
        <v>2029</v>
      </c>
      <c r="E200" s="211">
        <f>HLOOKUP($D200,$J$185:$N$191,MATCH($B$195,$B$185:$B$191,0),FALSE)</f>
        <v>2500</v>
      </c>
      <c r="N200" s="34">
        <f t="shared" si="77"/>
        <v>83.333333333333329</v>
      </c>
    </row>
    <row r="201" spans="2:14" ht="3" customHeight="1">
      <c r="B201" s="22"/>
    </row>
    <row r="202" spans="2:14">
      <c r="B202" s="22" t="s">
        <v>133</v>
      </c>
      <c r="J202" s="135">
        <f>SUM(J193:J200)</f>
        <v>1738.8111111111114</v>
      </c>
      <c r="K202" s="135">
        <f t="shared" ref="K202:M202" si="79">SUM(K193:K200)</f>
        <v>1872.1444444444446</v>
      </c>
      <c r="L202" s="135">
        <f t="shared" si="79"/>
        <v>2022.1444444444444</v>
      </c>
      <c r="M202" s="135">
        <f t="shared" si="79"/>
        <v>2188.8111111111111</v>
      </c>
      <c r="N202" s="135">
        <f>SUM(N193:N200)</f>
        <v>2355.4777777777776</v>
      </c>
    </row>
    <row r="203" spans="2:14" ht="13.5" thickBot="1">
      <c r="B203" s="22" t="s">
        <v>134</v>
      </c>
      <c r="I203" s="123">
        <f>I96</f>
        <v>15049.300000000001</v>
      </c>
      <c r="J203" s="123">
        <f>J190+J191-J202</f>
        <v>15310.488888888891</v>
      </c>
      <c r="K203" s="123">
        <f t="shared" ref="K203:N203" si="80">K190+K191-K202</f>
        <v>15438.344444444445</v>
      </c>
      <c r="L203" s="123">
        <f t="shared" si="80"/>
        <v>15916.200000000003</v>
      </c>
      <c r="M203" s="123">
        <f t="shared" si="80"/>
        <v>16227.388888888894</v>
      </c>
      <c r="N203" s="123">
        <f t="shared" si="80"/>
        <v>16371.911111111116</v>
      </c>
    </row>
    <row r="204" spans="2:14" ht="8.25" customHeight="1" thickTop="1">
      <c r="B204" s="136"/>
      <c r="C204" s="39"/>
      <c r="D204" s="39"/>
      <c r="E204" s="111"/>
      <c r="F204" s="39"/>
      <c r="G204" s="39"/>
      <c r="H204" s="39"/>
      <c r="I204" s="137"/>
      <c r="J204" s="137"/>
      <c r="K204" s="137"/>
      <c r="L204" s="137"/>
      <c r="M204" s="137"/>
      <c r="N204" s="137"/>
    </row>
    <row r="206" spans="2:14">
      <c r="B206" s="22"/>
      <c r="G206" s="43"/>
      <c r="H206" s="43"/>
      <c r="I206" s="43"/>
      <c r="L206" s="22" t="str">
        <f>$L$1</f>
        <v>CURRENTLY RUNNING: BASE CASE</v>
      </c>
    </row>
    <row r="207" spans="2:14" ht="23.25">
      <c r="B207" s="1" t="str">
        <f>Cover!$B$9</f>
        <v>Night Owl Inc.</v>
      </c>
      <c r="C207" s="44"/>
      <c r="D207" s="44"/>
      <c r="E207" s="112"/>
      <c r="F207" s="44"/>
      <c r="G207" s="44"/>
      <c r="H207" s="44"/>
      <c r="I207" s="44"/>
      <c r="J207" s="44"/>
      <c r="K207" s="44"/>
      <c r="L207" s="44"/>
      <c r="M207" s="44"/>
      <c r="N207" s="44"/>
    </row>
    <row r="208" spans="2:14" ht="18.75">
      <c r="B208" s="3" t="s">
        <v>98</v>
      </c>
      <c r="C208" s="44"/>
      <c r="D208" s="44"/>
      <c r="E208" s="112"/>
      <c r="F208" s="44"/>
      <c r="G208" s="44"/>
      <c r="H208" s="44"/>
      <c r="I208" s="44"/>
      <c r="J208" s="44"/>
      <c r="K208" s="44"/>
      <c r="L208" s="44"/>
      <c r="M208" s="44"/>
      <c r="N208" s="44"/>
    </row>
    <row r="209" spans="2:14" ht="6" customHeight="1" thickBot="1">
      <c r="B209" s="4"/>
      <c r="C209" s="45"/>
      <c r="D209" s="45"/>
      <c r="E209" s="113"/>
      <c r="F209" s="45"/>
      <c r="G209" s="45"/>
      <c r="H209" s="45"/>
      <c r="I209" s="45"/>
      <c r="J209" s="45"/>
      <c r="K209" s="45"/>
      <c r="L209" s="45"/>
      <c r="M209" s="45"/>
      <c r="N209" s="45"/>
    </row>
    <row r="210" spans="2:14">
      <c r="B210" s="5" t="str">
        <f>$B$183</f>
        <v>Millions for the Year Ended December 31</v>
      </c>
    </row>
    <row r="211" spans="2:14">
      <c r="J211" s="74" t="s">
        <v>67</v>
      </c>
      <c r="K211" s="75"/>
      <c r="L211" s="75"/>
      <c r="M211" s="75"/>
      <c r="N211" s="75"/>
    </row>
    <row r="212" spans="2:14">
      <c r="B212" s="46"/>
      <c r="F212" s="47"/>
      <c r="G212" s="8"/>
      <c r="H212" s="8"/>
      <c r="I212" s="8">
        <f t="shared" ref="I212:N212" si="81">I$8</f>
        <v>2024</v>
      </c>
      <c r="J212" s="8">
        <f t="shared" si="81"/>
        <v>2025</v>
      </c>
      <c r="K212" s="8">
        <f t="shared" si="81"/>
        <v>2026</v>
      </c>
      <c r="L212" s="8">
        <f t="shared" si="81"/>
        <v>2027</v>
      </c>
      <c r="M212" s="8">
        <f t="shared" si="81"/>
        <v>2028</v>
      </c>
      <c r="N212" s="8">
        <f t="shared" si="81"/>
        <v>2029</v>
      </c>
    </row>
    <row r="213" spans="2:14" ht="7.5" customHeight="1">
      <c r="B213" s="46"/>
      <c r="F213" s="47"/>
      <c r="G213" s="8"/>
      <c r="H213" s="8"/>
      <c r="I213" s="8"/>
      <c r="J213" s="8"/>
      <c r="K213" s="8"/>
      <c r="L213" s="8"/>
      <c r="M213" s="8"/>
      <c r="N213" s="8"/>
    </row>
    <row r="214" spans="2:14">
      <c r="B214" s="220" t="s">
        <v>97</v>
      </c>
      <c r="C214" s="221"/>
      <c r="D214" s="221"/>
      <c r="E214" s="222" t="s">
        <v>84</v>
      </c>
      <c r="F214" s="221"/>
      <c r="G214" s="221"/>
      <c r="H214" s="221"/>
      <c r="I214" s="223">
        <f>Assumptions!N8</f>
        <v>0.3</v>
      </c>
      <c r="J214" s="224">
        <f>I214</f>
        <v>0.3</v>
      </c>
      <c r="K214" s="224">
        <f t="shared" ref="K214:N214" si="82">J214</f>
        <v>0.3</v>
      </c>
      <c r="L214" s="224">
        <f t="shared" si="82"/>
        <v>0.3</v>
      </c>
      <c r="M214" s="224">
        <f t="shared" si="82"/>
        <v>0.3</v>
      </c>
      <c r="N214" s="225">
        <f t="shared" si="82"/>
        <v>0.3</v>
      </c>
    </row>
    <row r="216" spans="2:14">
      <c r="B216" s="22" t="s">
        <v>135</v>
      </c>
      <c r="J216" s="34">
        <f>J28</f>
        <v>3277.0458745368696</v>
      </c>
      <c r="K216" s="34">
        <f>K28</f>
        <v>3335.7154375257055</v>
      </c>
      <c r="L216" s="34">
        <f>L28</f>
        <v>3394.4018105709124</v>
      </c>
      <c r="M216" s="34">
        <f>M28</f>
        <v>3416.7028463486308</v>
      </c>
      <c r="N216" s="34">
        <f>N28</f>
        <v>3462.0774022757791</v>
      </c>
    </row>
    <row r="217" spans="2:14">
      <c r="B217" s="22"/>
      <c r="C217" s="2" t="s">
        <v>140</v>
      </c>
      <c r="J217" s="106">
        <f>Assumptions!J44</f>
        <v>350</v>
      </c>
      <c r="K217" s="106">
        <f>Assumptions!K44</f>
        <v>350</v>
      </c>
      <c r="L217" s="106">
        <f>Assumptions!L44</f>
        <v>350</v>
      </c>
      <c r="M217" s="106">
        <f>Assumptions!M44</f>
        <v>350</v>
      </c>
      <c r="N217" s="106">
        <f>Assumptions!N44</f>
        <v>350</v>
      </c>
    </row>
    <row r="218" spans="2:14">
      <c r="B218" s="22"/>
    </row>
    <row r="219" spans="2:14">
      <c r="B219" s="22" t="s">
        <v>136</v>
      </c>
      <c r="J219" s="34">
        <f>J216-J217</f>
        <v>2927.0458745368696</v>
      </c>
      <c r="K219" s="34">
        <f t="shared" ref="K219:N219" si="83">K216-K217</f>
        <v>2985.7154375257055</v>
      </c>
      <c r="L219" s="34">
        <f t="shared" si="83"/>
        <v>3044.4018105709124</v>
      </c>
      <c r="M219" s="34">
        <f t="shared" si="83"/>
        <v>3066.7028463486308</v>
      </c>
      <c r="N219" s="34">
        <f t="shared" si="83"/>
        <v>3112.0774022757791</v>
      </c>
    </row>
    <row r="220" spans="2:14">
      <c r="B220" s="22"/>
    </row>
    <row r="221" spans="2:14">
      <c r="B221" s="22" t="s">
        <v>137</v>
      </c>
      <c r="J221" s="34">
        <f>J214*J216</f>
        <v>983.11376236106082</v>
      </c>
      <c r="K221" s="34">
        <f t="shared" ref="K221:N221" si="84">K214*K216</f>
        <v>1000.7146312577116</v>
      </c>
      <c r="L221" s="34">
        <f t="shared" si="84"/>
        <v>1018.3205431712737</v>
      </c>
      <c r="M221" s="34">
        <f t="shared" si="84"/>
        <v>1025.0108539045891</v>
      </c>
      <c r="N221" s="34">
        <f t="shared" si="84"/>
        <v>1038.6232206827337</v>
      </c>
    </row>
    <row r="222" spans="2:14">
      <c r="B222" s="22"/>
    </row>
    <row r="223" spans="2:14">
      <c r="B223" s="22" t="s">
        <v>138</v>
      </c>
      <c r="J223" s="34">
        <f>J214*J219</f>
        <v>878.11376236106082</v>
      </c>
      <c r="K223" s="34">
        <f t="shared" ref="K223:N223" si="85">K214*K219</f>
        <v>895.71463125771163</v>
      </c>
      <c r="L223" s="34">
        <f t="shared" si="85"/>
        <v>913.3205431712737</v>
      </c>
      <c r="M223" s="34">
        <f t="shared" si="85"/>
        <v>920.01085390458923</v>
      </c>
      <c r="N223" s="34">
        <f t="shared" si="85"/>
        <v>933.62322068273374</v>
      </c>
    </row>
    <row r="224" spans="2:14">
      <c r="B224" s="22" t="s">
        <v>141</v>
      </c>
      <c r="J224" s="122">
        <f>J221-J223</f>
        <v>105</v>
      </c>
      <c r="K224" s="122">
        <f t="shared" ref="K224:N224" si="86">K221-K223</f>
        <v>105</v>
      </c>
      <c r="L224" s="122">
        <f t="shared" si="86"/>
        <v>105</v>
      </c>
      <c r="M224" s="122">
        <f t="shared" si="86"/>
        <v>104.99999999999989</v>
      </c>
      <c r="N224" s="122">
        <f t="shared" si="86"/>
        <v>105</v>
      </c>
    </row>
    <row r="225" spans="2:14" ht="13.5" thickBot="1">
      <c r="B225" s="22" t="s">
        <v>139</v>
      </c>
      <c r="J225" s="123">
        <f>SUM(J223:J224)</f>
        <v>983.11376236106082</v>
      </c>
      <c r="K225" s="123">
        <f t="shared" ref="K225:N225" si="87">SUM(K223:K224)</f>
        <v>1000.7146312577116</v>
      </c>
      <c r="L225" s="123">
        <f t="shared" si="87"/>
        <v>1018.3205431712737</v>
      </c>
      <c r="M225" s="123">
        <f t="shared" si="87"/>
        <v>1025.0108539045891</v>
      </c>
      <c r="N225" s="123">
        <f t="shared" si="87"/>
        <v>1038.6232206827337</v>
      </c>
    </row>
    <row r="226" spans="2:14" ht="13.5" thickTop="1">
      <c r="B226" s="136"/>
      <c r="C226" s="39"/>
      <c r="D226" s="39"/>
      <c r="E226" s="111"/>
      <c r="F226" s="39"/>
      <c r="G226" s="39"/>
      <c r="H226" s="39"/>
      <c r="I226" s="137"/>
      <c r="J226" s="137"/>
      <c r="K226" s="137"/>
      <c r="L226" s="137"/>
      <c r="M226" s="137"/>
      <c r="N226" s="137"/>
    </row>
    <row r="228" spans="2:14">
      <c r="B228" s="22"/>
      <c r="G228" s="43"/>
      <c r="H228" s="43"/>
      <c r="I228" s="43"/>
      <c r="L228" s="22" t="str">
        <f>$L$1</f>
        <v>CURRENTLY RUNNING: BASE CASE</v>
      </c>
    </row>
    <row r="229" spans="2:14" ht="23.25">
      <c r="B229" s="1" t="str">
        <f>Cover!$B$9</f>
        <v>Night Owl Inc.</v>
      </c>
      <c r="C229" s="44"/>
      <c r="D229" s="44"/>
      <c r="E229" s="112"/>
      <c r="F229" s="44"/>
      <c r="G229" s="44"/>
      <c r="H229" s="44"/>
      <c r="I229" s="44"/>
      <c r="J229" s="44"/>
      <c r="K229" s="44"/>
      <c r="L229" s="44"/>
      <c r="M229" s="44"/>
      <c r="N229" s="44"/>
    </row>
    <row r="230" spans="2:14" ht="18.75">
      <c r="B230" s="3" t="s">
        <v>142</v>
      </c>
      <c r="C230" s="44"/>
      <c r="D230" s="44"/>
      <c r="E230" s="112"/>
      <c r="F230" s="44"/>
      <c r="G230" s="44"/>
      <c r="H230" s="44"/>
      <c r="I230" s="44"/>
      <c r="J230" s="44"/>
      <c r="K230" s="44"/>
      <c r="L230" s="44"/>
      <c r="M230" s="44"/>
      <c r="N230" s="44"/>
    </row>
    <row r="231" spans="2:14" ht="4.5" customHeight="1" thickBot="1">
      <c r="B231" s="4"/>
      <c r="C231" s="45"/>
      <c r="D231" s="45"/>
      <c r="E231" s="113"/>
      <c r="F231" s="45"/>
      <c r="G231" s="45"/>
      <c r="H231" s="45"/>
      <c r="I231" s="45"/>
      <c r="J231" s="45"/>
      <c r="K231" s="45"/>
      <c r="L231" s="45"/>
      <c r="M231" s="45"/>
      <c r="N231" s="45"/>
    </row>
    <row r="232" spans="2:14" ht="5.25" customHeight="1">
      <c r="B232" s="5"/>
    </row>
    <row r="233" spans="2:14">
      <c r="J233" s="74" t="s">
        <v>67</v>
      </c>
      <c r="K233" s="75"/>
      <c r="L233" s="75"/>
      <c r="M233" s="75"/>
      <c r="N233" s="75"/>
    </row>
    <row r="234" spans="2:14">
      <c r="B234" s="46"/>
      <c r="F234" s="47"/>
      <c r="G234" s="8">
        <f t="shared" ref="G234:N234" si="88">G$8</f>
        <v>2022</v>
      </c>
      <c r="H234" s="8">
        <f t="shared" si="88"/>
        <v>2023</v>
      </c>
      <c r="I234" s="8">
        <f t="shared" si="88"/>
        <v>2024</v>
      </c>
      <c r="J234" s="8">
        <f t="shared" si="88"/>
        <v>2025</v>
      </c>
      <c r="K234" s="8">
        <f t="shared" si="88"/>
        <v>2026</v>
      </c>
      <c r="L234" s="8">
        <f t="shared" si="88"/>
        <v>2027</v>
      </c>
      <c r="M234" s="8">
        <f t="shared" si="88"/>
        <v>2028</v>
      </c>
      <c r="N234" s="8">
        <f t="shared" si="88"/>
        <v>2029</v>
      </c>
    </row>
    <row r="236" spans="2:14">
      <c r="B236" s="226" t="s">
        <v>146</v>
      </c>
      <c r="C236" s="221"/>
      <c r="D236" s="221"/>
      <c r="E236" s="222"/>
      <c r="F236" s="221"/>
      <c r="G236" s="221"/>
      <c r="H236" s="227">
        <f>DATE(H234,12,31)-DATE(G234,12,31)</f>
        <v>365</v>
      </c>
      <c r="I236" s="227">
        <f t="shared" ref="I236:N236" si="89">DATE(I234,12,31)-DATE(H234,12,31)</f>
        <v>366</v>
      </c>
      <c r="J236" s="227">
        <f t="shared" si="89"/>
        <v>365</v>
      </c>
      <c r="K236" s="227">
        <f t="shared" si="89"/>
        <v>365</v>
      </c>
      <c r="L236" s="227">
        <f t="shared" si="89"/>
        <v>365</v>
      </c>
      <c r="M236" s="227">
        <f t="shared" si="89"/>
        <v>366</v>
      </c>
      <c r="N236" s="228">
        <f t="shared" si="89"/>
        <v>365</v>
      </c>
    </row>
    <row r="237" spans="2:14">
      <c r="H237" s="71"/>
      <c r="I237" s="71"/>
      <c r="J237" s="71"/>
      <c r="K237" s="71"/>
      <c r="L237" s="71"/>
      <c r="M237" s="71"/>
      <c r="N237" s="71"/>
    </row>
    <row r="238" spans="2:14">
      <c r="B238" s="7" t="s">
        <v>148</v>
      </c>
      <c r="H238" s="71"/>
      <c r="I238" s="71"/>
      <c r="J238" s="71"/>
      <c r="K238" s="71"/>
      <c r="L238" s="71"/>
      <c r="M238" s="71"/>
      <c r="N238" s="71"/>
    </row>
    <row r="239" spans="2:14">
      <c r="B239" s="7"/>
      <c r="C239" s="22" t="s">
        <v>63</v>
      </c>
      <c r="E239" s="81" t="s">
        <v>88</v>
      </c>
      <c r="G239" s="34">
        <f>G14</f>
        <v>62809.9</v>
      </c>
      <c r="H239" s="34">
        <f>H14</f>
        <v>66856.7</v>
      </c>
      <c r="I239" s="34">
        <f>I14</f>
        <v>69263.5</v>
      </c>
      <c r="J239" s="34">
        <f>J14</f>
        <v>70882.465858542448</v>
      </c>
      <c r="K239" s="34">
        <f>K14</f>
        <v>72534.416405341166</v>
      </c>
      <c r="L239" s="34">
        <f>L14</f>
        <v>74219.976913725695</v>
      </c>
      <c r="M239" s="34">
        <f>M14</f>
        <v>75939.783993670528</v>
      </c>
      <c r="N239" s="34">
        <f>N14</f>
        <v>77694.485791208121</v>
      </c>
    </row>
    <row r="240" spans="2:14">
      <c r="B240" s="7"/>
      <c r="C240" s="22" t="s">
        <v>149</v>
      </c>
      <c r="E240" s="81" t="s">
        <v>88</v>
      </c>
      <c r="G240" s="34">
        <f>G16</f>
        <v>51805.1</v>
      </c>
      <c r="H240" s="34">
        <f>H16</f>
        <v>55804.6</v>
      </c>
      <c r="I240" s="34">
        <f>I16</f>
        <v>57165.599999999999</v>
      </c>
      <c r="J240" s="34">
        <f>J16</f>
        <v>58501.337422894467</v>
      </c>
      <c r="K240" s="34">
        <f>K16</f>
        <v>59867.638102704703</v>
      </c>
      <c r="L240" s="34">
        <f>L16</f>
        <v>61265.190274738205</v>
      </c>
      <c r="M240" s="34">
        <f>M16</f>
        <v>62694.697478411959</v>
      </c>
      <c r="N240" s="34">
        <f>N16</f>
        <v>64156.878894122769</v>
      </c>
    </row>
    <row r="242" spans="2:14">
      <c r="B242" s="7" t="s">
        <v>144</v>
      </c>
    </row>
    <row r="243" spans="2:14">
      <c r="B243" s="22" t="s">
        <v>26</v>
      </c>
    </row>
    <row r="244" spans="2:14">
      <c r="C244" s="2" t="s">
        <v>27</v>
      </c>
      <c r="E244" s="81" t="s">
        <v>147</v>
      </c>
      <c r="H244" s="34">
        <f>H257/H239*H$236</f>
        <v>12.548517949584708</v>
      </c>
      <c r="I244" s="34">
        <f>I257/I239*I$236</f>
        <v>15.479442996672129</v>
      </c>
      <c r="J244" s="106">
        <f>Assumptions!J58</f>
        <v>15</v>
      </c>
      <c r="K244" s="106">
        <f>Assumptions!K58</f>
        <v>15</v>
      </c>
      <c r="L244" s="106">
        <f>Assumptions!L58</f>
        <v>15</v>
      </c>
      <c r="M244" s="106">
        <f>Assumptions!M58</f>
        <v>15</v>
      </c>
      <c r="N244" s="106">
        <f>Assumptions!N58</f>
        <v>15</v>
      </c>
    </row>
    <row r="245" spans="2:14">
      <c r="C245" s="2" t="s">
        <v>28</v>
      </c>
      <c r="E245" s="81" t="s">
        <v>147</v>
      </c>
      <c r="H245" s="34">
        <f>H258/H$240*H$236</f>
        <v>14.232518466219631</v>
      </c>
      <c r="I245" s="34">
        <f>I258/I$240*I$236</f>
        <v>14.937560350980309</v>
      </c>
      <c r="J245" s="106">
        <f>Assumptions!J59</f>
        <v>14</v>
      </c>
      <c r="K245" s="106">
        <f>Assumptions!K59</f>
        <v>14</v>
      </c>
      <c r="L245" s="106">
        <f>Assumptions!L59</f>
        <v>14</v>
      </c>
      <c r="M245" s="106">
        <f>Assumptions!M59</f>
        <v>14</v>
      </c>
      <c r="N245" s="106">
        <f>Assumptions!N59</f>
        <v>14</v>
      </c>
    </row>
    <row r="246" spans="2:14">
      <c r="C246" s="2" t="s">
        <v>65</v>
      </c>
      <c r="E246" s="81" t="s">
        <v>147</v>
      </c>
      <c r="H246" s="34">
        <f t="shared" ref="H246:I246" si="90">H259/H$240*H$236</f>
        <v>0.99156700343699267</v>
      </c>
      <c r="I246" s="34">
        <f t="shared" si="90"/>
        <v>0.92259330786347027</v>
      </c>
      <c r="J246" s="106">
        <f>Assumptions!J60</f>
        <v>1</v>
      </c>
      <c r="K246" s="106">
        <f>Assumptions!K60</f>
        <v>1</v>
      </c>
      <c r="L246" s="106">
        <f>Assumptions!L60</f>
        <v>1</v>
      </c>
      <c r="M246" s="106">
        <f>Assumptions!M60</f>
        <v>1</v>
      </c>
      <c r="N246" s="106">
        <f>Assumptions!N60</f>
        <v>1</v>
      </c>
    </row>
    <row r="247" spans="2:14">
      <c r="C247" s="32" t="s">
        <v>29</v>
      </c>
      <c r="E247" s="81" t="s">
        <v>147</v>
      </c>
      <c r="H247" s="34">
        <f>H260/H$240*H$236</f>
        <v>0.77180017417918945</v>
      </c>
      <c r="I247" s="34">
        <f t="shared" ref="I247" si="91">I260/I$240*I$236</f>
        <v>0.74396490196901632</v>
      </c>
      <c r="J247" s="106">
        <f>Assumptions!J61</f>
        <v>0.7</v>
      </c>
      <c r="K247" s="106">
        <f>Assumptions!K61</f>
        <v>0.7</v>
      </c>
      <c r="L247" s="106">
        <f>Assumptions!L61</f>
        <v>0.7</v>
      </c>
      <c r="M247" s="106">
        <f>Assumptions!M61</f>
        <v>0.7</v>
      </c>
      <c r="N247" s="106">
        <f>Assumptions!N61</f>
        <v>0.7</v>
      </c>
    </row>
    <row r="248" spans="2:14">
      <c r="C248" s="27" t="s">
        <v>30</v>
      </c>
      <c r="E248" s="81" t="s">
        <v>147</v>
      </c>
      <c r="H248" s="34">
        <f>SUM(H244:H247)</f>
        <v>28.544403593420519</v>
      </c>
      <c r="I248" s="34">
        <f>SUM(I244:I247)</f>
        <v>32.083561557484927</v>
      </c>
      <c r="J248" s="34">
        <f>SUM(Assumptions!J58:J61)</f>
        <v>30.7</v>
      </c>
      <c r="K248" s="34">
        <f>SUM(K244:K247)</f>
        <v>30.7</v>
      </c>
      <c r="L248" s="34">
        <f>SUM(L244:L247)</f>
        <v>30.7</v>
      </c>
      <c r="M248" s="34">
        <f>SUM(M244:M247)</f>
        <v>30.7</v>
      </c>
      <c r="N248" s="34">
        <f>SUM(N244:N247)</f>
        <v>30.7</v>
      </c>
    </row>
    <row r="249" spans="2:14">
      <c r="H249" s="34"/>
    </row>
    <row r="250" spans="2:14">
      <c r="B250" s="27" t="s">
        <v>143</v>
      </c>
      <c r="H250" s="34"/>
    </row>
    <row r="251" spans="2:14">
      <c r="C251" s="32" t="s">
        <v>37</v>
      </c>
      <c r="E251" s="81" t="s">
        <v>147</v>
      </c>
      <c r="H251" s="34">
        <f>H264/H$240*H$236</f>
        <v>29.419322063055731</v>
      </c>
      <c r="I251" s="34">
        <f>I264/I$240*I$236</f>
        <v>31.934789453797386</v>
      </c>
      <c r="J251" s="106">
        <f>Assumptions!J64</f>
        <v>30</v>
      </c>
      <c r="K251" s="106">
        <f>Assumptions!K64</f>
        <v>30</v>
      </c>
      <c r="L251" s="106">
        <f>Assumptions!L64</f>
        <v>30</v>
      </c>
      <c r="M251" s="106">
        <f>Assumptions!M64</f>
        <v>30</v>
      </c>
      <c r="N251" s="106">
        <f>Assumptions!N64</f>
        <v>30</v>
      </c>
    </row>
    <row r="252" spans="2:14">
      <c r="C252" s="32" t="s">
        <v>29</v>
      </c>
      <c r="E252" s="81" t="s">
        <v>147</v>
      </c>
      <c r="H252" s="34">
        <f>H265/H$240*H$236</f>
        <v>1.6619866462621362</v>
      </c>
      <c r="I252" s="34">
        <f>I265/I$240*I$236</f>
        <v>1.6217410470632692</v>
      </c>
      <c r="J252" s="106">
        <f>Assumptions!J65</f>
        <v>1.5</v>
      </c>
      <c r="K252" s="106">
        <f>Assumptions!K65</f>
        <v>1.5</v>
      </c>
      <c r="L252" s="106">
        <f>Assumptions!L65</f>
        <v>1.5</v>
      </c>
      <c r="M252" s="106">
        <f>Assumptions!M65</f>
        <v>1.5</v>
      </c>
      <c r="N252" s="106">
        <f>Assumptions!N65</f>
        <v>1.5</v>
      </c>
    </row>
    <row r="253" spans="2:14">
      <c r="C253" s="27" t="s">
        <v>38</v>
      </c>
      <c r="E253" s="81" t="s">
        <v>147</v>
      </c>
      <c r="H253" s="34">
        <f>SUM(H251:H252)</f>
        <v>31.081308709317867</v>
      </c>
      <c r="I253" s="34">
        <f>SUM(I251:I252)</f>
        <v>33.556530500860653</v>
      </c>
      <c r="J253" s="34">
        <f>SUM(Assumptions!J64:J65)</f>
        <v>31.5</v>
      </c>
      <c r="K253" s="34">
        <f>SUM(K251:K252)</f>
        <v>31.5</v>
      </c>
      <c r="L253" s="34">
        <f>SUM(L251:L252)</f>
        <v>31.5</v>
      </c>
      <c r="M253" s="34">
        <f>SUM(M251:M252)</f>
        <v>31.5</v>
      </c>
      <c r="N253" s="34">
        <f>SUM(N251:N252)</f>
        <v>31.5</v>
      </c>
    </row>
    <row r="254" spans="2:14" ht="6" customHeight="1"/>
    <row r="255" spans="2:14">
      <c r="B255" s="7" t="s">
        <v>145</v>
      </c>
    </row>
    <row r="256" spans="2:14">
      <c r="B256" s="22" t="s">
        <v>26</v>
      </c>
    </row>
    <row r="257" spans="2:14">
      <c r="C257" s="2" t="s">
        <v>27</v>
      </c>
      <c r="E257" s="81" t="s">
        <v>88</v>
      </c>
      <c r="G257" s="34">
        <f>G90</f>
        <v>2497.5</v>
      </c>
      <c r="H257" s="34">
        <f>H90</f>
        <v>2298.5</v>
      </c>
      <c r="I257" s="34">
        <f>I90</f>
        <v>2929.4</v>
      </c>
      <c r="J257" s="34">
        <f>J244/J$236*J239</f>
        <v>2912.9780489811965</v>
      </c>
      <c r="K257" s="34">
        <f>K244/K$236*K239</f>
        <v>2980.8664276167601</v>
      </c>
      <c r="L257" s="34">
        <f>L244/L$236*L239</f>
        <v>3050.1360375503709</v>
      </c>
      <c r="M257" s="34">
        <f>M244/M$236*M239</f>
        <v>3112.2862292487921</v>
      </c>
      <c r="N257" s="34">
        <f>N244/N$236*N239</f>
        <v>3192.9240736112924</v>
      </c>
    </row>
    <row r="258" spans="2:14">
      <c r="C258" s="2" t="s">
        <v>28</v>
      </c>
      <c r="E258" s="81" t="s">
        <v>88</v>
      </c>
      <c r="G258" s="34">
        <f>G91</f>
        <v>2403</v>
      </c>
      <c r="H258" s="34">
        <f>H91</f>
        <v>2176</v>
      </c>
      <c r="I258" s="34">
        <f>I91</f>
        <v>2333.1</v>
      </c>
      <c r="J258" s="34">
        <f>J245/J$236*J$240</f>
        <v>2243.886914850747</v>
      </c>
      <c r="K258" s="34">
        <f t="shared" ref="K258:N258" si="92">K245/K$236*K$240</f>
        <v>2296.2929683229204</v>
      </c>
      <c r="L258" s="34">
        <f t="shared" si="92"/>
        <v>2349.8977091680408</v>
      </c>
      <c r="M258" s="34">
        <f t="shared" si="92"/>
        <v>2398.1578270430805</v>
      </c>
      <c r="N258" s="34">
        <f t="shared" si="92"/>
        <v>2460.8117931992297</v>
      </c>
    </row>
    <row r="259" spans="2:14">
      <c r="C259" s="2" t="s">
        <v>65</v>
      </c>
      <c r="E259" s="81" t="s">
        <v>88</v>
      </c>
      <c r="G259" s="34">
        <f>G92</f>
        <v>147</v>
      </c>
      <c r="H259" s="34">
        <f>H92</f>
        <v>151.6</v>
      </c>
      <c r="I259" s="34">
        <f>I92</f>
        <v>144.1</v>
      </c>
      <c r="J259" s="34">
        <f>J246/J$236*J$240</f>
        <v>160.27763677505334</v>
      </c>
      <c r="K259" s="34">
        <f>K246/K$236*K$240</f>
        <v>164.02092630878002</v>
      </c>
      <c r="L259" s="34">
        <f>L246/L$236*L$240</f>
        <v>167.84983636914578</v>
      </c>
      <c r="M259" s="34">
        <f>M246/M$236*M$240</f>
        <v>171.29698764593431</v>
      </c>
      <c r="N259" s="34">
        <f>N246/N$236*N$240</f>
        <v>175.77227094280209</v>
      </c>
    </row>
    <row r="260" spans="2:14">
      <c r="C260" s="32" t="s">
        <v>29</v>
      </c>
      <c r="E260" s="81" t="s">
        <v>88</v>
      </c>
      <c r="G260" s="34">
        <f>G93</f>
        <v>117.60000000000001</v>
      </c>
      <c r="H260" s="34">
        <f>H93</f>
        <v>118</v>
      </c>
      <c r="I260" s="34">
        <f>I93</f>
        <v>116.2</v>
      </c>
      <c r="J260" s="34">
        <f>J247/J$236*J$240</f>
        <v>112.19434574253734</v>
      </c>
      <c r="K260" s="34">
        <f>K247/K$236*K$240</f>
        <v>114.814648416146</v>
      </c>
      <c r="L260" s="34">
        <f>L247/L$236*L$240</f>
        <v>117.49488545840204</v>
      </c>
      <c r="M260" s="34">
        <f>M247/M$236*M$240</f>
        <v>119.90789135215401</v>
      </c>
      <c r="N260" s="34">
        <f>N247/N$236*N$240</f>
        <v>123.04058965996147</v>
      </c>
    </row>
    <row r="261" spans="2:14">
      <c r="C261" s="27" t="s">
        <v>30</v>
      </c>
      <c r="E261" s="81" t="s">
        <v>88</v>
      </c>
      <c r="G261" s="34">
        <f>SUM(G257:G260)</f>
        <v>5165.1000000000004</v>
      </c>
      <c r="H261" s="34">
        <f t="shared" ref="H261:N261" si="93">SUM(H257:H260)</f>
        <v>4744.1000000000004</v>
      </c>
      <c r="I261" s="34">
        <f t="shared" si="93"/>
        <v>5522.8</v>
      </c>
      <c r="J261" s="34">
        <f t="shared" si="93"/>
        <v>5429.3369463495346</v>
      </c>
      <c r="K261" s="34">
        <f t="shared" si="93"/>
        <v>5555.9949706646066</v>
      </c>
      <c r="L261" s="34">
        <f t="shared" si="93"/>
        <v>5685.3784685459595</v>
      </c>
      <c r="M261" s="34">
        <f t="shared" si="93"/>
        <v>5801.6489352899616</v>
      </c>
      <c r="N261" s="34">
        <f t="shared" si="93"/>
        <v>5952.5487274132856</v>
      </c>
    </row>
    <row r="263" spans="2:14">
      <c r="B263" s="27" t="s">
        <v>143</v>
      </c>
    </row>
    <row r="264" spans="2:14">
      <c r="C264" s="32" t="s">
        <v>37</v>
      </c>
      <c r="E264" s="81" t="s">
        <v>88</v>
      </c>
      <c r="G264" s="34">
        <f>G106</f>
        <v>5256.1</v>
      </c>
      <c r="H264" s="34">
        <f>H106</f>
        <v>4497.8999999999996</v>
      </c>
      <c r="I264" s="34">
        <f>I106</f>
        <v>4987.8999999999996</v>
      </c>
      <c r="J264" s="34">
        <f>J251/J$236*J$240</f>
        <v>4808.3291032515999</v>
      </c>
      <c r="K264" s="34">
        <f t="shared" ref="K264:N264" si="94">K251/K$236*K$240</f>
        <v>4920.6277892633998</v>
      </c>
      <c r="L264" s="34">
        <f t="shared" si="94"/>
        <v>5035.4950910743728</v>
      </c>
      <c r="M264" s="34">
        <f t="shared" si="94"/>
        <v>5138.9096293780294</v>
      </c>
      <c r="N264" s="34">
        <f t="shared" si="94"/>
        <v>5273.1681282840627</v>
      </c>
    </row>
    <row r="265" spans="2:14">
      <c r="C265" s="32" t="s">
        <v>29</v>
      </c>
      <c r="E265" s="81" t="s">
        <v>88</v>
      </c>
      <c r="G265" s="34">
        <f>G107</f>
        <v>234.5</v>
      </c>
      <c r="H265" s="34">
        <f>H107</f>
        <v>254.1</v>
      </c>
      <c r="I265" s="34">
        <f>I107</f>
        <v>253.3</v>
      </c>
      <c r="J265" s="34">
        <f>J252/J$236*J$240</f>
        <v>240.41645516257998</v>
      </c>
      <c r="K265" s="34">
        <f>K252/K$236*K$240</f>
        <v>246.03138946317</v>
      </c>
      <c r="L265" s="34">
        <f>L252/L$236*L$240</f>
        <v>251.77475455371862</v>
      </c>
      <c r="M265" s="34">
        <f>M252/M$236*M$240</f>
        <v>256.94548146890151</v>
      </c>
      <c r="N265" s="34">
        <f>N252/N$236*N$240</f>
        <v>263.65840641420311</v>
      </c>
    </row>
    <row r="266" spans="2:14">
      <c r="C266" s="27" t="s">
        <v>38</v>
      </c>
      <c r="E266" s="81" t="s">
        <v>88</v>
      </c>
      <c r="G266" s="34">
        <f>SUM(G264:G265)</f>
        <v>5490.6</v>
      </c>
      <c r="H266" s="34">
        <f t="shared" ref="H266:N266" si="95">SUM(H264:H265)</f>
        <v>4752</v>
      </c>
      <c r="I266" s="34">
        <f t="shared" si="95"/>
        <v>5241.2</v>
      </c>
      <c r="J266" s="34">
        <f t="shared" si="95"/>
        <v>5048.7455584141799</v>
      </c>
      <c r="K266" s="34">
        <f t="shared" si="95"/>
        <v>5166.6591787265697</v>
      </c>
      <c r="L266" s="34">
        <f t="shared" si="95"/>
        <v>5287.2698456280914</v>
      </c>
      <c r="M266" s="34">
        <f t="shared" si="95"/>
        <v>5395.855110846931</v>
      </c>
      <c r="N266" s="34">
        <f t="shared" si="95"/>
        <v>5536.8265346982662</v>
      </c>
    </row>
    <row r="268" spans="2:14">
      <c r="B268" s="147" t="s">
        <v>150</v>
      </c>
      <c r="C268" s="134"/>
      <c r="D268" s="134"/>
      <c r="E268" s="148" t="s">
        <v>88</v>
      </c>
      <c r="F268" s="134"/>
      <c r="G268" s="139">
        <f>G261-G266</f>
        <v>-325.5</v>
      </c>
      <c r="H268" s="139">
        <f t="shared" ref="H268:N268" si="96">H261-H266</f>
        <v>-7.8999999999996362</v>
      </c>
      <c r="I268" s="139">
        <f t="shared" si="96"/>
        <v>281.60000000000036</v>
      </c>
      <c r="J268" s="139">
        <f t="shared" si="96"/>
        <v>380.59138793535476</v>
      </c>
      <c r="K268" s="139">
        <f t="shared" si="96"/>
        <v>389.33579193803689</v>
      </c>
      <c r="L268" s="139">
        <f t="shared" si="96"/>
        <v>398.10862291786816</v>
      </c>
      <c r="M268" s="139">
        <f t="shared" si="96"/>
        <v>405.79382444303064</v>
      </c>
      <c r="N268" s="139">
        <f t="shared" si="96"/>
        <v>415.72219271501945</v>
      </c>
    </row>
    <row r="269" spans="2:14">
      <c r="B269" s="134"/>
      <c r="C269" s="134"/>
      <c r="D269" s="134"/>
      <c r="E269" s="149"/>
      <c r="F269" s="134"/>
      <c r="G269" s="134"/>
    </row>
    <row r="270" spans="2:14" ht="13.5" thickBot="1">
      <c r="B270" s="147" t="s">
        <v>151</v>
      </c>
      <c r="C270" s="134"/>
      <c r="D270" s="134"/>
      <c r="E270" s="148" t="s">
        <v>88</v>
      </c>
      <c r="F270" s="134"/>
      <c r="G270" s="140"/>
      <c r="H270" s="141">
        <f>G268-H268</f>
        <v>-317.60000000000036</v>
      </c>
      <c r="I270" s="141">
        <f t="shared" ref="I270:N270" si="97">H268-I268</f>
        <v>-289.5</v>
      </c>
      <c r="J270" s="141">
        <f t="shared" si="97"/>
        <v>-98.991387935354396</v>
      </c>
      <c r="K270" s="141">
        <f t="shared" si="97"/>
        <v>-8.7444040026821312</v>
      </c>
      <c r="L270" s="141">
        <f t="shared" si="97"/>
        <v>-8.7728309798312694</v>
      </c>
      <c r="M270" s="141">
        <f t="shared" si="97"/>
        <v>-7.6852015251624834</v>
      </c>
      <c r="N270" s="141">
        <f t="shared" si="97"/>
        <v>-9.928368271988802</v>
      </c>
    </row>
    <row r="271" spans="2:14" ht="13.5" thickTop="1">
      <c r="B271" s="39"/>
      <c r="C271" s="39"/>
      <c r="D271" s="39"/>
      <c r="E271" s="111"/>
      <c r="F271" s="39"/>
      <c r="G271" s="39"/>
      <c r="H271" s="142"/>
      <c r="I271" s="142"/>
      <c r="J271" s="142"/>
      <c r="K271" s="142"/>
      <c r="L271" s="142"/>
      <c r="M271" s="142"/>
      <c r="N271" s="142"/>
    </row>
    <row r="273" spans="2:14">
      <c r="B273" s="22"/>
      <c r="G273" s="43"/>
      <c r="H273" s="43"/>
      <c r="I273" s="43"/>
      <c r="L273" s="22" t="str">
        <f>$L$1</f>
        <v>CURRENTLY RUNNING: BASE CASE</v>
      </c>
    </row>
    <row r="274" spans="2:14" ht="23.25">
      <c r="B274" s="1" t="str">
        <f>Cover!$B$9</f>
        <v>Night Owl Inc.</v>
      </c>
      <c r="C274" s="44"/>
      <c r="D274" s="44"/>
      <c r="E274" s="112"/>
      <c r="F274" s="44"/>
      <c r="G274" s="44"/>
      <c r="H274" s="44"/>
      <c r="I274" s="44"/>
      <c r="J274" s="44"/>
      <c r="K274" s="44"/>
      <c r="L274" s="44"/>
      <c r="M274" s="44"/>
      <c r="N274" s="44"/>
    </row>
    <row r="275" spans="2:14" ht="18.75">
      <c r="B275" s="3" t="s">
        <v>115</v>
      </c>
      <c r="C275" s="44"/>
      <c r="D275" s="44"/>
      <c r="E275" s="112"/>
      <c r="F275" s="44"/>
      <c r="G275" s="44"/>
      <c r="H275" s="44"/>
      <c r="I275" s="44"/>
      <c r="J275" s="44"/>
      <c r="K275" s="44"/>
      <c r="L275" s="44"/>
      <c r="M275" s="44"/>
      <c r="N275" s="44"/>
    </row>
    <row r="276" spans="2:14" ht="6.75" customHeight="1" thickBot="1">
      <c r="B276" s="4"/>
      <c r="C276" s="45"/>
      <c r="D276" s="45"/>
      <c r="E276" s="113"/>
      <c r="F276" s="45"/>
      <c r="G276" s="45"/>
      <c r="H276" s="45"/>
      <c r="I276" s="45"/>
      <c r="J276" s="45"/>
      <c r="K276" s="45"/>
      <c r="L276" s="45"/>
      <c r="M276" s="45"/>
      <c r="N276" s="45"/>
    </row>
    <row r="277" spans="2:14" ht="9" customHeight="1">
      <c r="B277" s="5"/>
    </row>
    <row r="278" spans="2:14">
      <c r="J278" s="74" t="s">
        <v>67</v>
      </c>
      <c r="K278" s="75"/>
      <c r="L278" s="75"/>
      <c r="M278" s="75"/>
      <c r="N278" s="75"/>
    </row>
    <row r="279" spans="2:14">
      <c r="B279" s="46"/>
      <c r="F279" s="47"/>
      <c r="G279" s="8"/>
      <c r="H279" s="8"/>
      <c r="I279" s="8">
        <f t="shared" ref="I279:N279" si="98">I$8</f>
        <v>2024</v>
      </c>
      <c r="J279" s="8">
        <f t="shared" si="98"/>
        <v>2025</v>
      </c>
      <c r="K279" s="8">
        <f t="shared" si="98"/>
        <v>2026</v>
      </c>
      <c r="L279" s="8">
        <f t="shared" si="98"/>
        <v>2027</v>
      </c>
      <c r="M279" s="8">
        <f t="shared" si="98"/>
        <v>2028</v>
      </c>
      <c r="N279" s="8">
        <f t="shared" si="98"/>
        <v>2029</v>
      </c>
    </row>
    <row r="282" spans="2:14">
      <c r="B282" s="22" t="s">
        <v>53</v>
      </c>
      <c r="E282" s="81" t="s">
        <v>88</v>
      </c>
      <c r="I282" s="34"/>
      <c r="J282" s="34">
        <f>J37</f>
        <v>2293.9321121758089</v>
      </c>
      <c r="K282" s="34">
        <f>K37</f>
        <v>2335.000806267994</v>
      </c>
      <c r="L282" s="34">
        <f>L37</f>
        <v>2376.0812673996388</v>
      </c>
      <c r="M282" s="34">
        <f>M37</f>
        <v>2387.1919924440417</v>
      </c>
      <c r="N282" s="34">
        <f>N37</f>
        <v>2418.9541815930452</v>
      </c>
    </row>
    <row r="284" spans="2:14">
      <c r="B284" s="22" t="s">
        <v>112</v>
      </c>
    </row>
    <row r="285" spans="2:14">
      <c r="C285" s="2" t="s">
        <v>152</v>
      </c>
      <c r="E285" s="81" t="s">
        <v>88</v>
      </c>
      <c r="I285" s="34"/>
      <c r="J285" s="34">
        <f t="shared" ref="J285:N285" si="99">I287</f>
        <v>0</v>
      </c>
      <c r="K285" s="34">
        <f t="shared" si="99"/>
        <v>0</v>
      </c>
      <c r="L285" s="34">
        <f t="shared" si="99"/>
        <v>0</v>
      </c>
      <c r="M285" s="34">
        <f t="shared" si="99"/>
        <v>50</v>
      </c>
      <c r="N285" s="34">
        <f t="shared" si="99"/>
        <v>50</v>
      </c>
    </row>
    <row r="286" spans="2:14">
      <c r="C286" s="2" t="s">
        <v>153</v>
      </c>
      <c r="E286" s="81" t="s">
        <v>88</v>
      </c>
      <c r="I286" s="34"/>
      <c r="J286" s="34">
        <f>J69</f>
        <v>0</v>
      </c>
      <c r="K286" s="34">
        <f>K69</f>
        <v>0</v>
      </c>
      <c r="L286" s="34">
        <f>L69</f>
        <v>50</v>
      </c>
      <c r="M286" s="34">
        <f>M69</f>
        <v>0</v>
      </c>
      <c r="N286" s="34">
        <f>N69</f>
        <v>0</v>
      </c>
    </row>
    <row r="287" spans="2:14" s="22" customFormat="1">
      <c r="C287" s="22" t="s">
        <v>154</v>
      </c>
      <c r="E287" s="110" t="s">
        <v>88</v>
      </c>
      <c r="I287" s="119">
        <f>I119</f>
        <v>0</v>
      </c>
      <c r="J287" s="119">
        <f t="shared" ref="J287:N287" si="100">SUM(J285:J286)</f>
        <v>0</v>
      </c>
      <c r="K287" s="119">
        <f t="shared" si="100"/>
        <v>0</v>
      </c>
      <c r="L287" s="119">
        <f t="shared" si="100"/>
        <v>50</v>
      </c>
      <c r="M287" s="119">
        <f t="shared" si="100"/>
        <v>50</v>
      </c>
      <c r="N287" s="119">
        <f t="shared" si="100"/>
        <v>50</v>
      </c>
    </row>
    <row r="289" spans="2:14">
      <c r="C289" s="2" t="s">
        <v>155</v>
      </c>
      <c r="E289" s="81" t="s">
        <v>84</v>
      </c>
      <c r="I289" s="121"/>
      <c r="J289" s="121">
        <f>Assumptions!N24</f>
        <v>0.09</v>
      </c>
      <c r="K289" s="120">
        <f t="shared" ref="K289:N289" si="101">J289</f>
        <v>0.09</v>
      </c>
      <c r="L289" s="120">
        <f t="shared" si="101"/>
        <v>0.09</v>
      </c>
      <c r="M289" s="120">
        <f t="shared" si="101"/>
        <v>0.09</v>
      </c>
      <c r="N289" s="120">
        <f t="shared" si="101"/>
        <v>0.09</v>
      </c>
    </row>
    <row r="290" spans="2:14">
      <c r="B290" s="134"/>
      <c r="C290" s="147" t="s">
        <v>160</v>
      </c>
      <c r="D290" s="147"/>
      <c r="E290" s="148" t="s">
        <v>88</v>
      </c>
      <c r="F290" s="147"/>
      <c r="G290" s="147"/>
      <c r="H290" s="147"/>
      <c r="I290" s="143"/>
      <c r="J290" s="143">
        <f t="shared" ref="J290:N290" si="102">J289*J285</f>
        <v>0</v>
      </c>
      <c r="K290" s="143">
        <f t="shared" si="102"/>
        <v>0</v>
      </c>
      <c r="L290" s="143">
        <f t="shared" si="102"/>
        <v>0</v>
      </c>
      <c r="M290" s="143">
        <f t="shared" si="102"/>
        <v>4.5</v>
      </c>
      <c r="N290" s="143">
        <f t="shared" si="102"/>
        <v>4.5</v>
      </c>
    </row>
    <row r="292" spans="2:14">
      <c r="B292" s="22" t="s">
        <v>54</v>
      </c>
    </row>
    <row r="293" spans="2:14">
      <c r="C293" s="2" t="s">
        <v>152</v>
      </c>
      <c r="E293" s="81" t="s">
        <v>88</v>
      </c>
      <c r="I293" s="34"/>
      <c r="J293" s="34">
        <f t="shared" ref="J293:N293" si="103">I295</f>
        <v>1624.1</v>
      </c>
      <c r="K293" s="34">
        <f t="shared" si="103"/>
        <v>1124.0999999999999</v>
      </c>
      <c r="L293" s="34">
        <f t="shared" si="103"/>
        <v>624.09999999999991</v>
      </c>
      <c r="M293" s="34">
        <f t="shared" si="103"/>
        <v>124.09999999999991</v>
      </c>
      <c r="N293" s="34">
        <f t="shared" si="103"/>
        <v>124.09999999999991</v>
      </c>
    </row>
    <row r="294" spans="2:14">
      <c r="C294" s="2" t="s">
        <v>153</v>
      </c>
      <c r="E294" s="81" t="s">
        <v>88</v>
      </c>
      <c r="I294" s="34"/>
      <c r="J294" s="34">
        <f>J70</f>
        <v>-500</v>
      </c>
      <c r="K294" s="34">
        <f>K70</f>
        <v>-500</v>
      </c>
      <c r="L294" s="34">
        <f>L70</f>
        <v>-500</v>
      </c>
      <c r="M294" s="34">
        <f>M70</f>
        <v>0</v>
      </c>
      <c r="N294" s="34">
        <f>N70</f>
        <v>0</v>
      </c>
    </row>
    <row r="295" spans="2:14" s="22" customFormat="1">
      <c r="C295" s="22" t="s">
        <v>154</v>
      </c>
      <c r="E295" s="110" t="s">
        <v>88</v>
      </c>
      <c r="I295" s="119">
        <f>I120</f>
        <v>1624.1</v>
      </c>
      <c r="J295" s="119">
        <f t="shared" ref="J295:N295" si="104">SUM(J293:J294)</f>
        <v>1124.0999999999999</v>
      </c>
      <c r="K295" s="119">
        <f t="shared" si="104"/>
        <v>624.09999999999991</v>
      </c>
      <c r="L295" s="119">
        <f t="shared" si="104"/>
        <v>124.09999999999991</v>
      </c>
      <c r="M295" s="119">
        <f t="shared" si="104"/>
        <v>124.09999999999991</v>
      </c>
      <c r="N295" s="119">
        <f t="shared" si="104"/>
        <v>124.09999999999991</v>
      </c>
    </row>
    <row r="297" spans="2:14">
      <c r="C297" s="2" t="s">
        <v>156</v>
      </c>
      <c r="E297" s="81" t="s">
        <v>84</v>
      </c>
      <c r="I297" s="121"/>
      <c r="J297" s="121">
        <f>Assumptions!N26</f>
        <v>0.4</v>
      </c>
      <c r="K297" s="120">
        <f t="shared" ref="K297:N297" si="105">J297</f>
        <v>0.4</v>
      </c>
      <c r="L297" s="120">
        <f t="shared" si="105"/>
        <v>0.4</v>
      </c>
      <c r="M297" s="120">
        <f t="shared" si="105"/>
        <v>0.4</v>
      </c>
      <c r="N297" s="120">
        <f t="shared" si="105"/>
        <v>0.4</v>
      </c>
    </row>
    <row r="298" spans="2:14">
      <c r="B298" s="147"/>
      <c r="C298" s="147" t="s">
        <v>159</v>
      </c>
      <c r="D298" s="147"/>
      <c r="E298" s="148" t="s">
        <v>88</v>
      </c>
      <c r="F298" s="147"/>
      <c r="G298" s="147"/>
      <c r="H298" s="147"/>
      <c r="I298" s="143"/>
      <c r="J298" s="143">
        <f t="shared" ref="J298:N298" si="106">J297*J282</f>
        <v>917.57284487032359</v>
      </c>
      <c r="K298" s="143">
        <f t="shared" si="106"/>
        <v>934.00032250719767</v>
      </c>
      <c r="L298" s="143">
        <f t="shared" si="106"/>
        <v>950.43250695985557</v>
      </c>
      <c r="M298" s="143">
        <f t="shared" si="106"/>
        <v>954.87679697761678</v>
      </c>
      <c r="N298" s="143">
        <f t="shared" si="106"/>
        <v>967.58167263721816</v>
      </c>
    </row>
    <row r="300" spans="2:14">
      <c r="B300" s="22" t="s">
        <v>41</v>
      </c>
    </row>
    <row r="301" spans="2:14">
      <c r="C301" s="2" t="s">
        <v>152</v>
      </c>
      <c r="E301" s="81" t="s">
        <v>88</v>
      </c>
      <c r="J301" s="34">
        <f>I304</f>
        <v>9612.9</v>
      </c>
      <c r="K301" s="34">
        <f t="shared" ref="K301:N301" si="107">J304</f>
        <v>10989.259267305486</v>
      </c>
      <c r="L301" s="34">
        <f t="shared" si="107"/>
        <v>12390.259751066282</v>
      </c>
      <c r="M301" s="34">
        <f t="shared" si="107"/>
        <v>13815.908511506064</v>
      </c>
      <c r="N301" s="34">
        <f t="shared" si="107"/>
        <v>15248.223706972491</v>
      </c>
    </row>
    <row r="302" spans="2:14">
      <c r="C302" s="2" t="s">
        <v>53</v>
      </c>
      <c r="E302" s="81" t="s">
        <v>88</v>
      </c>
      <c r="J302" s="34">
        <f>J282</f>
        <v>2293.9321121758089</v>
      </c>
      <c r="K302" s="34">
        <f t="shared" ref="K302:N302" si="108">K282</f>
        <v>2335.000806267994</v>
      </c>
      <c r="L302" s="34">
        <f t="shared" si="108"/>
        <v>2376.0812673996388</v>
      </c>
      <c r="M302" s="34">
        <f t="shared" si="108"/>
        <v>2387.1919924440417</v>
      </c>
      <c r="N302" s="34">
        <f t="shared" si="108"/>
        <v>2418.9541815930452</v>
      </c>
    </row>
    <row r="303" spans="2:14">
      <c r="C303" s="2" t="s">
        <v>159</v>
      </c>
      <c r="E303" s="81" t="s">
        <v>88</v>
      </c>
      <c r="J303" s="34">
        <f>-J298</f>
        <v>-917.57284487032359</v>
      </c>
      <c r="K303" s="34">
        <f t="shared" ref="K303:N303" si="109">-K298</f>
        <v>-934.00032250719767</v>
      </c>
      <c r="L303" s="34">
        <f t="shared" si="109"/>
        <v>-950.43250695985557</v>
      </c>
      <c r="M303" s="34">
        <f t="shared" si="109"/>
        <v>-954.87679697761678</v>
      </c>
      <c r="N303" s="34">
        <f t="shared" si="109"/>
        <v>-967.58167263721816</v>
      </c>
    </row>
    <row r="304" spans="2:14" ht="13.5" thickBot="1">
      <c r="B304" s="147"/>
      <c r="C304" s="147" t="s">
        <v>154</v>
      </c>
      <c r="D304" s="147"/>
      <c r="E304" s="148" t="s">
        <v>88</v>
      </c>
      <c r="F304" s="147"/>
      <c r="G304" s="147"/>
      <c r="H304" s="147"/>
      <c r="I304" s="143">
        <f>I121</f>
        <v>9612.9</v>
      </c>
      <c r="J304" s="143">
        <f>SUM(J301:J303)</f>
        <v>10989.259267305486</v>
      </c>
      <c r="K304" s="143">
        <f t="shared" ref="K304:N304" si="110">SUM(K301:K303)</f>
        <v>12390.259751066282</v>
      </c>
      <c r="L304" s="143">
        <f t="shared" si="110"/>
        <v>13815.908511506064</v>
      </c>
      <c r="M304" s="143">
        <f t="shared" si="110"/>
        <v>15248.223706972491</v>
      </c>
      <c r="N304" s="143">
        <f t="shared" si="110"/>
        <v>16699.596215928319</v>
      </c>
    </row>
    <row r="305" spans="1:14" ht="9.75" customHeight="1" thickTop="1">
      <c r="B305" s="39"/>
      <c r="C305" s="39"/>
      <c r="D305" s="39"/>
      <c r="E305" s="111"/>
      <c r="F305" s="39"/>
      <c r="G305" s="39"/>
      <c r="H305" s="39"/>
      <c r="I305" s="142"/>
      <c r="J305" s="142"/>
      <c r="K305" s="142"/>
      <c r="L305" s="142"/>
      <c r="M305" s="142"/>
      <c r="N305" s="142"/>
    </row>
    <row r="307" spans="1:14">
      <c r="B307" s="22"/>
      <c r="G307" s="43"/>
      <c r="H307" s="43"/>
      <c r="I307" s="43"/>
      <c r="L307" s="22" t="str">
        <f>$L$1</f>
        <v>CURRENTLY RUNNING: BASE CASE</v>
      </c>
    </row>
    <row r="308" spans="1:14" ht="23.25">
      <c r="B308" s="1" t="str">
        <f>Cover!$B$9</f>
        <v>Night Owl Inc.</v>
      </c>
      <c r="C308" s="44"/>
      <c r="D308" s="44"/>
      <c r="E308" s="112"/>
      <c r="F308" s="44"/>
      <c r="G308" s="44"/>
      <c r="H308" s="44"/>
      <c r="I308" s="44"/>
      <c r="J308" s="44"/>
      <c r="K308" s="44"/>
      <c r="L308" s="44"/>
      <c r="M308" s="44"/>
      <c r="N308" s="44"/>
    </row>
    <row r="309" spans="1:14" ht="18.75">
      <c r="B309" s="3" t="s">
        <v>161</v>
      </c>
      <c r="C309" s="44"/>
      <c r="D309" s="44"/>
      <c r="E309" s="112"/>
      <c r="F309" s="44"/>
      <c r="G309" s="44"/>
      <c r="H309" s="44"/>
      <c r="I309" s="44"/>
      <c r="J309" s="44"/>
      <c r="K309" s="44"/>
      <c r="L309" s="44"/>
      <c r="M309" s="44"/>
      <c r="N309" s="44"/>
    </row>
    <row r="310" spans="1:14" ht="5.25" customHeight="1" thickBot="1">
      <c r="B310" s="4"/>
      <c r="C310" s="45"/>
      <c r="D310" s="45"/>
      <c r="E310" s="113"/>
      <c r="F310" s="45"/>
      <c r="G310" s="45"/>
      <c r="H310" s="45"/>
      <c r="I310" s="45"/>
      <c r="J310" s="45"/>
      <c r="K310" s="45"/>
      <c r="L310" s="45"/>
      <c r="M310" s="45"/>
      <c r="N310" s="45"/>
    </row>
    <row r="311" spans="1:14" ht="5.25" customHeight="1">
      <c r="B311" s="5"/>
    </row>
    <row r="312" spans="1:14">
      <c r="J312" s="74" t="s">
        <v>67</v>
      </c>
      <c r="K312" s="75"/>
      <c r="L312" s="75"/>
      <c r="M312" s="75"/>
      <c r="N312" s="75"/>
    </row>
    <row r="313" spans="1:14">
      <c r="B313" s="46"/>
      <c r="F313" s="47"/>
      <c r="G313" s="8"/>
      <c r="H313" s="8"/>
      <c r="I313" s="8">
        <f t="shared" ref="I313:N313" si="111">I$8</f>
        <v>2024</v>
      </c>
      <c r="J313" s="8">
        <f t="shared" si="111"/>
        <v>2025</v>
      </c>
      <c r="K313" s="8">
        <f t="shared" si="111"/>
        <v>2026</v>
      </c>
      <c r="L313" s="8">
        <f t="shared" si="111"/>
        <v>2027</v>
      </c>
      <c r="M313" s="8">
        <f t="shared" si="111"/>
        <v>2028</v>
      </c>
      <c r="N313" s="8">
        <f t="shared" si="111"/>
        <v>2029</v>
      </c>
    </row>
    <row r="314" spans="1:14">
      <c r="A314" s="22"/>
      <c r="B314" s="22" t="s">
        <v>162</v>
      </c>
    </row>
    <row r="315" spans="1:14">
      <c r="A315" s="22"/>
      <c r="B315" s="22"/>
      <c r="C315" s="2" t="s">
        <v>163</v>
      </c>
      <c r="E315" s="81" t="s">
        <v>88</v>
      </c>
      <c r="J315" s="34">
        <f>I317</f>
        <v>20.7</v>
      </c>
      <c r="K315" s="34">
        <f t="shared" ref="K315:N315" si="112">J317</f>
        <v>15.000000000000181</v>
      </c>
      <c r="L315" s="34">
        <f t="shared" si="112"/>
        <v>15.000000000000181</v>
      </c>
      <c r="M315" s="34">
        <f t="shared" si="112"/>
        <v>15.000000000000181</v>
      </c>
      <c r="N315" s="34">
        <f t="shared" si="112"/>
        <v>323.74099364057128</v>
      </c>
    </row>
    <row r="316" spans="1:14">
      <c r="A316" s="22"/>
      <c r="B316" s="22"/>
      <c r="C316" s="2" t="s">
        <v>164</v>
      </c>
      <c r="E316" s="81" t="s">
        <v>88</v>
      </c>
      <c r="J316" s="34">
        <f>J76</f>
        <v>-5.6999999999998181</v>
      </c>
      <c r="K316" s="34">
        <f>K76</f>
        <v>0</v>
      </c>
      <c r="L316" s="34">
        <f>L76</f>
        <v>0</v>
      </c>
      <c r="M316" s="34">
        <f>M76</f>
        <v>308.74099364057111</v>
      </c>
      <c r="N316" s="34">
        <f>N76</f>
        <v>651.92191846161586</v>
      </c>
    </row>
    <row r="317" spans="1:14">
      <c r="A317" s="22"/>
      <c r="B317" s="22"/>
      <c r="C317" s="2" t="s">
        <v>165</v>
      </c>
      <c r="E317" s="81" t="s">
        <v>88</v>
      </c>
      <c r="I317" s="34">
        <f>I89</f>
        <v>20.7</v>
      </c>
      <c r="J317" s="34">
        <f>SUM(J315:J316)</f>
        <v>15.000000000000181</v>
      </c>
      <c r="K317" s="34">
        <f t="shared" ref="K317:N317" si="113">SUM(K315:K316)</f>
        <v>15.000000000000181</v>
      </c>
      <c r="L317" s="34">
        <f t="shared" si="113"/>
        <v>15.000000000000181</v>
      </c>
      <c r="M317" s="34">
        <f t="shared" si="113"/>
        <v>323.74099364057128</v>
      </c>
      <c r="N317" s="34">
        <f t="shared" si="113"/>
        <v>975.66291210218719</v>
      </c>
    </row>
    <row r="318" spans="1:14" ht="4.5" customHeight="1">
      <c r="A318" s="22"/>
      <c r="B318" s="22"/>
    </row>
    <row r="319" spans="1:14">
      <c r="A319" s="22"/>
      <c r="B319" s="22"/>
      <c r="C319" s="2" t="s">
        <v>166</v>
      </c>
      <c r="E319" s="81" t="s">
        <v>84</v>
      </c>
      <c r="J319" s="107">
        <f>Assumptions!N18</f>
        <v>5.0000000000000001E-3</v>
      </c>
      <c r="K319" s="146">
        <f>J319</f>
        <v>5.0000000000000001E-3</v>
      </c>
      <c r="L319" s="146">
        <f t="shared" ref="L319:N319" si="114">K319</f>
        <v>5.0000000000000001E-3</v>
      </c>
      <c r="M319" s="146">
        <f t="shared" si="114"/>
        <v>5.0000000000000001E-3</v>
      </c>
      <c r="N319" s="146">
        <f t="shared" si="114"/>
        <v>5.0000000000000001E-3</v>
      </c>
    </row>
    <row r="320" spans="1:14" ht="2.25" customHeight="1">
      <c r="A320" s="22"/>
      <c r="B320" s="22"/>
    </row>
    <row r="321" spans="1:14">
      <c r="A321" s="22"/>
      <c r="B321" s="22"/>
      <c r="C321" s="22" t="s">
        <v>167</v>
      </c>
      <c r="E321" s="81" t="s">
        <v>88</v>
      </c>
      <c r="J321" s="34">
        <f>J319*J315</f>
        <v>0.10349999999999999</v>
      </c>
      <c r="K321" s="34">
        <f t="shared" ref="K321:N321" si="115">K319*K315</f>
        <v>7.5000000000000913E-2</v>
      </c>
      <c r="L321" s="34">
        <f t="shared" si="115"/>
        <v>7.5000000000000913E-2</v>
      </c>
      <c r="M321" s="34">
        <f t="shared" si="115"/>
        <v>7.5000000000000913E-2</v>
      </c>
      <c r="N321" s="34">
        <f t="shared" si="115"/>
        <v>1.6187049682028565</v>
      </c>
    </row>
    <row r="322" spans="1:14" ht="3.75" customHeight="1">
      <c r="A322" s="22"/>
      <c r="B322" s="203"/>
      <c r="C322" s="18"/>
      <c r="D322" s="18"/>
      <c r="E322" s="109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>
      <c r="A323" s="22"/>
      <c r="B323" s="22" t="s">
        <v>102</v>
      </c>
    </row>
    <row r="324" spans="1:14">
      <c r="A324" s="22"/>
      <c r="B324" s="22"/>
      <c r="C324" s="2" t="s">
        <v>18</v>
      </c>
      <c r="E324" s="81" t="s">
        <v>88</v>
      </c>
      <c r="J324" s="34">
        <f>J55</f>
        <v>4038.7518353515661</v>
      </c>
      <c r="K324" s="34">
        <f>K55</f>
        <v>4303.4008467097565</v>
      </c>
      <c r="L324" s="34">
        <f>L55</f>
        <v>4494.4528808642517</v>
      </c>
      <c r="M324" s="34">
        <f>M55</f>
        <v>4677.8179020299904</v>
      </c>
      <c r="N324" s="34">
        <f>N55</f>
        <v>4874.0035910988336</v>
      </c>
    </row>
    <row r="325" spans="1:14">
      <c r="A325" s="22"/>
      <c r="B325" s="22"/>
      <c r="C325" s="2" t="s">
        <v>22</v>
      </c>
      <c r="E325" s="81" t="s">
        <v>88</v>
      </c>
      <c r="J325" s="34">
        <f>J62</f>
        <v>-2000</v>
      </c>
      <c r="K325" s="34">
        <f>K62</f>
        <v>-2000</v>
      </c>
      <c r="L325" s="34">
        <f>L62</f>
        <v>-2500</v>
      </c>
      <c r="M325" s="34">
        <f>M62</f>
        <v>-2500</v>
      </c>
      <c r="N325" s="34">
        <f>N62</f>
        <v>-2500</v>
      </c>
    </row>
    <row r="326" spans="1:14">
      <c r="A326" s="22"/>
      <c r="B326" s="22"/>
      <c r="C326" s="32" t="s">
        <v>172</v>
      </c>
      <c r="E326" s="81" t="s">
        <v>88</v>
      </c>
      <c r="J326" s="34">
        <f>J67</f>
        <v>-250</v>
      </c>
      <c r="K326" s="34">
        <f>K67</f>
        <v>-250</v>
      </c>
      <c r="L326" s="34">
        <f>L67</f>
        <v>-250</v>
      </c>
      <c r="M326" s="34">
        <f>M67</f>
        <v>-250</v>
      </c>
      <c r="N326" s="34">
        <f>N67</f>
        <v>-250</v>
      </c>
    </row>
    <row r="327" spans="1:14">
      <c r="A327" s="22"/>
      <c r="B327" s="22"/>
      <c r="C327" s="32" t="s">
        <v>173</v>
      </c>
      <c r="E327" s="81" t="s">
        <v>88</v>
      </c>
      <c r="J327" s="34">
        <f>J68</f>
        <v>-500</v>
      </c>
      <c r="K327" s="34">
        <f>K68</f>
        <v>-500</v>
      </c>
      <c r="L327" s="34">
        <f>L68</f>
        <v>-500</v>
      </c>
      <c r="M327" s="34">
        <f>M68</f>
        <v>-500</v>
      </c>
      <c r="N327" s="34">
        <f>N68</f>
        <v>-500</v>
      </c>
    </row>
    <row r="328" spans="1:14">
      <c r="A328" s="22"/>
      <c r="B328" s="22"/>
      <c r="C328" s="32" t="s">
        <v>158</v>
      </c>
      <c r="E328" s="81" t="s">
        <v>88</v>
      </c>
      <c r="J328" s="34">
        <f>J69</f>
        <v>0</v>
      </c>
      <c r="K328" s="34">
        <f>K69</f>
        <v>0</v>
      </c>
      <c r="L328" s="34">
        <f>L69</f>
        <v>50</v>
      </c>
      <c r="M328" s="34">
        <f>M69</f>
        <v>0</v>
      </c>
      <c r="N328" s="34">
        <f>N69</f>
        <v>0</v>
      </c>
    </row>
    <row r="329" spans="1:14">
      <c r="A329" s="22"/>
      <c r="B329" s="22"/>
      <c r="C329" s="2" t="s">
        <v>61</v>
      </c>
      <c r="E329" s="81" t="s">
        <v>88</v>
      </c>
      <c r="J329" s="34">
        <f>J70</f>
        <v>-500</v>
      </c>
      <c r="K329" s="34">
        <f>K70</f>
        <v>-500</v>
      </c>
      <c r="L329" s="34">
        <f>L70</f>
        <v>-500</v>
      </c>
      <c r="M329" s="34">
        <f>M70</f>
        <v>0</v>
      </c>
      <c r="N329" s="34">
        <f>N70</f>
        <v>0</v>
      </c>
    </row>
    <row r="330" spans="1:14">
      <c r="A330" s="22"/>
      <c r="B330" s="22"/>
      <c r="C330" s="2" t="s">
        <v>157</v>
      </c>
      <c r="E330" s="81" t="s">
        <v>88</v>
      </c>
      <c r="J330" s="34">
        <f>J71</f>
        <v>0</v>
      </c>
      <c r="K330" s="34">
        <f>K71</f>
        <v>0</v>
      </c>
      <c r="L330" s="34">
        <f>L71</f>
        <v>0</v>
      </c>
      <c r="M330" s="34">
        <f>M71</f>
        <v>-4.5</v>
      </c>
      <c r="N330" s="34">
        <f>N71</f>
        <v>-4.5</v>
      </c>
    </row>
    <row r="331" spans="1:14">
      <c r="A331" s="22"/>
      <c r="B331" s="22"/>
      <c r="C331" s="2" t="s">
        <v>55</v>
      </c>
      <c r="E331" s="81" t="s">
        <v>88</v>
      </c>
      <c r="J331" s="34">
        <f>J72</f>
        <v>-917.57284487032359</v>
      </c>
      <c r="K331" s="34">
        <f>K72</f>
        <v>-934.00032250719767</v>
      </c>
      <c r="L331" s="34">
        <f>L72</f>
        <v>-950.43250695985557</v>
      </c>
      <c r="M331" s="34">
        <f>M72</f>
        <v>-954.87679697761678</v>
      </c>
      <c r="N331" s="34">
        <f>N72</f>
        <v>-967.58167263721816</v>
      </c>
    </row>
    <row r="332" spans="1:14">
      <c r="A332" s="22"/>
      <c r="B332" s="22"/>
      <c r="C332" s="2" t="s">
        <v>29</v>
      </c>
      <c r="E332" s="81" t="s">
        <v>88</v>
      </c>
      <c r="J332" s="34">
        <f>J73</f>
        <v>0</v>
      </c>
      <c r="K332" s="34">
        <f>K73</f>
        <v>0</v>
      </c>
      <c r="L332" s="34">
        <f>L73</f>
        <v>0</v>
      </c>
      <c r="M332" s="34">
        <f>M73</f>
        <v>0</v>
      </c>
      <c r="N332" s="34">
        <f>N73</f>
        <v>0</v>
      </c>
    </row>
    <row r="333" spans="1:14" ht="6" customHeight="1">
      <c r="A333" s="22"/>
      <c r="B333" s="22"/>
    </row>
    <row r="334" spans="1:14">
      <c r="A334" s="22"/>
      <c r="B334" s="22"/>
      <c r="C334" s="22" t="s">
        <v>171</v>
      </c>
      <c r="D334" s="22"/>
      <c r="E334" s="110" t="s">
        <v>88</v>
      </c>
      <c r="F334" s="22"/>
      <c r="G334" s="22"/>
      <c r="H334" s="22"/>
      <c r="I334" s="22"/>
      <c r="J334" s="119">
        <f>SUM(J324:J332)</f>
        <v>-128.82100951875748</v>
      </c>
      <c r="K334" s="119">
        <f t="shared" ref="K334:N334" si="116">SUM(K324:K332)</f>
        <v>119.40052420255881</v>
      </c>
      <c r="L334" s="119">
        <f t="shared" si="116"/>
        <v>-155.97962609560386</v>
      </c>
      <c r="M334" s="119">
        <f t="shared" si="116"/>
        <v>468.44110505237359</v>
      </c>
      <c r="N334" s="119">
        <f t="shared" si="116"/>
        <v>651.92191846161541</v>
      </c>
    </row>
    <row r="335" spans="1:14" ht="5.25" customHeight="1">
      <c r="A335" s="22"/>
      <c r="B335" s="22"/>
      <c r="C335" s="22"/>
      <c r="D335" s="22"/>
      <c r="E335" s="110"/>
      <c r="F335" s="22"/>
      <c r="G335" s="22"/>
      <c r="H335" s="22"/>
      <c r="I335" s="22"/>
      <c r="J335" s="119"/>
      <c r="K335" s="119"/>
      <c r="L335" s="119"/>
      <c r="M335" s="119"/>
      <c r="N335" s="119"/>
    </row>
    <row r="336" spans="1:14">
      <c r="A336" s="22"/>
      <c r="B336" s="22"/>
      <c r="C336" s="22" t="s">
        <v>177</v>
      </c>
      <c r="E336" s="81" t="s">
        <v>88</v>
      </c>
      <c r="J336" s="106">
        <f>Assumptions!N19</f>
        <v>15</v>
      </c>
      <c r="K336" s="2">
        <f>J336</f>
        <v>15</v>
      </c>
      <c r="L336" s="2">
        <f t="shared" ref="L336:N336" si="117">K336</f>
        <v>15</v>
      </c>
      <c r="M336" s="2">
        <f t="shared" si="117"/>
        <v>15</v>
      </c>
      <c r="N336" s="2">
        <f t="shared" si="117"/>
        <v>15</v>
      </c>
    </row>
    <row r="337" spans="1:14">
      <c r="A337" s="22"/>
      <c r="B337" s="22"/>
      <c r="C337" s="2" t="s">
        <v>187</v>
      </c>
      <c r="E337" s="81" t="s">
        <v>88</v>
      </c>
      <c r="J337" s="34">
        <f>I339</f>
        <v>0</v>
      </c>
      <c r="K337" s="34">
        <f t="shared" ref="K337:N337" si="118">J339</f>
        <v>123.12100951875748</v>
      </c>
      <c r="L337" s="34">
        <f t="shared" si="118"/>
        <v>3.7204853161984914</v>
      </c>
      <c r="M337" s="34">
        <f t="shared" si="118"/>
        <v>159.7001114118022</v>
      </c>
      <c r="N337" s="34">
        <f t="shared" si="118"/>
        <v>0</v>
      </c>
    </row>
    <row r="338" spans="1:14">
      <c r="A338" s="22"/>
      <c r="B338" s="22"/>
      <c r="C338" s="2" t="s">
        <v>168</v>
      </c>
      <c r="E338" s="81" t="s">
        <v>88</v>
      </c>
      <c r="J338" s="34">
        <f>IF((J315+J334)&gt;J336,-MIN(J337,(J315+J334)-J336),J336-(J315+J334))</f>
        <v>123.12100951875748</v>
      </c>
      <c r="K338" s="34">
        <f t="shared" ref="K338:N338" si="119">IF((K315+K334)&gt;K336,-MIN(K337,(K315+K334)-K336),K336-(K315+K334))</f>
        <v>-119.40052420255898</v>
      </c>
      <c r="L338" s="34">
        <f t="shared" si="119"/>
        <v>155.97962609560369</v>
      </c>
      <c r="M338" s="34">
        <f t="shared" si="119"/>
        <v>-159.7001114118022</v>
      </c>
      <c r="N338" s="34">
        <f t="shared" si="119"/>
        <v>0</v>
      </c>
    </row>
    <row r="339" spans="1:14">
      <c r="A339" s="22"/>
      <c r="B339" s="22"/>
      <c r="C339" s="2" t="s">
        <v>189</v>
      </c>
      <c r="E339" s="81" t="s">
        <v>88</v>
      </c>
      <c r="I339" s="34">
        <f>I110</f>
        <v>0</v>
      </c>
      <c r="J339" s="34">
        <f>SUM(J337:J338)</f>
        <v>123.12100951875748</v>
      </c>
      <c r="K339" s="34">
        <f t="shared" ref="K339:N339" si="120">SUM(K337:K338)</f>
        <v>3.7204853161984914</v>
      </c>
      <c r="L339" s="34">
        <f t="shared" si="120"/>
        <v>159.7001114118022</v>
      </c>
      <c r="M339" s="34">
        <f t="shared" si="120"/>
        <v>0</v>
      </c>
      <c r="N339" s="34">
        <f t="shared" si="120"/>
        <v>0</v>
      </c>
    </row>
    <row r="340" spans="1:14" ht="3" customHeight="1">
      <c r="A340" s="22"/>
      <c r="B340" s="22"/>
      <c r="J340" s="34"/>
    </row>
    <row r="341" spans="1:14">
      <c r="A341" s="22"/>
      <c r="B341" s="22"/>
      <c r="C341" s="2" t="s">
        <v>169</v>
      </c>
      <c r="E341" s="81" t="s">
        <v>84</v>
      </c>
      <c r="J341" s="121">
        <f>Assumptions!N13</f>
        <v>7.0000000000000007E-2</v>
      </c>
      <c r="K341" s="120">
        <f>J341</f>
        <v>7.0000000000000007E-2</v>
      </c>
      <c r="L341" s="120">
        <f t="shared" ref="L341:N341" si="121">K341</f>
        <v>7.0000000000000007E-2</v>
      </c>
      <c r="M341" s="120">
        <f t="shared" si="121"/>
        <v>7.0000000000000007E-2</v>
      </c>
      <c r="N341" s="120">
        <f t="shared" si="121"/>
        <v>7.0000000000000007E-2</v>
      </c>
    </row>
    <row r="342" spans="1:14" ht="3.75" customHeight="1">
      <c r="A342" s="22"/>
      <c r="B342" s="22"/>
    </row>
    <row r="343" spans="1:14">
      <c r="A343" s="22"/>
      <c r="B343" s="22"/>
      <c r="C343" s="22" t="s">
        <v>170</v>
      </c>
      <c r="E343" s="81" t="s">
        <v>88</v>
      </c>
      <c r="J343" s="34">
        <f>J341*J337</f>
        <v>0</v>
      </c>
      <c r="K343" s="34">
        <f t="shared" ref="K343:N343" si="122">K341*K337</f>
        <v>8.6184706663130246</v>
      </c>
      <c r="L343" s="34">
        <f t="shared" si="122"/>
        <v>0.26043397213389441</v>
      </c>
      <c r="M343" s="34">
        <f t="shared" si="122"/>
        <v>11.179007798826154</v>
      </c>
      <c r="N343" s="34">
        <f t="shared" si="122"/>
        <v>0</v>
      </c>
    </row>
    <row r="344" spans="1:14" ht="4.5" customHeight="1">
      <c r="A344" s="22"/>
      <c r="B344" s="203"/>
      <c r="C344" s="18"/>
      <c r="D344" s="18"/>
      <c r="E344" s="109"/>
      <c r="F344" s="18"/>
      <c r="G344" s="18"/>
      <c r="H344" s="18"/>
      <c r="I344" s="18"/>
      <c r="J344" s="18"/>
      <c r="K344" s="18"/>
      <c r="L344" s="18"/>
      <c r="M344" s="18"/>
      <c r="N344" s="18"/>
    </row>
    <row r="345" spans="1:14">
      <c r="A345" s="22"/>
      <c r="B345" s="22" t="s">
        <v>104</v>
      </c>
    </row>
    <row r="346" spans="1:14">
      <c r="A346" s="22"/>
      <c r="B346" s="22"/>
      <c r="C346" s="2" t="s">
        <v>163</v>
      </c>
      <c r="E346" s="81" t="s">
        <v>88</v>
      </c>
      <c r="J346" s="34">
        <f>I348</f>
        <v>6614.7000000000007</v>
      </c>
      <c r="K346" s="34">
        <f t="shared" ref="K346:N346" si="123">J348</f>
        <v>6364.7000000000007</v>
      </c>
      <c r="L346" s="34">
        <f t="shared" si="123"/>
        <v>6114.7000000000007</v>
      </c>
      <c r="M346" s="34">
        <f t="shared" si="123"/>
        <v>5864.7000000000007</v>
      </c>
      <c r="N346" s="34">
        <f t="shared" si="123"/>
        <v>5614.7000000000007</v>
      </c>
    </row>
    <row r="347" spans="1:14">
      <c r="A347" s="22"/>
      <c r="B347" s="22"/>
      <c r="C347" s="2" t="s">
        <v>168</v>
      </c>
      <c r="E347" s="81" t="s">
        <v>88</v>
      </c>
      <c r="J347" s="34">
        <f>J67</f>
        <v>-250</v>
      </c>
      <c r="K347" s="34">
        <f>K67</f>
        <v>-250</v>
      </c>
      <c r="L347" s="34">
        <f>L67</f>
        <v>-250</v>
      </c>
      <c r="M347" s="34">
        <f>M67</f>
        <v>-250</v>
      </c>
      <c r="N347" s="34">
        <f>N67</f>
        <v>-250</v>
      </c>
    </row>
    <row r="348" spans="1:14">
      <c r="A348" s="22"/>
      <c r="B348" s="22"/>
      <c r="C348" s="2" t="s">
        <v>165</v>
      </c>
      <c r="E348" s="81" t="s">
        <v>88</v>
      </c>
      <c r="I348" s="34">
        <f>I111</f>
        <v>6614.7000000000007</v>
      </c>
      <c r="J348" s="34">
        <f>SUM(J346:J347)</f>
        <v>6364.7000000000007</v>
      </c>
      <c r="K348" s="34">
        <f t="shared" ref="K348:N348" si="124">SUM(K346:K347)</f>
        <v>6114.7000000000007</v>
      </c>
      <c r="L348" s="34">
        <f t="shared" si="124"/>
        <v>5864.7000000000007</v>
      </c>
      <c r="M348" s="34">
        <f t="shared" si="124"/>
        <v>5614.7000000000007</v>
      </c>
      <c r="N348" s="34">
        <f t="shared" si="124"/>
        <v>5364.7000000000007</v>
      </c>
    </row>
    <row r="349" spans="1:14" ht="3.75" customHeight="1">
      <c r="A349" s="22"/>
      <c r="B349" s="22"/>
    </row>
    <row r="350" spans="1:14">
      <c r="A350" s="22"/>
      <c r="B350" s="22"/>
      <c r="C350" s="2" t="s">
        <v>188</v>
      </c>
      <c r="E350" s="81" t="s">
        <v>84</v>
      </c>
      <c r="J350" s="145">
        <f>Assumptions!N15</f>
        <v>7.1000000000000008E-2</v>
      </c>
      <c r="K350" s="144">
        <f>J350</f>
        <v>7.1000000000000008E-2</v>
      </c>
      <c r="L350" s="144">
        <f t="shared" ref="L350:N350" si="125">K350</f>
        <v>7.1000000000000008E-2</v>
      </c>
      <c r="M350" s="144">
        <f t="shared" si="125"/>
        <v>7.1000000000000008E-2</v>
      </c>
      <c r="N350" s="144">
        <f t="shared" si="125"/>
        <v>7.1000000000000008E-2</v>
      </c>
    </row>
    <row r="351" spans="1:14" ht="5.25" customHeight="1">
      <c r="A351" s="22"/>
      <c r="B351" s="22"/>
    </row>
    <row r="352" spans="1:14">
      <c r="A352" s="22"/>
      <c r="B352" s="22"/>
      <c r="C352" s="22" t="s">
        <v>186</v>
      </c>
      <c r="E352" s="81" t="s">
        <v>88</v>
      </c>
      <c r="J352" s="34">
        <f>J350*J346</f>
        <v>469.64370000000008</v>
      </c>
      <c r="K352" s="34">
        <f t="shared" ref="K352:N352" si="126">K350*K346</f>
        <v>451.89370000000008</v>
      </c>
      <c r="L352" s="34">
        <f t="shared" si="126"/>
        <v>434.14370000000008</v>
      </c>
      <c r="M352" s="34">
        <f t="shared" si="126"/>
        <v>416.39370000000008</v>
      </c>
      <c r="N352" s="34">
        <f t="shared" si="126"/>
        <v>398.64370000000008</v>
      </c>
    </row>
    <row r="353" spans="1:14" ht="8.25" customHeight="1">
      <c r="A353" s="22"/>
      <c r="B353" s="203"/>
      <c r="C353" s="18"/>
      <c r="D353" s="18"/>
      <c r="E353" s="109"/>
      <c r="F353" s="18"/>
      <c r="G353" s="18"/>
      <c r="H353" s="18"/>
      <c r="I353" s="18"/>
      <c r="J353" s="18"/>
      <c r="K353" s="18"/>
      <c r="L353" s="18"/>
      <c r="M353" s="18"/>
      <c r="N353" s="18"/>
    </row>
    <row r="354" spans="1:14">
      <c r="A354" s="22"/>
      <c r="B354" s="22" t="s">
        <v>103</v>
      </c>
    </row>
    <row r="355" spans="1:14">
      <c r="A355" s="22"/>
      <c r="B355" s="22"/>
      <c r="C355" s="2" t="s">
        <v>163</v>
      </c>
      <c r="E355" s="81" t="s">
        <v>88</v>
      </c>
      <c r="J355" s="34">
        <f>I357</f>
        <v>3131.7</v>
      </c>
      <c r="K355" s="34">
        <f t="shared" ref="K355:N355" si="127">J357</f>
        <v>2631.7</v>
      </c>
      <c r="L355" s="34">
        <f t="shared" si="127"/>
        <v>2131.6999999999998</v>
      </c>
      <c r="M355" s="34">
        <f t="shared" si="127"/>
        <v>1631.6999999999998</v>
      </c>
      <c r="N355" s="34">
        <f t="shared" si="127"/>
        <v>1131.6999999999998</v>
      </c>
    </row>
    <row r="356" spans="1:14">
      <c r="A356" s="22"/>
      <c r="B356" s="22"/>
      <c r="C356" s="2" t="s">
        <v>168</v>
      </c>
      <c r="E356" s="81" t="s">
        <v>88</v>
      </c>
      <c r="J356" s="34">
        <f>J68</f>
        <v>-500</v>
      </c>
      <c r="K356" s="34">
        <f>K68</f>
        <v>-500</v>
      </c>
      <c r="L356" s="34">
        <f>L68</f>
        <v>-500</v>
      </c>
      <c r="M356" s="34">
        <f>M68</f>
        <v>-500</v>
      </c>
      <c r="N356" s="34">
        <f>N68</f>
        <v>-500</v>
      </c>
    </row>
    <row r="357" spans="1:14">
      <c r="A357" s="22"/>
      <c r="B357" s="22"/>
      <c r="C357" s="2" t="s">
        <v>165</v>
      </c>
      <c r="E357" s="81" t="s">
        <v>88</v>
      </c>
      <c r="I357" s="34">
        <f>I112</f>
        <v>3131.7</v>
      </c>
      <c r="J357" s="34">
        <f>SUM(J355:J356)</f>
        <v>2631.7</v>
      </c>
      <c r="K357" s="34">
        <f t="shared" ref="K357:N357" si="128">SUM(K355:K356)</f>
        <v>2131.6999999999998</v>
      </c>
      <c r="L357" s="34">
        <f t="shared" si="128"/>
        <v>1631.6999999999998</v>
      </c>
      <c r="M357" s="34">
        <f t="shared" si="128"/>
        <v>1131.6999999999998</v>
      </c>
      <c r="N357" s="34">
        <f t="shared" si="128"/>
        <v>631.69999999999982</v>
      </c>
    </row>
    <row r="358" spans="1:14" ht="6" customHeight="1">
      <c r="A358" s="22"/>
      <c r="B358" s="22"/>
    </row>
    <row r="359" spans="1:14">
      <c r="A359" s="22"/>
      <c r="B359" s="22"/>
      <c r="C359" s="2" t="s">
        <v>174</v>
      </c>
      <c r="E359" s="81" t="s">
        <v>84</v>
      </c>
      <c r="J359" s="145">
        <f>Assumptions!N14</f>
        <v>6.25E-2</v>
      </c>
      <c r="K359" s="144">
        <f>J359</f>
        <v>6.25E-2</v>
      </c>
      <c r="L359" s="144">
        <f t="shared" ref="L359:N359" si="129">K359</f>
        <v>6.25E-2</v>
      </c>
      <c r="M359" s="144">
        <f t="shared" si="129"/>
        <v>6.25E-2</v>
      </c>
      <c r="N359" s="144">
        <f t="shared" si="129"/>
        <v>6.25E-2</v>
      </c>
    </row>
    <row r="360" spans="1:14" ht="3.75" customHeight="1">
      <c r="A360" s="22"/>
      <c r="B360" s="22"/>
    </row>
    <row r="361" spans="1:14">
      <c r="A361" s="22"/>
      <c r="B361" s="22"/>
      <c r="C361" s="22" t="s">
        <v>185</v>
      </c>
      <c r="E361" s="81" t="s">
        <v>88</v>
      </c>
      <c r="J361" s="34">
        <f>J359*J355</f>
        <v>195.73124999999999</v>
      </c>
      <c r="K361" s="34">
        <f t="shared" ref="K361:N361" si="130">K359*K355</f>
        <v>164.48124999999999</v>
      </c>
      <c r="L361" s="34">
        <f t="shared" si="130"/>
        <v>133.23124999999999</v>
      </c>
      <c r="M361" s="34">
        <f t="shared" si="130"/>
        <v>101.98124999999999</v>
      </c>
      <c r="N361" s="34">
        <f t="shared" si="130"/>
        <v>70.731249999999989</v>
      </c>
    </row>
    <row r="362" spans="1:14" ht="6.75" customHeight="1">
      <c r="A362" s="22"/>
      <c r="B362" s="22"/>
    </row>
    <row r="363" spans="1:14" ht="13.5" thickBot="1">
      <c r="A363" s="22"/>
      <c r="B363" s="147" t="s">
        <v>56</v>
      </c>
      <c r="C363" s="134"/>
      <c r="D363" s="134"/>
      <c r="E363" s="148" t="s">
        <v>88</v>
      </c>
      <c r="F363" s="134"/>
      <c r="G363" s="134"/>
      <c r="H363" s="134"/>
      <c r="I363" s="134"/>
      <c r="J363" s="123">
        <f>J361+J352+J343-J321</f>
        <v>665.27145000000007</v>
      </c>
      <c r="K363" s="123">
        <f t="shared" ref="K363:N363" si="131">K361+K352+K343-K321</f>
        <v>624.91842066631307</v>
      </c>
      <c r="L363" s="123">
        <f t="shared" si="131"/>
        <v>567.56038397213399</v>
      </c>
      <c r="M363" s="123">
        <f t="shared" si="131"/>
        <v>529.47895779882629</v>
      </c>
      <c r="N363" s="123">
        <f t="shared" si="131"/>
        <v>467.75624503179722</v>
      </c>
    </row>
    <row r="364" spans="1:14" ht="3.75" customHeight="1" thickTop="1">
      <c r="B364" s="39"/>
      <c r="C364" s="39"/>
      <c r="D364" s="39"/>
      <c r="E364" s="111"/>
      <c r="F364" s="39"/>
      <c r="G364" s="39"/>
      <c r="H364" s="39"/>
      <c r="I364" s="39"/>
      <c r="J364" s="39"/>
      <c r="K364" s="39"/>
      <c r="L364" s="39"/>
      <c r="M364" s="39"/>
      <c r="N364" s="39"/>
    </row>
  </sheetData>
  <sheetProtection formatCells="0"/>
  <printOptions horizontalCentered="1"/>
  <pageMargins left="7.874015748031496E-2" right="7.874015748031496E-2" top="7.874015748031496E-2" bottom="0.19685039370078741" header="0" footer="0.11811023622047245"/>
  <pageSetup scale="95" orientation="landscape" r:id="rId1"/>
  <headerFooter alignWithMargins="0">
    <oddFooter>&amp;LC:/Users/Yamini/&amp;F&amp;CPage &amp;P of &amp;N&amp;RDate: &amp;D 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Exam Info</vt:lpstr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2020-10-02T18:01:15Z</dcterms:created>
  <dcterms:modified xsi:type="dcterms:W3CDTF">2025-05-10T18:07:10Z</dcterms:modified>
</cp:coreProperties>
</file>