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G:\My Drive\Wejo\"/>
    </mc:Choice>
  </mc:AlternateContent>
  <xr:revisionPtr revIDLastSave="0" documentId="13_ncr:1_{6D0A1BBB-3F9F-4A87-AB47-7DE32ECE929C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Vehicle Model Parameters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r8igYtJ7MTWpgKzVIHBRQZ/+yPg=="/>
    </ext>
  </extLst>
</workbook>
</file>

<file path=xl/calcChain.xml><?xml version="1.0" encoding="utf-8"?>
<calcChain xmlns="http://schemas.openxmlformats.org/spreadsheetml/2006/main">
  <c r="BS97" i="3" l="1"/>
  <c r="BX97" i="3"/>
  <c r="BS98" i="3"/>
  <c r="BX98" i="3"/>
  <c r="BS99" i="3"/>
  <c r="BX99" i="3"/>
  <c r="BS100" i="3"/>
  <c r="BX100" i="3"/>
  <c r="BS101" i="3"/>
  <c r="BX101" i="3"/>
  <c r="BS102" i="3"/>
  <c r="BX102" i="3"/>
  <c r="BS103" i="3"/>
  <c r="BX103" i="3"/>
  <c r="BS104" i="3"/>
  <c r="BX104" i="3"/>
  <c r="BS105" i="3"/>
  <c r="BX105" i="3"/>
  <c r="BS106" i="3"/>
  <c r="BX106" i="3"/>
  <c r="BS107" i="3"/>
  <c r="BX107" i="3"/>
  <c r="BS108" i="3"/>
  <c r="BX108" i="3"/>
  <c r="BS109" i="3"/>
  <c r="BX109" i="3"/>
  <c r="BS110" i="3"/>
  <c r="BX110" i="3"/>
  <c r="BS111" i="3"/>
  <c r="BX111" i="3"/>
  <c r="BS112" i="3"/>
  <c r="BX112" i="3"/>
  <c r="BX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S96" i="3"/>
  <c r="BB97" i="3"/>
  <c r="BC97" i="3"/>
  <c r="BD97" i="3"/>
  <c r="BB98" i="3"/>
  <c r="BC98" i="3"/>
  <c r="BD98" i="3"/>
  <c r="BB99" i="3"/>
  <c r="BC99" i="3"/>
  <c r="BD99" i="3"/>
  <c r="BB100" i="3"/>
  <c r="BC100" i="3"/>
  <c r="BD100" i="3"/>
  <c r="BB101" i="3"/>
  <c r="BC101" i="3"/>
  <c r="BD101" i="3"/>
  <c r="BB102" i="3"/>
  <c r="BC102" i="3"/>
  <c r="BD102" i="3"/>
  <c r="BB103" i="3"/>
  <c r="BC103" i="3"/>
  <c r="BD103" i="3"/>
  <c r="BB104" i="3"/>
  <c r="BC104" i="3"/>
  <c r="BD104" i="3"/>
  <c r="BB105" i="3"/>
  <c r="BC105" i="3"/>
  <c r="BD105" i="3"/>
  <c r="BB106" i="3"/>
  <c r="BC106" i="3"/>
  <c r="BD106" i="3"/>
  <c r="BB107" i="3"/>
  <c r="BC107" i="3"/>
  <c r="BD107" i="3"/>
  <c r="BB108" i="3"/>
  <c r="BC108" i="3"/>
  <c r="BD108" i="3"/>
  <c r="BB109" i="3"/>
  <c r="BC109" i="3"/>
  <c r="BD109" i="3"/>
  <c r="BB110" i="3"/>
  <c r="BC110" i="3"/>
  <c r="BD110" i="3"/>
  <c r="BB111" i="3"/>
  <c r="BC111" i="3"/>
  <c r="BD111" i="3"/>
  <c r="BB112" i="3"/>
  <c r="BC112" i="3"/>
  <c r="BD112" i="3"/>
  <c r="BC96" i="3"/>
  <c r="BD96" i="3"/>
  <c r="BE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B96" i="3"/>
  <c r="F106" i="3"/>
  <c r="F102" i="3" l="1"/>
  <c r="H102" i="3"/>
  <c r="J102" i="3"/>
  <c r="L102" i="3"/>
  <c r="M102" i="3"/>
  <c r="N102" i="3"/>
  <c r="O102" i="3"/>
  <c r="P102" i="3"/>
  <c r="S102" i="3"/>
  <c r="T102" i="3"/>
  <c r="U102" i="3"/>
  <c r="W102" i="3"/>
  <c r="X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J103" i="3"/>
  <c r="L103" i="3"/>
  <c r="M103" i="3"/>
  <c r="N103" i="3"/>
  <c r="O103" i="3"/>
  <c r="P103" i="3"/>
  <c r="S103" i="3"/>
  <c r="T103" i="3"/>
  <c r="U103" i="3"/>
  <c r="W103" i="3"/>
  <c r="X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F104" i="3"/>
  <c r="J104" i="3"/>
  <c r="L104" i="3"/>
  <c r="M104" i="3"/>
  <c r="N104" i="3"/>
  <c r="O104" i="3"/>
  <c r="P104" i="3"/>
  <c r="S104" i="3"/>
  <c r="T104" i="3"/>
  <c r="U104" i="3"/>
  <c r="W104" i="3"/>
  <c r="X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H105" i="3"/>
  <c r="J105" i="3"/>
  <c r="L105" i="3"/>
  <c r="M105" i="3"/>
  <c r="N105" i="3"/>
  <c r="O105" i="3"/>
  <c r="P105" i="3"/>
  <c r="S105" i="3"/>
  <c r="T105" i="3"/>
  <c r="U105" i="3"/>
  <c r="W105" i="3"/>
  <c r="X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G106" i="3"/>
  <c r="H106" i="3"/>
  <c r="J106" i="3"/>
  <c r="L106" i="3"/>
  <c r="M106" i="3"/>
  <c r="N106" i="3"/>
  <c r="O106" i="3"/>
  <c r="P106" i="3"/>
  <c r="S106" i="3"/>
  <c r="T106" i="3"/>
  <c r="U106" i="3"/>
  <c r="W106" i="3"/>
  <c r="X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F107" i="3"/>
  <c r="J107" i="3"/>
  <c r="L107" i="3"/>
  <c r="M107" i="3"/>
  <c r="N107" i="3"/>
  <c r="O107" i="3"/>
  <c r="P107" i="3"/>
  <c r="S107" i="3"/>
  <c r="T107" i="3"/>
  <c r="U107" i="3"/>
  <c r="W107" i="3"/>
  <c r="X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F108" i="3"/>
  <c r="J108" i="3"/>
  <c r="L108" i="3"/>
  <c r="M108" i="3"/>
  <c r="N108" i="3"/>
  <c r="O108" i="3"/>
  <c r="P108" i="3"/>
  <c r="S108" i="3"/>
  <c r="T108" i="3"/>
  <c r="U108" i="3"/>
  <c r="W108" i="3"/>
  <c r="X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F109" i="3"/>
  <c r="H109" i="3"/>
  <c r="I109" i="3"/>
  <c r="J109" i="3"/>
  <c r="L109" i="3"/>
  <c r="M109" i="3"/>
  <c r="N109" i="3"/>
  <c r="O109" i="3"/>
  <c r="P109" i="3"/>
  <c r="S109" i="3"/>
  <c r="T109" i="3"/>
  <c r="U109" i="3"/>
  <c r="W109" i="3"/>
  <c r="X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F110" i="3"/>
  <c r="J110" i="3"/>
  <c r="L110" i="3"/>
  <c r="M110" i="3"/>
  <c r="N110" i="3"/>
  <c r="O110" i="3"/>
  <c r="P110" i="3"/>
  <c r="S110" i="3"/>
  <c r="T110" i="3"/>
  <c r="U110" i="3"/>
  <c r="W110" i="3"/>
  <c r="X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F111" i="3"/>
  <c r="J111" i="3"/>
  <c r="L111" i="3"/>
  <c r="M111" i="3"/>
  <c r="N111" i="3"/>
  <c r="O111" i="3"/>
  <c r="P111" i="3"/>
  <c r="S111" i="3"/>
  <c r="T111" i="3"/>
  <c r="U111" i="3"/>
  <c r="W111" i="3"/>
  <c r="X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F112" i="3"/>
  <c r="J112" i="3"/>
  <c r="L112" i="3"/>
  <c r="M112" i="3"/>
  <c r="N112" i="3"/>
  <c r="O112" i="3"/>
  <c r="P112" i="3"/>
  <c r="S112" i="3"/>
  <c r="T112" i="3"/>
  <c r="U112" i="3"/>
  <c r="W112" i="3"/>
  <c r="X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D112" i="3"/>
  <c r="D111" i="3"/>
  <c r="D106" i="3"/>
  <c r="D110" i="3"/>
  <c r="D109" i="3"/>
  <c r="D108" i="3"/>
  <c r="D107" i="3"/>
  <c r="D105" i="3"/>
  <c r="D104" i="3"/>
  <c r="D103" i="3"/>
  <c r="D102" i="3"/>
  <c r="F101" i="3"/>
  <c r="J101" i="3"/>
  <c r="L101" i="3"/>
  <c r="M101" i="3"/>
  <c r="N101" i="3"/>
  <c r="O101" i="3"/>
  <c r="P101" i="3"/>
  <c r="S101" i="3"/>
  <c r="T101" i="3"/>
  <c r="U101" i="3"/>
  <c r="W101" i="3"/>
  <c r="X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D101" i="3"/>
  <c r="H100" i="3"/>
  <c r="J100" i="3"/>
  <c r="L100" i="3"/>
  <c r="M100" i="3"/>
  <c r="N100" i="3"/>
  <c r="O100" i="3"/>
  <c r="P100" i="3"/>
  <c r="S100" i="3"/>
  <c r="T100" i="3"/>
  <c r="U100" i="3"/>
  <c r="W100" i="3"/>
  <c r="X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D100" i="3"/>
  <c r="F99" i="3"/>
  <c r="J99" i="3"/>
  <c r="L99" i="3"/>
  <c r="M99" i="3"/>
  <c r="N99" i="3"/>
  <c r="O99" i="3"/>
  <c r="P99" i="3"/>
  <c r="S99" i="3"/>
  <c r="T99" i="3"/>
  <c r="U99" i="3"/>
  <c r="W99" i="3"/>
  <c r="X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D99" i="3"/>
  <c r="F98" i="3"/>
  <c r="G98" i="3"/>
  <c r="H98" i="3"/>
  <c r="I98" i="3"/>
  <c r="J98" i="3"/>
  <c r="L98" i="3"/>
  <c r="M98" i="3"/>
  <c r="N98" i="3"/>
  <c r="O98" i="3"/>
  <c r="P98" i="3"/>
  <c r="S98" i="3"/>
  <c r="T98" i="3"/>
  <c r="U98" i="3"/>
  <c r="W98" i="3"/>
  <c r="X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D98" i="3"/>
  <c r="AW96" i="3"/>
  <c r="AX96" i="3"/>
  <c r="BA96" i="3"/>
  <c r="F97" i="3"/>
  <c r="G97" i="3"/>
  <c r="H97" i="3"/>
  <c r="I97" i="3"/>
  <c r="J97" i="3"/>
  <c r="L97" i="3"/>
  <c r="M97" i="3"/>
  <c r="N97" i="3"/>
  <c r="O97" i="3"/>
  <c r="P97" i="3"/>
  <c r="S97" i="3"/>
  <c r="T97" i="3"/>
  <c r="U97" i="3"/>
  <c r="W97" i="3"/>
  <c r="X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D97" i="3"/>
  <c r="S96" i="3"/>
  <c r="T96" i="3"/>
  <c r="U96" i="3"/>
  <c r="W96" i="3"/>
  <c r="X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F96" i="3"/>
  <c r="H96" i="3"/>
  <c r="J96" i="3"/>
  <c r="L96" i="3"/>
  <c r="M96" i="3"/>
  <c r="N96" i="3"/>
  <c r="O96" i="3"/>
  <c r="P96" i="3"/>
  <c r="D96" i="3"/>
  <c r="I88" i="3" l="1"/>
  <c r="I89" i="3"/>
  <c r="I90" i="3"/>
  <c r="I91" i="3"/>
  <c r="I92" i="3"/>
  <c r="I87" i="3"/>
  <c r="I86" i="3"/>
  <c r="I85" i="3"/>
  <c r="I83" i="3"/>
  <c r="I77" i="3"/>
  <c r="I78" i="3"/>
  <c r="I79" i="3"/>
  <c r="I80" i="3"/>
  <c r="I81" i="3"/>
  <c r="I82" i="3"/>
  <c r="I76" i="3"/>
  <c r="I75" i="3"/>
  <c r="I100" i="3" s="1"/>
  <c r="I74" i="3"/>
  <c r="I103" i="3" s="1"/>
  <c r="I73" i="3"/>
  <c r="I105" i="3" s="1"/>
  <c r="I72" i="3"/>
  <c r="I71" i="3"/>
  <c r="I64" i="3"/>
  <c r="I54" i="3"/>
  <c r="I55" i="3"/>
  <c r="I56" i="3"/>
  <c r="I57" i="3"/>
  <c r="I38" i="3"/>
  <c r="I37" i="3"/>
  <c r="I33" i="3"/>
  <c r="I34" i="3"/>
  <c r="I35" i="3"/>
  <c r="I36" i="3"/>
  <c r="I32" i="3"/>
  <c r="I31" i="3"/>
  <c r="I29" i="3"/>
  <c r="I26" i="3"/>
  <c r="I27" i="3"/>
  <c r="I28" i="3"/>
  <c r="I25" i="3"/>
  <c r="I22" i="3"/>
  <c r="I21" i="3"/>
  <c r="I20" i="3"/>
  <c r="I16" i="3"/>
  <c r="I17" i="3"/>
  <c r="I18" i="3"/>
  <c r="I19" i="3"/>
  <c r="I15" i="3"/>
  <c r="I14" i="3"/>
  <c r="I106" i="3" s="1"/>
  <c r="G92" i="3"/>
  <c r="G91" i="3"/>
  <c r="G90" i="3"/>
  <c r="G89" i="3"/>
  <c r="G88" i="3"/>
  <c r="G87" i="3"/>
  <c r="G86" i="3"/>
  <c r="G85" i="3"/>
  <c r="G3" i="3"/>
  <c r="G2" i="3"/>
  <c r="G9" i="3"/>
  <c r="G8" i="3"/>
  <c r="G7" i="3"/>
  <c r="G6" i="3"/>
  <c r="G5" i="3"/>
  <c r="G4" i="3"/>
  <c r="G38" i="3"/>
  <c r="G25" i="3"/>
  <c r="G26" i="3"/>
  <c r="G27" i="3"/>
  <c r="G28" i="3"/>
  <c r="G29" i="3"/>
  <c r="G31" i="3"/>
  <c r="G32" i="3"/>
  <c r="G33" i="3"/>
  <c r="G34" i="3"/>
  <c r="G35" i="3"/>
  <c r="G36" i="3"/>
  <c r="G37" i="3"/>
  <c r="G39" i="3"/>
  <c r="G84" i="3"/>
  <c r="G83" i="3"/>
  <c r="G102" i="3" s="1"/>
  <c r="G82" i="3"/>
  <c r="G81" i="3"/>
  <c r="G79" i="3"/>
  <c r="G80" i="3"/>
  <c r="G78" i="3"/>
  <c r="G77" i="3"/>
  <c r="G76" i="3"/>
  <c r="G75" i="3"/>
  <c r="G100" i="3" s="1"/>
  <c r="G73" i="3"/>
  <c r="G105" i="3" s="1"/>
  <c r="G74" i="3"/>
  <c r="G72" i="3"/>
  <c r="G71" i="3"/>
  <c r="G70" i="3"/>
  <c r="G69" i="3"/>
  <c r="G68" i="3"/>
  <c r="G67" i="3"/>
  <c r="G65" i="3"/>
  <c r="G64" i="3"/>
  <c r="G54" i="3"/>
  <c r="G55" i="3"/>
  <c r="G56" i="3"/>
  <c r="G57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100" i="3" s="1"/>
  <c r="E74" i="3"/>
  <c r="E73" i="3"/>
  <c r="E105" i="3" s="1"/>
  <c r="E72" i="3"/>
  <c r="E71" i="3"/>
  <c r="E64" i="3"/>
  <c r="E63" i="3"/>
  <c r="E62" i="3"/>
  <c r="E61" i="3"/>
  <c r="E60" i="3"/>
  <c r="E57" i="3"/>
  <c r="E56" i="3"/>
  <c r="E55" i="3"/>
  <c r="E54" i="3"/>
  <c r="E53" i="3"/>
  <c r="E52" i="3"/>
  <c r="E51" i="3"/>
  <c r="E49" i="3"/>
  <c r="E48" i="3"/>
  <c r="E109" i="3" s="1"/>
  <c r="E43" i="3"/>
  <c r="E42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3" i="3"/>
  <c r="E24" i="3"/>
  <c r="E26" i="3"/>
  <c r="E25" i="3"/>
  <c r="E22" i="3"/>
  <c r="E21" i="3"/>
  <c r="E20" i="3"/>
  <c r="E19" i="3"/>
  <c r="E18" i="3"/>
  <c r="E17" i="3"/>
  <c r="E16" i="3"/>
  <c r="E15" i="3"/>
  <c r="E5" i="3"/>
  <c r="E4" i="3"/>
  <c r="H51" i="3"/>
  <c r="G51" i="3"/>
  <c r="E70" i="3"/>
  <c r="E69" i="3"/>
  <c r="E68" i="3"/>
  <c r="E67" i="3"/>
  <c r="E59" i="3"/>
  <c r="E97" i="3" s="1"/>
  <c r="E58" i="3"/>
  <c r="E47" i="3"/>
  <c r="E46" i="3"/>
  <c r="E41" i="3"/>
  <c r="E45" i="3"/>
  <c r="E44" i="3"/>
  <c r="E98" i="3" s="1"/>
  <c r="E66" i="3"/>
  <c r="E65" i="3"/>
  <c r="E14" i="3"/>
  <c r="E106" i="3" s="1"/>
  <c r="E13" i="3"/>
  <c r="E12" i="3"/>
  <c r="E11" i="3"/>
  <c r="E10" i="3"/>
  <c r="G11" i="3"/>
  <c r="E9" i="3"/>
  <c r="E8" i="3"/>
  <c r="E7" i="3"/>
  <c r="E6" i="3"/>
  <c r="E3" i="3"/>
  <c r="E2" i="3"/>
  <c r="I84" i="3"/>
  <c r="I53" i="3"/>
  <c r="I61" i="3"/>
  <c r="I62" i="3"/>
  <c r="I63" i="3"/>
  <c r="I66" i="3"/>
  <c r="H66" i="3"/>
  <c r="H63" i="3"/>
  <c r="H62" i="3"/>
  <c r="H61" i="3"/>
  <c r="H60" i="3"/>
  <c r="H53" i="3"/>
  <c r="H99" i="3" s="1"/>
  <c r="H52" i="3"/>
  <c r="H50" i="3"/>
  <c r="H49" i="3"/>
  <c r="H47" i="3"/>
  <c r="H46" i="3"/>
  <c r="H101" i="3" s="1"/>
  <c r="H43" i="3"/>
  <c r="H103" i="3" s="1"/>
  <c r="H42" i="3"/>
  <c r="H40" i="3"/>
  <c r="H30" i="3"/>
  <c r="H24" i="3"/>
  <c r="H23" i="3"/>
  <c r="H10" i="3"/>
  <c r="G66" i="3"/>
  <c r="G62" i="3"/>
  <c r="G63" i="3"/>
  <c r="G60" i="3"/>
  <c r="G61" i="3"/>
  <c r="G53" i="3"/>
  <c r="G52" i="3"/>
  <c r="G50" i="3"/>
  <c r="G47" i="3"/>
  <c r="G48" i="3"/>
  <c r="G109" i="3" s="1"/>
  <c r="G49" i="3"/>
  <c r="G46" i="3"/>
  <c r="G43" i="3"/>
  <c r="G42" i="3"/>
  <c r="G40" i="3"/>
  <c r="G30" i="3"/>
  <c r="G24" i="3"/>
  <c r="G23" i="3"/>
  <c r="G10" i="3"/>
  <c r="E96" i="3" l="1"/>
  <c r="I104" i="3"/>
  <c r="G99" i="3"/>
  <c r="I102" i="3"/>
  <c r="E102" i="3"/>
  <c r="G111" i="3"/>
  <c r="G110" i="3"/>
  <c r="H108" i="3"/>
  <c r="E99" i="3"/>
  <c r="G101" i="3"/>
  <c r="G96" i="3"/>
  <c r="H110" i="3"/>
  <c r="H104" i="3"/>
  <c r="G107" i="3"/>
  <c r="G103" i="3"/>
  <c r="I110" i="3"/>
  <c r="G104" i="3"/>
  <c r="E110" i="3"/>
  <c r="G112" i="3"/>
  <c r="E101" i="3"/>
  <c r="E107" i="3"/>
  <c r="I96" i="3"/>
  <c r="G108" i="3"/>
  <c r="I108" i="3"/>
  <c r="I107" i="3"/>
  <c r="E104" i="3"/>
  <c r="H107" i="3"/>
  <c r="I99" i="3"/>
  <c r="H111" i="3"/>
  <c r="I112" i="3"/>
  <c r="E108" i="3"/>
  <c r="E103" i="3"/>
  <c r="H112" i="3"/>
  <c r="E112" i="3"/>
  <c r="I101" i="3"/>
  <c r="E111" i="3"/>
  <c r="I111" i="3"/>
  <c r="E6" i="2"/>
</calcChain>
</file>

<file path=xl/sharedStrings.xml><?xml version="1.0" encoding="utf-8"?>
<sst xmlns="http://schemas.openxmlformats.org/spreadsheetml/2006/main" count="1383" uniqueCount="490">
  <si>
    <t>Variable</t>
  </si>
  <si>
    <t>Baseline Model Values</t>
  </si>
  <si>
    <t>EV Model Values</t>
  </si>
  <si>
    <t>Murphy Baseline</t>
  </si>
  <si>
    <t>HEB Baseline</t>
  </si>
  <si>
    <t>Volvo EV</t>
  </si>
  <si>
    <t>Description</t>
  </si>
  <si>
    <t>Category</t>
  </si>
  <si>
    <t>Legend</t>
  </si>
  <si>
    <t>Selection</t>
  </si>
  <si>
    <t>Number in FASTSim</t>
  </si>
  <si>
    <t>Vehicle</t>
  </si>
  <si>
    <t>Fuel/Drive System</t>
  </si>
  <si>
    <t>Scenario name</t>
  </si>
  <si>
    <t>Regional Delivery Class 8 Truck</t>
  </si>
  <si>
    <t>Regional Delivery Class 8 EV Truck</t>
  </si>
  <si>
    <t>Name in FASTSim</t>
  </si>
  <si>
    <t>Physical Specs</t>
  </si>
  <si>
    <t>vehPtType</t>
  </si>
  <si>
    <t>Vehicle type: (1) = ICE, (2) = HEV, (3) = PHEV, (4) = EV</t>
  </si>
  <si>
    <t>Validation Data</t>
  </si>
  <si>
    <t>dragCoef</t>
  </si>
  <si>
    <t>Drag coefficient</t>
  </si>
  <si>
    <t>Drive Train Specific</t>
  </si>
  <si>
    <t>frontalAreaM2</t>
  </si>
  <si>
    <t>Frontal area (m^2)</t>
  </si>
  <si>
    <t>Low Concern\Varies</t>
  </si>
  <si>
    <t>gliderKg</t>
  </si>
  <si>
    <t>Vehicle glider (no engine/battery) mass (kg)</t>
  </si>
  <si>
    <t>vehCgM</t>
  </si>
  <si>
    <t>Vehicle center of gravity height (m)</t>
  </si>
  <si>
    <t>driveAxleWeightFrac</t>
  </si>
  <si>
    <t xml:space="preserve">Drive axle weight fraction </t>
  </si>
  <si>
    <t>*.33 for 6x4 and .2 for 6x2</t>
  </si>
  <si>
    <t>wheelBaseM</t>
  </si>
  <si>
    <t>Wheel base (m)</t>
  </si>
  <si>
    <t>cargoKg</t>
  </si>
  <si>
    <t>Cargo mass (kg)</t>
  </si>
  <si>
    <t>vehOverrideKg</t>
  </si>
  <si>
    <t>Vehicle override test mass (kg)</t>
  </si>
  <si>
    <t>maxFuelStorKw</t>
  </si>
  <si>
    <t>Fuel storage power (kW)</t>
  </si>
  <si>
    <t>Fuel Storage</t>
  </si>
  <si>
    <t>fuelStorSecsToPeakPwr</t>
  </si>
  <si>
    <t>Fuel storage time to full power (s)</t>
  </si>
  <si>
    <t>fuelStorKwh</t>
  </si>
  <si>
    <t>Fuel storage energy (kWh)</t>
  </si>
  <si>
    <t>fuelStorKwhPerKg</t>
  </si>
  <si>
    <t>Fuel and fuel storage specific energy (kWh/kg)</t>
  </si>
  <si>
    <t>maxFuelConvKw</t>
  </si>
  <si>
    <t>Fuel converter power (kW)</t>
  </si>
  <si>
    <t>Fuel Converter</t>
  </si>
  <si>
    <t>fcEffType</t>
  </si>
  <si>
    <t>Fuel converter efficiency type: (1) = diesel, (2) = fuel cell, (3) = hybrid diesel</t>
  </si>
  <si>
    <t>fcAbsEffImpr</t>
  </si>
  <si>
    <t>Efficiency improvement</t>
  </si>
  <si>
    <t>fuelConvSecsToPeakPwr</t>
  </si>
  <si>
    <t>Fuel converter time to full power (s)</t>
  </si>
  <si>
    <t>fuelConvBaseKg</t>
  </si>
  <si>
    <t>Fuel converter base mass (kg)</t>
  </si>
  <si>
    <t>fuelConvKwPerKg</t>
  </si>
  <si>
    <t>Fuel converter specific power (kW/kg)</t>
  </si>
  <si>
    <t>minFcTimeOn</t>
  </si>
  <si>
    <t>Minimum engine-on time (s)</t>
  </si>
  <si>
    <t>idleFcKw</t>
  </si>
  <si>
    <t>Idling fuel converter power (kW)</t>
  </si>
  <si>
    <t>maxMotorKw</t>
  </si>
  <si>
    <t>Motor power (kW)</t>
  </si>
  <si>
    <t>Motor</t>
  </si>
  <si>
    <t>*360 kW peak for 30 sec, 280 kW continuous for &lt;=4 battery configuration and 340 kW continuous for &gt;4 battery configuration</t>
  </si>
  <si>
    <t>motorPeakEff</t>
  </si>
  <si>
    <t>Motor peak efficiency</t>
  </si>
  <si>
    <t>motorSecsToPeakPwr</t>
  </si>
  <si>
    <t>Motor time to full power (s)</t>
  </si>
  <si>
    <t>mcPeKgPerKw</t>
  </si>
  <si>
    <t>Motor controller mass to power ratio (kg/kW)</t>
  </si>
  <si>
    <t>mcPeBaseKg</t>
  </si>
  <si>
    <t>Motor controller base mass (kg)</t>
  </si>
  <si>
    <t>*189 kg total for 2 EMs and EM Drive</t>
  </si>
  <si>
    <t>maxEssKw</t>
  </si>
  <si>
    <t>Battery power (kW)</t>
  </si>
  <si>
    <t>Traction Battery</t>
  </si>
  <si>
    <t xml:space="preserve">*113 kW/battery. Assume 6 batteries. </t>
  </si>
  <si>
    <t>maxEssKwh</t>
  </si>
  <si>
    <t>Battery energy (kWh)</t>
  </si>
  <si>
    <t>*66 kWh/battery. Assume 6 batteries.</t>
  </si>
  <si>
    <t>essKgPerKwh</t>
  </si>
  <si>
    <t>Battery mass to energy ratio (kg/kWh)</t>
  </si>
  <si>
    <t>*256/546 kWh for Gen2/Gen3</t>
  </si>
  <si>
    <t>essBaseKg</t>
  </si>
  <si>
    <t>Battery base mass (kg)</t>
  </si>
  <si>
    <t xml:space="preserve">*575 kg/battery. Assume 6 batteries. </t>
  </si>
  <si>
    <t>essRoundTripEff</t>
  </si>
  <si>
    <t>Battery round trip efficiency</t>
  </si>
  <si>
    <t>*64 kWh/battery. Assume 4 batteries for Gen2. 66 kWh/battery x 4 batteries = 264 kWh for NME-6.</t>
  </si>
  <si>
    <t>essLifeCoefA</t>
  </si>
  <si>
    <t>Battery life coefficient A (product)</t>
  </si>
  <si>
    <t>*91 kWh/battery. Assume 6 batteries for Gen3. 94 kWh/battery x 6 batteries = 564 kWh for NME-8.</t>
  </si>
  <si>
    <t>essLifeCoefB</t>
  </si>
  <si>
    <t>Battery life coefficient B (power)</t>
  </si>
  <si>
    <t>wheelInertiaKgM2</t>
  </si>
  <si>
    <t>Single wheel inertia (kg*m^2)</t>
  </si>
  <si>
    <t>Wheel</t>
  </si>
  <si>
    <t>numWheels</t>
  </si>
  <si>
    <t>Number of wheels</t>
  </si>
  <si>
    <t>wheelRrCoef</t>
  </si>
  <si>
    <t>Rolling resistance coefficient</t>
  </si>
  <si>
    <t>wheelRadiusM</t>
  </si>
  <si>
    <t>Tire radius (m)</t>
  </si>
  <si>
    <t>wheelCoefOfFric</t>
  </si>
  <si>
    <t>Wheel coefficient of friction</t>
  </si>
  <si>
    <t>minSoc</t>
  </si>
  <si>
    <t>Minimum state of charge</t>
  </si>
  <si>
    <t>Energy Management</t>
  </si>
  <si>
    <t>maxSoc</t>
  </si>
  <si>
    <t>Maximum state of charge</t>
  </si>
  <si>
    <t>essDischgToFcMaxEffPerc</t>
  </si>
  <si>
    <t>ESS discharge effort toward max FC efficiency</t>
  </si>
  <si>
    <t>essChgToFcMaxEffPerc</t>
  </si>
  <si>
    <t>ESS charge effort toward max FC efficiency</t>
  </si>
  <si>
    <t>maxAccelBufferMph</t>
  </si>
  <si>
    <t>Speed where the battery reserved for accelerating is zero</t>
  </si>
  <si>
    <t>maxAccelBufferPercOfUseableSoc</t>
  </si>
  <si>
    <t>Percent of usable battery energy reserved to help accelerate</t>
  </si>
  <si>
    <t>percHighAccBuf</t>
  </si>
  <si>
    <t>Percent SOC buffer for high accessory loads during cycles with long idle time</t>
  </si>
  <si>
    <t>mphFcOn</t>
  </si>
  <si>
    <t>Speed at which engine is commanded on (mph)</t>
  </si>
  <si>
    <t>kwDemandFcOn</t>
  </si>
  <si>
    <t>Power demand at which engine is commanded on (kW)</t>
  </si>
  <si>
    <t>altEff</t>
  </si>
  <si>
    <t>Alternator efficiency (conventional vehicle only)</t>
  </si>
  <si>
    <t>Miscellaneous</t>
  </si>
  <si>
    <t>chgEff</t>
  </si>
  <si>
    <t>Charger efficiency</t>
  </si>
  <si>
    <t>auxKw</t>
  </si>
  <si>
    <t>Auxiliary loads (kW)</t>
  </si>
  <si>
    <t>forceAuxOnFC</t>
  </si>
  <si>
    <t>Force auxiliary loads on fuel converter (true/false)</t>
  </si>
  <si>
    <t>transKg</t>
  </si>
  <si>
    <t>Transmission mass (kg)</t>
  </si>
  <si>
    <t>transEff</t>
  </si>
  <si>
    <t>Transmission efficiency</t>
  </si>
  <si>
    <t>*For transmission only. Losses from rear axle, inverter and motors not included.</t>
  </si>
  <si>
    <t>compMassMultiplier</t>
  </si>
  <si>
    <t>Component mass multiplier</t>
  </si>
  <si>
    <t>essToFuelOkError</t>
  </si>
  <si>
    <t>Max battery to fuel energy error</t>
  </si>
  <si>
    <t>maxRegen</t>
  </si>
  <si>
    <t>Maximum braking regen</t>
  </si>
  <si>
    <t>valUddsMpgge</t>
  </si>
  <si>
    <t>EPA city fuel economy (MPGGE, diesel MPG, CS PHEV)</t>
  </si>
  <si>
    <t>Validation</t>
  </si>
  <si>
    <t>valHwyMpgge</t>
  </si>
  <si>
    <t>EPA highway fuel economy (MPGGE, diesel MPG. CS PHEV)</t>
  </si>
  <si>
    <t>valCombMpgge</t>
  </si>
  <si>
    <t>EPA combined fuel economy (MPGGE, diesel MPG, CS MPG)</t>
  </si>
  <si>
    <t>valUddsKwhPerMile</t>
  </si>
  <si>
    <t>City CD elect. consumption w/charging (kWh/mile)</t>
  </si>
  <si>
    <t>valHwyKwhPerMile</t>
  </si>
  <si>
    <t>Highway CD elect. consumption w/charging (kWh/mile)</t>
  </si>
  <si>
    <t>valCombKwhPerMile</t>
  </si>
  <si>
    <t>Combined CD elect. consumption w/charging (kWh/mile)</t>
  </si>
  <si>
    <t>valCdRangeMi</t>
  </si>
  <si>
    <t>Charge depleting range (miles)</t>
  </si>
  <si>
    <t>valConst65MphKwhPerMile</t>
  </si>
  <si>
    <t>Constant 65 MPH elect. consumption (kWh/mile)</t>
  </si>
  <si>
    <t>valConst60MphKwhPerMile</t>
  </si>
  <si>
    <t>Constant 60 MPH elect. consumption (kWh/mile)</t>
  </si>
  <si>
    <t>valConst55MphKwhPerMile</t>
  </si>
  <si>
    <t>Constant 55 MPH elect. consumption (kWh/mile)</t>
  </si>
  <si>
    <t>valConst45MphKwhPerMile</t>
  </si>
  <si>
    <t>Constant 45 MPH elect. consumption (kWh/mile)</t>
  </si>
  <si>
    <t>valUnadjUddsKwhPerMile</t>
  </si>
  <si>
    <t>Laboratory UDDS elect. consumption (kWh/mile)</t>
  </si>
  <si>
    <t>valUnadjHwyKwhPerMile</t>
  </si>
  <si>
    <t>Laboratory highway elect. consumption (kWh/mile)</t>
  </si>
  <si>
    <t>val0To60Mph</t>
  </si>
  <si>
    <t>0-60 MPH acceleration time (seconds)</t>
  </si>
  <si>
    <t>valEssLifeMiles</t>
  </si>
  <si>
    <t>Battery life (miles)</t>
  </si>
  <si>
    <t>valRangeMiles</t>
  </si>
  <si>
    <t>Vehicle range (miles)</t>
  </si>
  <si>
    <t>valVehBaseCost</t>
  </si>
  <si>
    <t>Vehicle glider cost (no engine, battery, etc)</t>
  </si>
  <si>
    <t>valMsrp</t>
  </si>
  <si>
    <t>MSRP (USD)</t>
  </si>
  <si>
    <t>hevMcKw</t>
  </si>
  <si>
    <t>HEV electric motor power (kW)</t>
  </si>
  <si>
    <t>Powertrain Comparison: Vehicle Characteristics</t>
  </si>
  <si>
    <t>hevEssKwh</t>
  </si>
  <si>
    <t>HEV battery energy (kWh)</t>
  </si>
  <si>
    <t>hevEssReplacements</t>
  </si>
  <si>
    <t>HEV battery replacements</t>
  </si>
  <si>
    <t>phevMcKw</t>
  </si>
  <si>
    <t>PHEV electric motor power (kW)</t>
  </si>
  <si>
    <t>phevCdMiles</t>
  </si>
  <si>
    <t>PHEV charge depleting range (miles)</t>
  </si>
  <si>
    <t>phevEssReplacements</t>
  </si>
  <si>
    <t>PHEV battery replacements</t>
  </si>
  <si>
    <t>evEssRangeMiles</t>
  </si>
  <si>
    <t>EV range (miles)</t>
  </si>
  <si>
    <t>otherRangeMiles</t>
  </si>
  <si>
    <t>Other vehicle's range (miles)</t>
  </si>
  <si>
    <t>FCV battery power (kW)</t>
  </si>
  <si>
    <t>FCV battery energy (kWh)</t>
  </si>
  <si>
    <t>Battery mass (kg/kWh) (Li-ion: 6, NiMH: 44)</t>
  </si>
  <si>
    <t>Battery base mass (kg) (Li-ion: 75, NiMH: 0)</t>
  </si>
  <si>
    <t>essLifeCoef</t>
  </si>
  <si>
    <t>Battery life coefficient (Li data: 145, adj: 100)</t>
  </si>
  <si>
    <t>evEssReplacements</t>
  </si>
  <si>
    <t>EV battery replacements</t>
  </si>
  <si>
    <t>Hydrogen storage (kWh/kg)</t>
  </si>
  <si>
    <t>Engine base mass (kg)</t>
  </si>
  <si>
    <t>Engine specific power (kW/kg)</t>
  </si>
  <si>
    <t>Fuel cell base mass (kg)</t>
  </si>
  <si>
    <t>Fuel cell specific power (kW/kg)</t>
  </si>
  <si>
    <t>fcRelEffImpr</t>
  </si>
  <si>
    <t>Engine efficiency improvement (absolute)</t>
  </si>
  <si>
    <t>Glider lightweighting improvement (kg)</t>
  </si>
  <si>
    <t>iceDolPerKw</t>
  </si>
  <si>
    <t>Engine cost ($/kW)</t>
  </si>
  <si>
    <t>Powertrain Comparison: Financial Costs</t>
  </si>
  <si>
    <t>iceBaseCost</t>
  </si>
  <si>
    <t>Engine base cost ($)</t>
  </si>
  <si>
    <t>essDolPerKw</t>
  </si>
  <si>
    <t>HEV battery cost coefficient A ($/kW)</t>
  </si>
  <si>
    <t>essDolPerKwh</t>
  </si>
  <si>
    <t>HEV battery cost coefficient B ($/kWh)</t>
  </si>
  <si>
    <t>PHEV battery cost coefficient A ($/kW)</t>
  </si>
  <si>
    <t>PHEV battery cost coefficient B ($/kWh)</t>
  </si>
  <si>
    <t>PEV battery cost coefficient A ($/kW)</t>
  </si>
  <si>
    <t>PEV battery cost coefficient B ($/kWh)</t>
  </si>
  <si>
    <t>essPackageCost</t>
  </si>
  <si>
    <t>Battery base packaging cost ($)</t>
  </si>
  <si>
    <t>peAndMcDolPerKw</t>
  </si>
  <si>
    <t>Power electronics and motor cost ($/kW)</t>
  </si>
  <si>
    <t>peAndMcBaseCost</t>
  </si>
  <si>
    <t>Power electronics and motor base cost ($)</t>
  </si>
  <si>
    <t>fuelCellDolPerKw</t>
  </si>
  <si>
    <t>Fuel cell cost ($/kW)</t>
  </si>
  <si>
    <t>fuelStorH2DolPerKwh</t>
  </si>
  <si>
    <t>Hydrogen tank cost ($/kWh)</t>
  </si>
  <si>
    <t>dolPerGal</t>
  </si>
  <si>
    <t>Gasoline price ($/gallon)</t>
  </si>
  <si>
    <t>dolPerKwh</t>
  </si>
  <si>
    <t>Electricity price ($/kWh)</t>
  </si>
  <si>
    <t>hydrogenDolPerGGE</t>
  </si>
  <si>
    <t>Hydrogen fuel price ($/kg)</t>
  </si>
  <si>
    <t>('BUICK', 'CASCADA')</t>
  </si>
  <si>
    <t>('BUICK', 'ENCLAVE')</t>
  </si>
  <si>
    <t>('BUICK', 'ENCORE')</t>
  </si>
  <si>
    <t>('BUICK', 'ENCORE GX')</t>
  </si>
  <si>
    <t>('BUICK', 'ENVISION')</t>
  </si>
  <si>
    <t>('BUICK', 'LACROSSE')</t>
  </si>
  <si>
    <t>('BUICK', 'REGAL')</t>
  </si>
  <si>
    <t>('BUICK', 'REGAL TOURX')</t>
  </si>
  <si>
    <t>('CADILLAC', 'ATS')</t>
  </si>
  <si>
    <t>('CADILLAC', 'CT4')</t>
  </si>
  <si>
    <t>('CADILLAC', 'CT5')</t>
  </si>
  <si>
    <t>('CADILLAC', 'CT6')</t>
  </si>
  <si>
    <t>('CADILLAC', 'CTS')</t>
  </si>
  <si>
    <t>('CADILLAC', 'ESCALADE')</t>
  </si>
  <si>
    <t>('CADILLAC', 'ESCALADE ESV')</t>
  </si>
  <si>
    <t>('CADILLAC', 'FUNERAL COACH')</t>
  </si>
  <si>
    <t>('CADILLAC', 'STRETCH LIMOUSINE')</t>
  </si>
  <si>
    <t>('CADILLAC', 'XT4')</t>
  </si>
  <si>
    <t>('CADILLAC', 'XT5')</t>
  </si>
  <si>
    <t>('CADILLAC', 'XT6')</t>
  </si>
  <si>
    <t>('CADILLAC', 'XTS')</t>
  </si>
  <si>
    <t>('CHEVROLET', 'BLAZER')</t>
  </si>
  <si>
    <t>('CHEVROLET', 'CAMARO')</t>
  </si>
  <si>
    <t>('CHEVROLET', 'COLORADO')</t>
  </si>
  <si>
    <t>('CHEVROLET', 'CORVETTE')</t>
  </si>
  <si>
    <t>('CHEVROLET', 'CRUZE')</t>
  </si>
  <si>
    <t>('CHEVROLET', 'EQUINOX')</t>
  </si>
  <si>
    <t>('CHEVROLET', 'EXPRESS')</t>
  </si>
  <si>
    <t>('CHEVROLET', 'IMPALA')</t>
  </si>
  <si>
    <t>('CHEVROLET', 'MALIBU')</t>
  </si>
  <si>
    <t>('CHEVROLET', 'SILVERADO')</t>
  </si>
  <si>
    <t>('CHEVROLET', 'SILVERADO HD')</t>
  </si>
  <si>
    <t>('CHEVROLET', 'SILVERADO LD')</t>
  </si>
  <si>
    <t>('CHEVROLET', 'SONIC')</t>
  </si>
  <si>
    <t>('CHEVROLET', 'SPARK')</t>
  </si>
  <si>
    <t>('CHEVROLET', 'SUBURBAN')</t>
  </si>
  <si>
    <t>('CHEVROLET', 'TAHOE')</t>
  </si>
  <si>
    <t>('CHEVROLET', 'TRAILBLAZER')</t>
  </si>
  <si>
    <t>('CHEVROLET', 'TRAVERSE')</t>
  </si>
  <si>
    <t>('CHEVROLET', 'TRAX')</t>
  </si>
  <si>
    <t>('GMC', 'ACADIA')</t>
  </si>
  <si>
    <t>('GMC', 'CANYON')</t>
  </si>
  <si>
    <t>('GMC', 'SAVANA')</t>
  </si>
  <si>
    <t>('GMC', 'SIERRA')</t>
  </si>
  <si>
    <t>('GMC', 'SIERRA HD')</t>
  </si>
  <si>
    <t>('GMC', 'SIERRA LIMITED')</t>
  </si>
  <si>
    <t>('GMC', 'SILVERADO MEDIUM DUTY (GM515)')</t>
  </si>
  <si>
    <t>('GMC', 'TERRAIN')</t>
  </si>
  <si>
    <t>('GMC', 'YUKON')</t>
  </si>
  <si>
    <t>('GMC', 'YUKON XL')</t>
  </si>
  <si>
    <t>type</t>
  </si>
  <si>
    <t>veh_pt_type</t>
  </si>
  <si>
    <t>drag_coef</t>
  </si>
  <si>
    <t>frontal_area_m2</t>
  </si>
  <si>
    <t>glider_kg</t>
  </si>
  <si>
    <t>veh_cg_m</t>
  </si>
  <si>
    <t>drive_axle_weight_frac</t>
  </si>
  <si>
    <t>wheel_base_m</t>
  </si>
  <si>
    <t>cargo_kg</t>
  </si>
  <si>
    <t>veh_override_kg</t>
  </si>
  <si>
    <t>fs_max_kw</t>
  </si>
  <si>
    <t>fs_secs_to_peak_pwr</t>
  </si>
  <si>
    <t>fs_kwh</t>
  </si>
  <si>
    <t>fs_kwh_per_kg</t>
  </si>
  <si>
    <t>fc_max_kw</t>
  </si>
  <si>
    <t>fc_eff_map</t>
  </si>
  <si>
    <t>fc_eff_type</t>
  </si>
  <si>
    <t>fc_sec_to_peak_pwr</t>
  </si>
  <si>
    <t>fc_base_kg</t>
  </si>
  <si>
    <t>fc_kw_per_kg</t>
  </si>
  <si>
    <t>mc_pwr_out_perc</t>
  </si>
  <si>
    <t>mc_max_kw</t>
  </si>
  <si>
    <t>mc_sec_to_peak_pwr</t>
  </si>
  <si>
    <t>stop_start</t>
  </si>
  <si>
    <t>mc_pe_kg_per_kw</t>
  </si>
  <si>
    <t>mc_pe_base_kg</t>
  </si>
  <si>
    <t>ess_max_kw</t>
  </si>
  <si>
    <t>ess_max_kwh</t>
  </si>
  <si>
    <t>ess_kg_per_kwh</t>
  </si>
  <si>
    <t>ess_base_kg</t>
  </si>
  <si>
    <t>ess_round_trip_eff</t>
  </si>
  <si>
    <t>ess_life_coef_a</t>
  </si>
  <si>
    <t>ess_life_coef_b</t>
  </si>
  <si>
    <t>wheel_inertia_kg_m2</t>
  </si>
  <si>
    <t>num_wheels</t>
  </si>
  <si>
    <t>wheel_rr_coef</t>
  </si>
  <si>
    <t>wheel_radius_m</t>
  </si>
  <si>
    <t>wheel_coef_of_fric</t>
  </si>
  <si>
    <t>min_soc</t>
  </si>
  <si>
    <t>max_soc</t>
  </si>
  <si>
    <t>ess_dischg_to_fc_max_eff_perc</t>
  </si>
  <si>
    <t>ess_chg_to_fc_max_eff_perc</t>
  </si>
  <si>
    <t>max_accel_buffer_mph</t>
  </si>
  <si>
    <t>max_accel_buffer_perc_of_useable_soc</t>
  </si>
  <si>
    <t>perc_high_acc_buf</t>
  </si>
  <si>
    <t>mph_fc_on</t>
  </si>
  <si>
    <t>kw_demand_fc_on</t>
  </si>
  <si>
    <t>alt_eff</t>
  </si>
  <si>
    <t>chg_eff</t>
  </si>
  <si>
    <t>aux_kw</t>
  </si>
  <si>
    <t>force_aux_on_fc</t>
  </si>
  <si>
    <t>trans_kg</t>
  </si>
  <si>
    <t>trans_eff</t>
  </si>
  <si>
    <t>comp_mass_multiplier</t>
  </si>
  <si>
    <t>ess_to_fuel_ok_error</t>
  </si>
  <si>
    <t>max_regen</t>
  </si>
  <si>
    <t>val_udds_mpgge</t>
  </si>
  <si>
    <t>val_hwy_mpgge</t>
  </si>
  <si>
    <t>val_comb_mpgge</t>
  </si>
  <si>
    <t>val_udds_kwh_per_mile</t>
  </si>
  <si>
    <t>val_hwy_kwh_per_mile</t>
  </si>
  <si>
    <t>val_comb_kwh_per_mile</t>
  </si>
  <si>
    <t>val_cd_range_mi</t>
  </si>
  <si>
    <t>val_const65_mph_kwh_per_mile</t>
  </si>
  <si>
    <t>val_const60_mph_kwh_per_mile</t>
  </si>
  <si>
    <t>val_const55_mph_kwh_per_mile</t>
  </si>
  <si>
    <t>val_const45_mph_kwh_per_mile</t>
  </si>
  <si>
    <t>val_unadj_udds_kwh_per_mile</t>
  </si>
  <si>
    <t>val_unadj_hwy_kwh_per_mile</t>
  </si>
  <si>
    <t>val0_to60_mph</t>
  </si>
  <si>
    <t>val_ess_life_miles</t>
  </si>
  <si>
    <t>val_range_miles</t>
  </si>
  <si>
    <t>val_veh_base_cost</t>
  </si>
  <si>
    <t>val_msrp</t>
  </si>
  <si>
    <t>min_fc_time_on</t>
  </si>
  <si>
    <t>idle_fc_kw</t>
  </si>
  <si>
    <t>('BUICK', 'ENCLAVE', '2-Wheel Drive, Front')</t>
  </si>
  <si>
    <t>('BUICK', 'ENCLAVE', 'All Wheel Drive')</t>
  </si>
  <si>
    <t>('BUICK', 'ENCORE', '2-Wheel Drive, Front')</t>
  </si>
  <si>
    <t>('BUICK', 'ENCORE', 'All Wheel Drive')</t>
  </si>
  <si>
    <t>('BUICK', 'ENCORE GX', '2-Wheel Drive, Front')</t>
  </si>
  <si>
    <t>('BUICK', 'ENCORE GX', 'All Wheel Drive')</t>
  </si>
  <si>
    <t>('BUICK', 'ENVISION', '2-Wheel Drive, Front')</t>
  </si>
  <si>
    <t>('BUICK', 'ENVISION', 'All Wheel Drive')</t>
  </si>
  <si>
    <t>('BUICK', 'LACROSSE', '2-Wheel Drive, Front')</t>
  </si>
  <si>
    <t>('BUICK', 'LACROSSE', 'All Wheel Drive')</t>
  </si>
  <si>
    <t>('BUICK', 'REGAL', '2-Wheel Drive, Front')</t>
  </si>
  <si>
    <t>('BUICK', 'REGAL', 'All Wheel Drive')</t>
  </si>
  <si>
    <t>('BUICK', 'REGAL TOURX', 'All Wheel Drive')</t>
  </si>
  <si>
    <t>('CADILLAC', 'ATS', '2-Wheel Drive, Front')</t>
  </si>
  <si>
    <t>('CADILLAC', 'ATS', '2-Wheel Drive, Rear')</t>
  </si>
  <si>
    <t>('CADILLAC', 'ATS', 'All Wheel Drive')</t>
  </si>
  <si>
    <t>('CADILLAC', 'CT4', '2-Wheel Drive, Rear')</t>
  </si>
  <si>
    <t>('CADILLAC', 'CT4', 'All Wheel Drive')</t>
  </si>
  <si>
    <t>('CADILLAC', 'CT5', '2-Wheel Drive, Rear')</t>
  </si>
  <si>
    <t>('CADILLAC', 'CT5', 'All Wheel Drive')</t>
  </si>
  <si>
    <t>('CADILLAC', 'CT6', 'All Wheel Drive')</t>
  </si>
  <si>
    <t>('CADILLAC', 'CTS', '2-Wheel Drive, Rear')</t>
  </si>
  <si>
    <t>('CADILLAC', 'CTS', 'All Wheel Drive')</t>
  </si>
  <si>
    <t>('CADILLAC', 'ESCALADE', '2-Wheel Drive')</t>
  </si>
  <si>
    <t>('CADILLAC', 'ESCALADE', '4-Wheel Drive')</t>
  </si>
  <si>
    <t>('CADILLAC', 'ESCALADE ESV', '2-Wheel Drive')</t>
  </si>
  <si>
    <t>('CADILLAC', 'ESCALADE ESV', '4-Wheel Drive')</t>
  </si>
  <si>
    <t>('CADILLAC', 'SRX', '2-Wheel Drive, Front')</t>
  </si>
  <si>
    <t>('CADILLAC', 'SRX', 'All Wheel Drive')</t>
  </si>
  <si>
    <t>('CADILLAC', 'XT4', '2-Wheel Drive, Front')</t>
  </si>
  <si>
    <t>('CADILLAC', 'XT4', 'All Wheel Drive')</t>
  </si>
  <si>
    <t>('CADILLAC', 'XT5', '2-Wheel Drive, Front')</t>
  </si>
  <si>
    <t>('CADILLAC', 'XT5', 'All Wheel Drive')</t>
  </si>
  <si>
    <t>('CADILLAC', 'XT6', '2-Wheel Drive, Front')</t>
  </si>
  <si>
    <t>('CADILLAC', 'XT6', 'All Wheel Drive')</t>
  </si>
  <si>
    <t>('CADILLAC', 'XTS', '2-Wheel Drive, Front')</t>
  </si>
  <si>
    <t>('CADILLAC', 'XTS', 'All Wheel Drive')</t>
  </si>
  <si>
    <t>('CHEVROLET', 'BLAZER', '2-Wheel Drive, Front')</t>
  </si>
  <si>
    <t>('CHEVROLET', 'BLAZER', 'All Wheel Drive')</t>
  </si>
  <si>
    <t>('CHEVROLET', 'CAMARO', '2-Wheel Drive, Rear')</t>
  </si>
  <si>
    <t>('CHEVROLET', 'COLORADO', '2-Wheel Drive')</t>
  </si>
  <si>
    <t>('CHEVROLET', 'COLORADO', '4-Wheel Drive')</t>
  </si>
  <si>
    <t>('CHEVROLET', 'CORVETTE', '2-Wheel Drive, Rear')</t>
  </si>
  <si>
    <t>('CHEVROLET', 'CRUZE', '2-Wheel Drive, Front')</t>
  </si>
  <si>
    <t>('CHEVROLET', 'EQUINOX', '2-Wheel Drive, Front')</t>
  </si>
  <si>
    <t>('CHEVROLET', 'EQUINOX', 'All Wheel Drive')</t>
  </si>
  <si>
    <t>('CHEVROLET', 'EXPRESS', '2-Wheel Drive, Rear')</t>
  </si>
  <si>
    <t>('CHEVROLET', 'IMPALA', '2-Wheel Drive, Front')</t>
  </si>
  <si>
    <t>('CHEVROLET', 'MALIBU', '2-Wheel Drive, Front')</t>
  </si>
  <si>
    <t>('CHEVROLET', 'SILVERADO', '2-Wheel Drive')</t>
  </si>
  <si>
    <t>('CHEVROLET', 'SILVERADO', '2-Wheel Drive, Rear')</t>
  </si>
  <si>
    <t>('CHEVROLET', 'SILVERADO', '4-Wheel Drive')</t>
  </si>
  <si>
    <t>('CHEVROLET', 'SILVERADO HD', '2-Wheel Drive')</t>
  </si>
  <si>
    <t>('CHEVROLET', 'SILVERADO HD', '4-Wheel Drive')</t>
  </si>
  <si>
    <t>('CHEVROLET', 'SILVERADO LD', '2-Wheel Drive')</t>
  </si>
  <si>
    <t>('CHEVROLET', 'SILVERADO LD', '4-Wheel Drive')</t>
  </si>
  <si>
    <t>('CHEVROLET', 'SONIC', '2-Wheel Drive, Front')</t>
  </si>
  <si>
    <t>('CHEVROLET', 'SPARK', '2-Wheel Drive, Front')</t>
  </si>
  <si>
    <t>('CHEVROLET', 'SUBURBAN', '2-Wheel Drive')</t>
  </si>
  <si>
    <t>('CHEVROLET', 'SUBURBAN', '2-Wheel Drive, Rear')</t>
  </si>
  <si>
    <t>('CHEVROLET', 'SUBURBAN', '4-Wheel Drive')</t>
  </si>
  <si>
    <t>('CHEVROLET', 'TAHOE', '2-Wheel Drive')</t>
  </si>
  <si>
    <t>('CHEVROLET', 'TAHOE', '4-Wheel Drive')</t>
  </si>
  <si>
    <t>('CHEVROLET', 'TRAILBLAZER', '2-Wheel Drive, Front')</t>
  </si>
  <si>
    <t>('CHEVROLET', 'TRAILBLAZER', 'All Wheel Drive')</t>
  </si>
  <si>
    <t>('CHEVROLET', 'TRAVERSE', '2-Wheel Drive, Front')</t>
  </si>
  <si>
    <t>('CHEVROLET', 'TRAVERSE', 'All Wheel Drive')</t>
  </si>
  <si>
    <t>('CHEVROLET', 'TRAX', '2-Wheel Drive, Front')</t>
  </si>
  <si>
    <t>('CHEVROLET', 'TRAX', 'All Wheel Drive')</t>
  </si>
  <si>
    <t>('GMC', 'ACADIA', '2-Wheel Drive, Front')</t>
  </si>
  <si>
    <t>('GMC', 'ACADIA', 'All Wheel Drive')</t>
  </si>
  <si>
    <t>('GMC', 'CANYON', '2-Wheel Drive')</t>
  </si>
  <si>
    <t>('GMC', 'CANYON', '4-Wheel Drive')</t>
  </si>
  <si>
    <t>('GMC', 'SAVANA', '2-Wheel Drive, Rear')</t>
  </si>
  <si>
    <t>('GMC', 'SIERRA', '2-Wheel Drive')</t>
  </si>
  <si>
    <t>('GMC', 'SIERRA', '2-Wheel Drive, Rear')</t>
  </si>
  <si>
    <t>('GMC', 'SIERRA', '4-Wheel Drive')</t>
  </si>
  <si>
    <t>('GMC', 'SIERRA HD', '2-Wheel Drive')</t>
  </si>
  <si>
    <t>('GMC', 'SIERRA HD', '4-Wheel Drive')</t>
  </si>
  <si>
    <t>('GMC', 'SIERRA LIMITED', '2-Wheel Drive')</t>
  </si>
  <si>
    <t>('GMC', 'SIERRA LIMITED', '4-Wheel Drive')</t>
  </si>
  <si>
    <t>('GMC', 'SILVERADO MEDIUM DUTY (GM515)', '2-Wheel Drive')</t>
  </si>
  <si>
    <t>('GMC', 'SILVERADO MEDIUM DUTY (GM515)', '4-Wheel Drive')</t>
  </si>
  <si>
    <t>('GMC', 'TERRAIN', '2-Wheel Drive, Front')</t>
  </si>
  <si>
    <t>('GMC', 'TERRAIN', 'All Wheel Drive')</t>
  </si>
  <si>
    <t>('GMC', 'YUKON', '2-Wheel Drive')</t>
  </si>
  <si>
    <t>('GMC', 'YUKON', '2-Wheel Drive, Rear')</t>
  </si>
  <si>
    <t>('GMC', 'YUKON', '4-Wheel Drive')</t>
  </si>
  <si>
    <t>('GMC', 'YUKON XL', '2-Wheel Drive')</t>
  </si>
  <si>
    <t>('GMC', 'YUKON XL', '2-Wheel Drive, Rear')</t>
  </si>
  <si>
    <t>('GMC', 'YUKON XL', '4-Wheel Drive')</t>
  </si>
  <si>
    <t>Midsize Cars</t>
  </si>
  <si>
    <t>Standard SUV 2WD</t>
  </si>
  <si>
    <t>Standard SUV 4WD</t>
  </si>
  <si>
    <t>Standard Pick-up Trucks 2WD</t>
  </si>
  <si>
    <t>Standard Pick-up Trucks 4WD</t>
  </si>
  <si>
    <t>Vans, Passenger Type</t>
  </si>
  <si>
    <t>Small SUV 2WD</t>
  </si>
  <si>
    <t>Small SUV 4WD</t>
  </si>
  <si>
    <t>Small Pick-up Trucks 2WD</t>
  </si>
  <si>
    <t>Small Pick-up Trucks 4WD</t>
  </si>
  <si>
    <t>Compact Cars</t>
  </si>
  <si>
    <t>conv</t>
  </si>
  <si>
    <t>Special Purpose Vehicle cab chassis</t>
  </si>
  <si>
    <t>[0.10, 0.12, 0.16, 0.22, 0.28, 0.33, 0.35, 0.36, 0.35, 0.34, 0.32, 0.30]</t>
  </si>
  <si>
    <t>SI</t>
  </si>
  <si>
    <t>[0.00, 0.02, 0.04, 0.06, 0.08,  0.10,  0.20,  0.40,  0.60,  0.80,  1.00]</t>
  </si>
  <si>
    <t>Subcompact Cars</t>
  </si>
  <si>
    <t>Two Seaters</t>
  </si>
  <si>
    <t>Small Station Wagons</t>
  </si>
  <si>
    <t>Large Cars</t>
  </si>
  <si>
    <t>Special Purpose Vehicle 2WD</t>
  </si>
  <si>
    <t>Gasoline and Diesel</t>
  </si>
  <si>
    <t xml:space="preserve">Diesel </t>
  </si>
  <si>
    <t xml:space="preserve">Gasoline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</si>
</sst>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</font>
    <font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6" fillId="9" borderId="0" applyNumberFormat="0" applyBorder="0" applyAlignment="0" applyProtection="0"/>
    <xf numFmtId="0" fontId="8" fillId="10" borderId="20" applyNumberFormat="0" applyAlignment="0" applyProtection="0"/>
  </cellStyleXfs>
  <cellXfs count="55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3" borderId="3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4" borderId="3" xfId="0" applyFont="1" applyFill="1" applyBorder="1"/>
    <xf numFmtId="0" fontId="3" fillId="3" borderId="7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5" borderId="7" xfId="0" applyFont="1" applyFill="1" applyBorder="1"/>
    <xf numFmtId="0" fontId="3" fillId="6" borderId="7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7" borderId="7" xfId="0" applyFont="1" applyFill="1" applyBorder="1"/>
    <xf numFmtId="0" fontId="3" fillId="0" borderId="10" xfId="0" applyFont="1" applyBorder="1"/>
    <xf numFmtId="0" fontId="3" fillId="8" borderId="7" xfId="0" applyFont="1" applyFill="1" applyBorder="1"/>
    <xf numFmtId="0" fontId="5" fillId="0" borderId="0" xfId="0" applyFont="1"/>
    <xf numFmtId="0" fontId="3" fillId="3" borderId="10" xfId="0" applyFont="1" applyFill="1" applyBorder="1"/>
    <xf numFmtId="0" fontId="3" fillId="5" borderId="10" xfId="0" applyFont="1" applyFill="1" applyBorder="1"/>
    <xf numFmtId="0" fontId="3" fillId="8" borderId="10" xfId="0" applyFont="1" applyFill="1" applyBorder="1"/>
    <xf numFmtId="0" fontId="3" fillId="0" borderId="11" xfId="0" applyFont="1" applyBorder="1"/>
    <xf numFmtId="0" fontId="3" fillId="3" borderId="13" xfId="0" applyFont="1" applyFill="1" applyBorder="1"/>
    <xf numFmtId="0" fontId="3" fillId="4" borderId="13" xfId="0" applyFont="1" applyFill="1" applyBorder="1"/>
    <xf numFmtId="0" fontId="3" fillId="7" borderId="13" xfId="0" applyFont="1" applyFill="1" applyBorder="1"/>
    <xf numFmtId="0" fontId="3" fillId="8" borderId="13" xfId="0" applyFont="1" applyFill="1" applyBorder="1"/>
    <xf numFmtId="0" fontId="3" fillId="0" borderId="14" xfId="0" applyFont="1" applyBorder="1"/>
    <xf numFmtId="0" fontId="3" fillId="4" borderId="7" xfId="0" applyFont="1" applyFill="1" applyBorder="1"/>
    <xf numFmtId="0" fontId="3" fillId="4" borderId="10" xfId="0" applyFont="1" applyFill="1" applyBorder="1"/>
    <xf numFmtId="0" fontId="3" fillId="7" borderId="10" xfId="0" applyFont="1" applyFill="1" applyBorder="1"/>
    <xf numFmtId="0" fontId="3" fillId="0" borderId="13" xfId="0" applyFont="1" applyBorder="1"/>
    <xf numFmtId="0" fontId="3" fillId="0" borderId="13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8" borderId="7" xfId="0" applyFont="1" applyFill="1" applyBorder="1" applyAlignment="1">
      <alignment horizontal="right"/>
    </xf>
    <xf numFmtId="0" fontId="3" fillId="8" borderId="10" xfId="0" applyFont="1" applyFill="1" applyBorder="1" applyAlignment="1">
      <alignment horizontal="right"/>
    </xf>
    <xf numFmtId="0" fontId="3" fillId="5" borderId="13" xfId="0" applyFont="1" applyFill="1" applyBorder="1"/>
    <xf numFmtId="0" fontId="3" fillId="6" borderId="13" xfId="0" applyFont="1" applyFill="1" applyBorder="1"/>
    <xf numFmtId="0" fontId="3" fillId="6" borderId="7" xfId="0" applyFont="1" applyFill="1" applyBorder="1"/>
    <xf numFmtId="0" fontId="3" fillId="3" borderId="16" xfId="0" applyFont="1" applyFill="1" applyBorder="1"/>
    <xf numFmtId="0" fontId="3" fillId="6" borderId="1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/>
    <xf numFmtId="0" fontId="7" fillId="0" borderId="8" xfId="0" applyFont="1" applyBorder="1"/>
    <xf numFmtId="0" fontId="6" fillId="9" borderId="0" xfId="1"/>
    <xf numFmtId="0" fontId="2" fillId="0" borderId="0" xfId="0" applyFont="1"/>
    <xf numFmtId="0" fontId="8" fillId="10" borderId="20" xfId="2"/>
    <xf numFmtId="0" fontId="6" fillId="9" borderId="21" xfId="1" applyBorder="1"/>
    <xf numFmtId="0" fontId="1" fillId="0" borderId="0" xfId="0" applyFont="1"/>
    <xf numFmtId="0" fontId="3" fillId="3" borderId="15" xfId="0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12" xfId="0" applyFont="1" applyBorder="1"/>
    <xf numFmtId="0" fontId="4" fillId="0" borderId="19" xfId="0" applyFont="1" applyBorder="1"/>
    <xf numFmtId="0" fontId="3" fillId="3" borderId="1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E21" workbookViewId="0">
      <selection activeCell="G24" sqref="G24"/>
    </sheetView>
  </sheetViews>
  <sheetFormatPr defaultColWidth="14.42578125" defaultRowHeight="15" customHeight="1" x14ac:dyDescent="0.25"/>
  <cols>
    <col min="1" max="1" width="31.85546875" customWidth="1"/>
    <col min="2" max="2" width="21.28515625" customWidth="1"/>
    <col min="3" max="6" width="18" customWidth="1"/>
    <col min="7" max="7" width="74.5703125" customWidth="1"/>
    <col min="8" max="8" width="16.7109375" customWidth="1"/>
    <col min="9" max="9" width="20.5703125" customWidth="1"/>
    <col min="10" max="26" width="8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 spans="1:26" x14ac:dyDescent="0.25">
      <c r="A2" s="3" t="s">
        <v>9</v>
      </c>
      <c r="B2" s="4">
        <v>25</v>
      </c>
      <c r="C2" s="4">
        <v>26</v>
      </c>
      <c r="D2" s="4">
        <v>28</v>
      </c>
      <c r="E2" s="4"/>
      <c r="F2" s="4">
        <v>29</v>
      </c>
      <c r="G2" s="5" t="s">
        <v>10</v>
      </c>
      <c r="H2" s="54" t="s">
        <v>11</v>
      </c>
      <c r="I2" s="6" t="s">
        <v>12</v>
      </c>
    </row>
    <row r="3" spans="1:26" x14ac:dyDescent="0.25">
      <c r="A3" s="7" t="s">
        <v>13</v>
      </c>
      <c r="B3" s="8" t="s">
        <v>14</v>
      </c>
      <c r="C3" s="8" t="s">
        <v>15</v>
      </c>
      <c r="D3" s="8"/>
      <c r="E3" s="8"/>
      <c r="F3" s="8"/>
      <c r="G3" s="9" t="s">
        <v>16</v>
      </c>
      <c r="H3" s="50"/>
      <c r="I3" s="10" t="s">
        <v>17</v>
      </c>
    </row>
    <row r="4" spans="1:26" x14ac:dyDescent="0.25">
      <c r="A4" s="7" t="s">
        <v>18</v>
      </c>
      <c r="B4" s="8">
        <v>1</v>
      </c>
      <c r="C4" s="8">
        <v>4</v>
      </c>
      <c r="D4" s="8">
        <v>1</v>
      </c>
      <c r="E4" s="8">
        <v>1</v>
      </c>
      <c r="F4" s="8">
        <v>4</v>
      </c>
      <c r="G4" s="9" t="s">
        <v>19</v>
      </c>
      <c r="H4" s="50"/>
      <c r="I4" s="11" t="s">
        <v>20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x14ac:dyDescent="0.25">
      <c r="A5" s="7" t="s">
        <v>21</v>
      </c>
      <c r="B5" s="10">
        <v>0.6</v>
      </c>
      <c r="C5" s="10">
        <v>0.8</v>
      </c>
      <c r="D5" s="8">
        <v>0.5</v>
      </c>
      <c r="E5" s="8">
        <v>0.5</v>
      </c>
      <c r="F5" s="8">
        <v>0.5</v>
      </c>
      <c r="G5" s="9" t="s">
        <v>22</v>
      </c>
      <c r="H5" s="50"/>
      <c r="I5" s="13" t="s">
        <v>23</v>
      </c>
    </row>
    <row r="6" spans="1:26" x14ac:dyDescent="0.25">
      <c r="A6" s="7" t="s">
        <v>24</v>
      </c>
      <c r="B6" s="10">
        <v>8.5</v>
      </c>
      <c r="C6" s="10">
        <v>10</v>
      </c>
      <c r="D6" s="8">
        <v>10.5</v>
      </c>
      <c r="E6" s="8">
        <v>10.5</v>
      </c>
      <c r="F6" s="8">
        <v>10.5</v>
      </c>
      <c r="G6" s="9" t="s">
        <v>25</v>
      </c>
      <c r="H6" s="50"/>
      <c r="I6" s="14" t="s">
        <v>26</v>
      </c>
    </row>
    <row r="7" spans="1:26" x14ac:dyDescent="0.25">
      <c r="A7" s="7" t="s">
        <v>27</v>
      </c>
      <c r="B7" s="10">
        <v>13625</v>
      </c>
      <c r="C7" s="10">
        <v>11115</v>
      </c>
      <c r="D7" s="15">
        <v>13625</v>
      </c>
      <c r="E7" s="15">
        <v>13625</v>
      </c>
      <c r="F7" s="15">
        <v>11115</v>
      </c>
      <c r="G7" s="9" t="s">
        <v>28</v>
      </c>
      <c r="H7" s="50"/>
    </row>
    <row r="8" spans="1:26" x14ac:dyDescent="0.25">
      <c r="A8" s="7" t="s">
        <v>29</v>
      </c>
      <c r="B8" s="10">
        <v>0.53</v>
      </c>
      <c r="C8" s="10">
        <v>0.53</v>
      </c>
      <c r="D8" s="15">
        <v>0.53</v>
      </c>
      <c r="E8" s="15">
        <v>0.53</v>
      </c>
      <c r="F8" s="15">
        <v>0.53</v>
      </c>
      <c r="G8" s="9" t="s">
        <v>30</v>
      </c>
      <c r="H8" s="50"/>
    </row>
    <row r="9" spans="1:26" x14ac:dyDescent="0.25">
      <c r="A9" s="7" t="s">
        <v>31</v>
      </c>
      <c r="B9" s="10">
        <v>0.59</v>
      </c>
      <c r="C9" s="10">
        <v>0.59</v>
      </c>
      <c r="D9" s="8">
        <v>0.33</v>
      </c>
      <c r="E9" s="8">
        <v>0.2</v>
      </c>
      <c r="F9" s="8">
        <v>0.33</v>
      </c>
      <c r="G9" s="9" t="s">
        <v>32</v>
      </c>
      <c r="H9" s="50"/>
      <c r="I9" s="16" t="s">
        <v>33</v>
      </c>
    </row>
    <row r="10" spans="1:26" x14ac:dyDescent="0.25">
      <c r="A10" s="7" t="s">
        <v>34</v>
      </c>
      <c r="B10" s="10">
        <v>2.7536</v>
      </c>
      <c r="C10" s="10">
        <v>2.7536</v>
      </c>
      <c r="D10" s="15">
        <v>2.7536</v>
      </c>
      <c r="E10" s="15">
        <v>2.7536</v>
      </c>
      <c r="F10" s="15">
        <v>2.7536</v>
      </c>
      <c r="G10" s="9" t="s">
        <v>35</v>
      </c>
      <c r="H10" s="50"/>
    </row>
    <row r="11" spans="1:26" x14ac:dyDescent="0.25">
      <c r="A11" s="7" t="s">
        <v>36</v>
      </c>
      <c r="B11" s="8">
        <v>136</v>
      </c>
      <c r="C11" s="8">
        <v>136</v>
      </c>
      <c r="D11" s="15">
        <v>136</v>
      </c>
      <c r="E11" s="15">
        <v>136</v>
      </c>
      <c r="F11" s="15">
        <v>136</v>
      </c>
      <c r="G11" s="9" t="s">
        <v>37</v>
      </c>
      <c r="H11" s="50"/>
    </row>
    <row r="12" spans="1:26" x14ac:dyDescent="0.25">
      <c r="A12" s="17" t="s">
        <v>38</v>
      </c>
      <c r="B12" s="18">
        <v>21000</v>
      </c>
      <c r="C12" s="18">
        <v>30390</v>
      </c>
      <c r="D12" s="19">
        <v>21000</v>
      </c>
      <c r="E12" s="19">
        <v>21000</v>
      </c>
      <c r="F12" s="19">
        <v>30390</v>
      </c>
      <c r="G12" s="20" t="s">
        <v>39</v>
      </c>
      <c r="H12" s="51"/>
    </row>
    <row r="13" spans="1:26" x14ac:dyDescent="0.25">
      <c r="A13" s="21" t="s">
        <v>40</v>
      </c>
      <c r="B13" s="22">
        <v>5000</v>
      </c>
      <c r="C13" s="23">
        <v>0</v>
      </c>
      <c r="D13" s="24">
        <v>5000</v>
      </c>
      <c r="E13" s="24">
        <v>5000</v>
      </c>
      <c r="F13" s="24">
        <v>0</v>
      </c>
      <c r="G13" s="25" t="s">
        <v>41</v>
      </c>
      <c r="H13" s="49" t="s">
        <v>42</v>
      </c>
    </row>
    <row r="14" spans="1:26" x14ac:dyDescent="0.25">
      <c r="A14" s="7" t="s">
        <v>43</v>
      </c>
      <c r="B14" s="26">
        <v>1</v>
      </c>
      <c r="C14" s="13">
        <v>1</v>
      </c>
      <c r="D14" s="15">
        <v>1</v>
      </c>
      <c r="E14" s="15">
        <v>1</v>
      </c>
      <c r="F14" s="15">
        <v>1</v>
      </c>
      <c r="G14" s="9" t="s">
        <v>44</v>
      </c>
      <c r="H14" s="50"/>
    </row>
    <row r="15" spans="1:26" x14ac:dyDescent="0.25">
      <c r="A15" s="7" t="s">
        <v>45</v>
      </c>
      <c r="B15" s="26">
        <v>6000</v>
      </c>
      <c r="C15" s="13">
        <v>0</v>
      </c>
      <c r="D15" s="15">
        <v>8000</v>
      </c>
      <c r="E15" s="15">
        <v>8000</v>
      </c>
      <c r="F15" s="15">
        <v>0</v>
      </c>
      <c r="G15" s="9" t="s">
        <v>46</v>
      </c>
      <c r="H15" s="50"/>
    </row>
    <row r="16" spans="1:26" x14ac:dyDescent="0.25">
      <c r="A16" s="17" t="s">
        <v>47</v>
      </c>
      <c r="B16" s="27">
        <v>9.8756364459999997</v>
      </c>
      <c r="C16" s="28">
        <v>9.8756364459999997</v>
      </c>
      <c r="D16" s="19">
        <v>9.8756364460518444</v>
      </c>
      <c r="E16" s="19">
        <v>9.8756364460518444</v>
      </c>
      <c r="F16" s="19">
        <v>9.8756364459999997</v>
      </c>
      <c r="G16" s="20" t="s">
        <v>48</v>
      </c>
      <c r="H16" s="51"/>
    </row>
    <row r="17" spans="1:9" x14ac:dyDescent="0.25">
      <c r="A17" s="21" t="s">
        <v>49</v>
      </c>
      <c r="B17" s="22">
        <v>321</v>
      </c>
      <c r="C17" s="23">
        <v>0</v>
      </c>
      <c r="D17" s="29">
        <v>346</v>
      </c>
      <c r="E17" s="29">
        <v>325</v>
      </c>
      <c r="F17" s="29">
        <v>0</v>
      </c>
      <c r="G17" s="25" t="s">
        <v>50</v>
      </c>
      <c r="H17" s="49" t="s">
        <v>51</v>
      </c>
    </row>
    <row r="18" spans="1:9" x14ac:dyDescent="0.25">
      <c r="A18" s="7" t="s">
        <v>52</v>
      </c>
      <c r="B18" s="26">
        <v>3</v>
      </c>
      <c r="C18" s="13">
        <v>1</v>
      </c>
      <c r="D18" s="8">
        <v>3</v>
      </c>
      <c r="E18" s="8">
        <v>3</v>
      </c>
      <c r="F18" s="8">
        <v>1</v>
      </c>
      <c r="G18" s="9" t="s">
        <v>53</v>
      </c>
      <c r="H18" s="50"/>
    </row>
    <row r="19" spans="1:9" x14ac:dyDescent="0.25">
      <c r="A19" s="7" t="s">
        <v>54</v>
      </c>
      <c r="B19" s="26">
        <v>0</v>
      </c>
      <c r="C19" s="13">
        <v>0</v>
      </c>
      <c r="D19" s="8">
        <v>0</v>
      </c>
      <c r="E19" s="8">
        <v>0</v>
      </c>
      <c r="F19" s="8">
        <v>0</v>
      </c>
      <c r="G19" s="9" t="s">
        <v>55</v>
      </c>
      <c r="H19" s="50"/>
    </row>
    <row r="20" spans="1:9" x14ac:dyDescent="0.25">
      <c r="A20" s="7" t="s">
        <v>56</v>
      </c>
      <c r="B20" s="26">
        <v>6</v>
      </c>
      <c r="C20" s="13">
        <v>6</v>
      </c>
      <c r="D20" s="15">
        <v>6</v>
      </c>
      <c r="E20" s="15">
        <v>6</v>
      </c>
      <c r="F20" s="15">
        <v>6</v>
      </c>
      <c r="G20" s="9" t="s">
        <v>57</v>
      </c>
      <c r="H20" s="50"/>
    </row>
    <row r="21" spans="1:9" ht="15.75" customHeight="1" x14ac:dyDescent="0.25">
      <c r="A21" s="7" t="s">
        <v>58</v>
      </c>
      <c r="B21" s="26">
        <v>61</v>
      </c>
      <c r="C21" s="13">
        <v>61</v>
      </c>
      <c r="D21" s="8">
        <v>1177</v>
      </c>
      <c r="E21" s="8">
        <v>1182</v>
      </c>
      <c r="F21" s="8">
        <v>61</v>
      </c>
      <c r="G21" s="9" t="s">
        <v>59</v>
      </c>
      <c r="H21" s="50"/>
    </row>
    <row r="22" spans="1:9" ht="15.75" customHeight="1" x14ac:dyDescent="0.25">
      <c r="A22" s="7" t="s">
        <v>60</v>
      </c>
      <c r="B22" s="26">
        <v>0.62</v>
      </c>
      <c r="C22" s="13">
        <v>2.13</v>
      </c>
      <c r="D22" s="8">
        <v>0.28999999999999998</v>
      </c>
      <c r="E22" s="8">
        <v>0.27500000000000002</v>
      </c>
      <c r="F22" s="8">
        <v>2.13</v>
      </c>
      <c r="G22" s="9" t="s">
        <v>61</v>
      </c>
      <c r="H22" s="50"/>
    </row>
    <row r="23" spans="1:9" ht="15.75" customHeight="1" x14ac:dyDescent="0.25">
      <c r="A23" s="7" t="s">
        <v>62</v>
      </c>
      <c r="B23" s="26">
        <v>30</v>
      </c>
      <c r="C23" s="13">
        <v>30</v>
      </c>
      <c r="D23" s="15">
        <v>30</v>
      </c>
      <c r="E23" s="15">
        <v>30</v>
      </c>
      <c r="F23" s="15">
        <v>30</v>
      </c>
      <c r="G23" s="9" t="s">
        <v>63</v>
      </c>
      <c r="H23" s="50"/>
    </row>
    <row r="24" spans="1:9" ht="15.75" customHeight="1" x14ac:dyDescent="0.25">
      <c r="A24" s="17" t="s">
        <v>64</v>
      </c>
      <c r="B24" s="27">
        <v>4.24</v>
      </c>
      <c r="C24" s="28">
        <v>0</v>
      </c>
      <c r="D24" s="14">
        <v>2.2999999999999998</v>
      </c>
      <c r="E24" s="14">
        <v>2.2999999999999998</v>
      </c>
      <c r="F24" s="14">
        <v>0</v>
      </c>
      <c r="G24" s="20" t="s">
        <v>65</v>
      </c>
      <c r="H24" s="51"/>
    </row>
    <row r="25" spans="1:9" ht="15.75" customHeight="1" x14ac:dyDescent="0.25">
      <c r="A25" s="21" t="s">
        <v>66</v>
      </c>
      <c r="B25" s="23">
        <v>0</v>
      </c>
      <c r="C25" s="22">
        <v>400</v>
      </c>
      <c r="D25" s="30">
        <v>0</v>
      </c>
      <c r="E25" s="30">
        <v>0</v>
      </c>
      <c r="F25" s="29">
        <v>360</v>
      </c>
      <c r="G25" s="25" t="s">
        <v>67</v>
      </c>
      <c r="H25" s="49" t="s">
        <v>68</v>
      </c>
      <c r="I25" s="16" t="s">
        <v>69</v>
      </c>
    </row>
    <row r="26" spans="1:9" ht="15.75" customHeight="1" x14ac:dyDescent="0.25">
      <c r="A26" s="7" t="s">
        <v>70</v>
      </c>
      <c r="B26" s="13">
        <v>0.95</v>
      </c>
      <c r="C26" s="26">
        <v>0.95</v>
      </c>
      <c r="D26" s="31">
        <v>0.95</v>
      </c>
      <c r="E26" s="31">
        <v>0.95</v>
      </c>
      <c r="F26" s="8">
        <v>0.98</v>
      </c>
      <c r="G26" s="9" t="s">
        <v>71</v>
      </c>
      <c r="H26" s="50"/>
    </row>
    <row r="27" spans="1:9" ht="15.75" customHeight="1" x14ac:dyDescent="0.25">
      <c r="A27" s="7" t="s">
        <v>72</v>
      </c>
      <c r="B27" s="13">
        <v>4</v>
      </c>
      <c r="C27" s="26">
        <v>4</v>
      </c>
      <c r="D27" s="31">
        <v>4</v>
      </c>
      <c r="E27" s="31">
        <v>4</v>
      </c>
      <c r="F27" s="8">
        <v>4</v>
      </c>
      <c r="G27" s="9" t="s">
        <v>73</v>
      </c>
      <c r="H27" s="50"/>
    </row>
    <row r="28" spans="1:9" ht="15.75" customHeight="1" x14ac:dyDescent="0.25">
      <c r="A28" s="7" t="s">
        <v>74</v>
      </c>
      <c r="B28" s="13">
        <v>0.83299999999999996</v>
      </c>
      <c r="C28" s="26">
        <v>0.83299999999999996</v>
      </c>
      <c r="D28" s="31">
        <v>0.83299999999999996</v>
      </c>
      <c r="E28" s="31">
        <v>0.83299999999999996</v>
      </c>
      <c r="F28" s="8">
        <v>0.52500000000000002</v>
      </c>
      <c r="G28" s="9" t="s">
        <v>75</v>
      </c>
      <c r="H28" s="50"/>
    </row>
    <row r="29" spans="1:9" ht="15.75" customHeight="1" x14ac:dyDescent="0.25">
      <c r="A29" s="17" t="s">
        <v>76</v>
      </c>
      <c r="B29" s="28">
        <v>21.6</v>
      </c>
      <c r="C29" s="27">
        <v>21.6</v>
      </c>
      <c r="D29" s="32">
        <v>21.6</v>
      </c>
      <c r="E29" s="32">
        <v>21.6</v>
      </c>
      <c r="F29" s="14">
        <v>189</v>
      </c>
      <c r="G29" s="20" t="s">
        <v>77</v>
      </c>
      <c r="H29" s="51"/>
      <c r="I29" s="16" t="s">
        <v>78</v>
      </c>
    </row>
    <row r="30" spans="1:9" ht="15.75" customHeight="1" x14ac:dyDescent="0.25">
      <c r="A30" s="21" t="s">
        <v>79</v>
      </c>
      <c r="B30" s="23">
        <v>0</v>
      </c>
      <c r="C30" s="22">
        <v>260</v>
      </c>
      <c r="D30" s="30">
        <v>0</v>
      </c>
      <c r="E30" s="30">
        <v>0</v>
      </c>
      <c r="F30" s="29">
        <v>678</v>
      </c>
      <c r="G30" s="25" t="s">
        <v>80</v>
      </c>
      <c r="H30" s="49" t="s">
        <v>81</v>
      </c>
      <c r="I30" s="16" t="s">
        <v>82</v>
      </c>
    </row>
    <row r="31" spans="1:9" ht="15.75" customHeight="1" x14ac:dyDescent="0.25">
      <c r="A31" s="7" t="s">
        <v>83</v>
      </c>
      <c r="B31" s="13">
        <v>0</v>
      </c>
      <c r="C31" s="26">
        <v>300</v>
      </c>
      <c r="D31" s="31">
        <v>0</v>
      </c>
      <c r="E31" s="31">
        <v>0</v>
      </c>
      <c r="F31" s="8">
        <v>396</v>
      </c>
      <c r="G31" s="9" t="s">
        <v>84</v>
      </c>
      <c r="H31" s="50"/>
      <c r="I31" s="16" t="s">
        <v>85</v>
      </c>
    </row>
    <row r="32" spans="1:9" ht="15.75" customHeight="1" x14ac:dyDescent="0.25">
      <c r="A32" s="7" t="s">
        <v>86</v>
      </c>
      <c r="B32" s="13">
        <v>8</v>
      </c>
      <c r="C32" s="26">
        <v>8</v>
      </c>
      <c r="D32" s="31">
        <v>44</v>
      </c>
      <c r="E32" s="31">
        <v>44</v>
      </c>
      <c r="F32" s="8">
        <v>8.7100000000000009</v>
      </c>
      <c r="G32" s="9" t="s">
        <v>87</v>
      </c>
      <c r="H32" s="50"/>
      <c r="I32" s="16" t="s">
        <v>88</v>
      </c>
    </row>
    <row r="33" spans="1:9" ht="15.75" customHeight="1" x14ac:dyDescent="0.25">
      <c r="A33" s="7" t="s">
        <v>89</v>
      </c>
      <c r="B33" s="13">
        <v>75</v>
      </c>
      <c r="C33" s="26">
        <v>300</v>
      </c>
      <c r="D33" s="31">
        <v>0</v>
      </c>
      <c r="E33" s="31">
        <v>0</v>
      </c>
      <c r="F33" s="8">
        <v>3450</v>
      </c>
      <c r="G33" s="9" t="s">
        <v>90</v>
      </c>
      <c r="H33" s="50"/>
      <c r="I33" s="16" t="s">
        <v>91</v>
      </c>
    </row>
    <row r="34" spans="1:9" ht="15.75" customHeight="1" x14ac:dyDescent="0.25">
      <c r="A34" s="7" t="s">
        <v>92</v>
      </c>
      <c r="B34" s="13">
        <v>0.97</v>
      </c>
      <c r="C34" s="26">
        <v>0.97</v>
      </c>
      <c r="D34" s="31">
        <v>0.97</v>
      </c>
      <c r="E34" s="31">
        <v>0.97</v>
      </c>
      <c r="F34" s="8">
        <v>0.98</v>
      </c>
      <c r="G34" s="9" t="s">
        <v>93</v>
      </c>
      <c r="H34" s="50"/>
      <c r="I34" s="16" t="s">
        <v>94</v>
      </c>
    </row>
    <row r="35" spans="1:9" ht="15.75" customHeight="1" x14ac:dyDescent="0.25">
      <c r="A35" s="7" t="s">
        <v>95</v>
      </c>
      <c r="B35" s="13">
        <v>135</v>
      </c>
      <c r="C35" s="26">
        <v>135</v>
      </c>
      <c r="D35" s="33">
        <v>135</v>
      </c>
      <c r="E35" s="33">
        <v>135</v>
      </c>
      <c r="F35" s="15">
        <v>135</v>
      </c>
      <c r="G35" s="9" t="s">
        <v>96</v>
      </c>
      <c r="H35" s="50"/>
      <c r="I35" s="16" t="s">
        <v>97</v>
      </c>
    </row>
    <row r="36" spans="1:9" ht="15.75" customHeight="1" x14ac:dyDescent="0.25">
      <c r="A36" s="17" t="s">
        <v>98</v>
      </c>
      <c r="B36" s="28">
        <v>-0.68440000000000001</v>
      </c>
      <c r="C36" s="27">
        <v>-0.68440000000000001</v>
      </c>
      <c r="D36" s="34">
        <v>-0.68440000000000001</v>
      </c>
      <c r="E36" s="34">
        <v>-0.68440000000000001</v>
      </c>
      <c r="F36" s="19">
        <v>-0.68440000000000001</v>
      </c>
      <c r="G36" s="20" t="s">
        <v>99</v>
      </c>
      <c r="H36" s="51"/>
    </row>
    <row r="37" spans="1:9" ht="15.75" customHeight="1" x14ac:dyDescent="0.25">
      <c r="A37" s="21" t="s">
        <v>100</v>
      </c>
      <c r="B37" s="35">
        <v>1</v>
      </c>
      <c r="C37" s="35">
        <v>0.81499999999999995</v>
      </c>
      <c r="D37" s="29">
        <v>10</v>
      </c>
      <c r="E37" s="29">
        <v>10</v>
      </c>
      <c r="F37" s="29">
        <v>10</v>
      </c>
      <c r="G37" s="25" t="s">
        <v>101</v>
      </c>
      <c r="H37" s="49" t="s">
        <v>102</v>
      </c>
    </row>
    <row r="38" spans="1:9" ht="15.75" customHeight="1" x14ac:dyDescent="0.25">
      <c r="A38" s="7" t="s">
        <v>103</v>
      </c>
      <c r="B38" s="10">
        <v>10</v>
      </c>
      <c r="C38" s="10">
        <v>10</v>
      </c>
      <c r="D38" s="8">
        <v>18</v>
      </c>
      <c r="E38" s="8">
        <v>18</v>
      </c>
      <c r="F38" s="8">
        <v>18</v>
      </c>
      <c r="G38" s="9" t="s">
        <v>104</v>
      </c>
      <c r="H38" s="50"/>
    </row>
    <row r="39" spans="1:9" ht="15.75" customHeight="1" x14ac:dyDescent="0.25">
      <c r="A39" s="7" t="s">
        <v>105</v>
      </c>
      <c r="B39" s="10">
        <v>6.0000000000000001E-3</v>
      </c>
      <c r="C39" s="10">
        <v>9.1999999999999998E-3</v>
      </c>
      <c r="D39" s="8">
        <v>6.7000000000000002E-3</v>
      </c>
      <c r="E39" s="8">
        <v>6.7000000000000002E-3</v>
      </c>
      <c r="F39" s="8">
        <v>6.7000000000000002E-3</v>
      </c>
      <c r="G39" s="9" t="s">
        <v>106</v>
      </c>
      <c r="H39" s="50"/>
    </row>
    <row r="40" spans="1:9" ht="15.75" customHeight="1" x14ac:dyDescent="0.25">
      <c r="A40" s="7" t="s">
        <v>107</v>
      </c>
      <c r="B40" s="10">
        <v>0.50600000000000001</v>
      </c>
      <c r="C40" s="10">
        <v>0.50600000000000001</v>
      </c>
      <c r="D40" s="8">
        <v>0.50029999999999997</v>
      </c>
      <c r="E40" s="8">
        <v>0.50029999999999997</v>
      </c>
      <c r="F40" s="8">
        <v>0.50029999999999997</v>
      </c>
      <c r="G40" s="9" t="s">
        <v>108</v>
      </c>
      <c r="H40" s="50"/>
    </row>
    <row r="41" spans="1:9" ht="15.75" customHeight="1" x14ac:dyDescent="0.25">
      <c r="A41" s="17" t="s">
        <v>109</v>
      </c>
      <c r="B41" s="18">
        <v>0.7</v>
      </c>
      <c r="C41" s="18">
        <v>0.7</v>
      </c>
      <c r="D41" s="19">
        <v>0.7</v>
      </c>
      <c r="E41" s="19">
        <v>0.7</v>
      </c>
      <c r="F41" s="19">
        <v>0.7</v>
      </c>
      <c r="G41" s="20" t="s">
        <v>110</v>
      </c>
      <c r="H41" s="51"/>
    </row>
    <row r="42" spans="1:9" ht="15.75" customHeight="1" x14ac:dyDescent="0.25">
      <c r="A42" s="21" t="s">
        <v>111</v>
      </c>
      <c r="B42" s="23">
        <v>0.4</v>
      </c>
      <c r="C42" s="29">
        <v>0.15</v>
      </c>
      <c r="D42" s="30">
        <v>0.4</v>
      </c>
      <c r="E42" s="30">
        <v>0.4</v>
      </c>
      <c r="F42" s="29">
        <v>0.15</v>
      </c>
      <c r="G42" s="25" t="s">
        <v>112</v>
      </c>
      <c r="H42" s="53" t="s">
        <v>113</v>
      </c>
    </row>
    <row r="43" spans="1:9" ht="15.75" customHeight="1" x14ac:dyDescent="0.25">
      <c r="A43" s="7" t="s">
        <v>114</v>
      </c>
      <c r="B43" s="13">
        <v>0.8</v>
      </c>
      <c r="C43" s="8">
        <v>0.85</v>
      </c>
      <c r="D43" s="31">
        <v>0.8</v>
      </c>
      <c r="E43" s="31">
        <v>0.8</v>
      </c>
      <c r="F43" s="8">
        <v>0.9</v>
      </c>
      <c r="G43" s="9" t="s">
        <v>115</v>
      </c>
      <c r="H43" s="50"/>
    </row>
    <row r="44" spans="1:9" ht="15.75" customHeight="1" x14ac:dyDescent="0.25">
      <c r="A44" s="7" t="s">
        <v>116</v>
      </c>
      <c r="B44" s="13">
        <v>1</v>
      </c>
      <c r="C44" s="13">
        <v>0</v>
      </c>
      <c r="D44" s="31">
        <v>1</v>
      </c>
      <c r="E44" s="31">
        <v>1</v>
      </c>
      <c r="F44" s="15">
        <v>0</v>
      </c>
      <c r="G44" s="9" t="s">
        <v>117</v>
      </c>
      <c r="H44" s="50"/>
    </row>
    <row r="45" spans="1:9" ht="15.75" customHeight="1" x14ac:dyDescent="0.25">
      <c r="A45" s="7" t="s">
        <v>118</v>
      </c>
      <c r="B45" s="13">
        <v>0.1</v>
      </c>
      <c r="C45" s="13">
        <v>0</v>
      </c>
      <c r="D45" s="31">
        <v>0.1</v>
      </c>
      <c r="E45" s="31">
        <v>0.1</v>
      </c>
      <c r="F45" s="15">
        <v>0</v>
      </c>
      <c r="G45" s="9" t="s">
        <v>119</v>
      </c>
      <c r="H45" s="50"/>
    </row>
    <row r="46" spans="1:9" ht="15.75" customHeight="1" x14ac:dyDescent="0.25">
      <c r="A46" s="7" t="s">
        <v>120</v>
      </c>
      <c r="B46" s="13">
        <v>60</v>
      </c>
      <c r="C46" s="13">
        <v>60</v>
      </c>
      <c r="D46" s="31">
        <v>60</v>
      </c>
      <c r="E46" s="31">
        <v>60</v>
      </c>
      <c r="F46" s="15">
        <v>60</v>
      </c>
      <c r="G46" s="9" t="s">
        <v>121</v>
      </c>
      <c r="H46" s="50"/>
    </row>
    <row r="47" spans="1:9" ht="15.75" customHeight="1" x14ac:dyDescent="0.25">
      <c r="A47" s="7" t="s">
        <v>122</v>
      </c>
      <c r="B47" s="13">
        <v>0.5</v>
      </c>
      <c r="C47" s="13">
        <v>0.2</v>
      </c>
      <c r="D47" s="31">
        <v>0.5</v>
      </c>
      <c r="E47" s="31">
        <v>0.5</v>
      </c>
      <c r="F47" s="15">
        <v>0.2</v>
      </c>
      <c r="G47" s="9" t="s">
        <v>123</v>
      </c>
      <c r="H47" s="50"/>
    </row>
    <row r="48" spans="1:9" ht="15.75" customHeight="1" x14ac:dyDescent="0.25">
      <c r="A48" s="7" t="s">
        <v>124</v>
      </c>
      <c r="B48" s="13">
        <v>0</v>
      </c>
      <c r="C48" s="8">
        <v>0.02</v>
      </c>
      <c r="D48" s="31">
        <v>0</v>
      </c>
      <c r="E48" s="31">
        <v>0</v>
      </c>
      <c r="F48" s="15">
        <v>0.02</v>
      </c>
      <c r="G48" s="9" t="s">
        <v>125</v>
      </c>
      <c r="H48" s="50"/>
    </row>
    <row r="49" spans="1:9" ht="15.75" customHeight="1" x14ac:dyDescent="0.25">
      <c r="A49" s="7" t="s">
        <v>126</v>
      </c>
      <c r="B49" s="13">
        <v>1</v>
      </c>
      <c r="C49" s="13">
        <v>1</v>
      </c>
      <c r="D49" s="31">
        <v>1</v>
      </c>
      <c r="E49" s="31">
        <v>1</v>
      </c>
      <c r="F49" s="8">
        <v>1</v>
      </c>
      <c r="G49" s="9" t="s">
        <v>127</v>
      </c>
      <c r="H49" s="50"/>
    </row>
    <row r="50" spans="1:9" ht="15.75" customHeight="1" x14ac:dyDescent="0.25">
      <c r="A50" s="17" t="s">
        <v>128</v>
      </c>
      <c r="B50" s="28">
        <v>100</v>
      </c>
      <c r="C50" s="28">
        <v>100</v>
      </c>
      <c r="D50" s="31">
        <v>100</v>
      </c>
      <c r="E50" s="31">
        <v>100</v>
      </c>
      <c r="F50" s="14">
        <v>100</v>
      </c>
      <c r="G50" s="20" t="s">
        <v>129</v>
      </c>
      <c r="H50" s="51"/>
    </row>
    <row r="51" spans="1:9" ht="15.75" customHeight="1" x14ac:dyDescent="0.25">
      <c r="A51" s="21" t="s">
        <v>130</v>
      </c>
      <c r="B51" s="35">
        <v>1</v>
      </c>
      <c r="C51" s="23">
        <v>1</v>
      </c>
      <c r="D51" s="29">
        <v>0.65</v>
      </c>
      <c r="E51" s="29">
        <v>0.65</v>
      </c>
      <c r="F51" s="29">
        <v>0</v>
      </c>
      <c r="G51" s="25" t="s">
        <v>131</v>
      </c>
      <c r="H51" s="49" t="s">
        <v>132</v>
      </c>
    </row>
    <row r="52" spans="1:9" ht="15.75" customHeight="1" x14ac:dyDescent="0.25">
      <c r="A52" s="7" t="s">
        <v>133</v>
      </c>
      <c r="B52" s="13">
        <v>0.86</v>
      </c>
      <c r="C52" s="8">
        <v>0.86</v>
      </c>
      <c r="D52" s="31">
        <v>0</v>
      </c>
      <c r="E52" s="31">
        <v>0</v>
      </c>
      <c r="F52" s="8">
        <v>0.9</v>
      </c>
      <c r="G52" s="9" t="s">
        <v>134</v>
      </c>
      <c r="H52" s="50"/>
    </row>
    <row r="53" spans="1:9" ht="15.75" customHeight="1" x14ac:dyDescent="0.25">
      <c r="A53" s="7" t="s">
        <v>135</v>
      </c>
      <c r="B53" s="26">
        <v>10</v>
      </c>
      <c r="C53" s="26">
        <v>10</v>
      </c>
      <c r="D53" s="8">
        <v>6</v>
      </c>
      <c r="E53" s="8">
        <v>6</v>
      </c>
      <c r="F53" s="8">
        <v>3.3</v>
      </c>
      <c r="G53" s="9" t="s">
        <v>136</v>
      </c>
      <c r="H53" s="50"/>
    </row>
    <row r="54" spans="1:9" ht="15.75" customHeight="1" x14ac:dyDescent="0.25">
      <c r="A54" s="7" t="s">
        <v>137</v>
      </c>
      <c r="B54" s="8" t="b">
        <v>0</v>
      </c>
      <c r="C54" s="13" t="b">
        <v>0</v>
      </c>
      <c r="D54" s="8" t="b">
        <v>1</v>
      </c>
      <c r="E54" s="8" t="b">
        <v>1</v>
      </c>
      <c r="F54" s="8" t="b">
        <v>0</v>
      </c>
      <c r="G54" s="9" t="s">
        <v>138</v>
      </c>
      <c r="H54" s="50"/>
    </row>
    <row r="55" spans="1:9" ht="15.75" customHeight="1" x14ac:dyDescent="0.25">
      <c r="A55" s="7" t="s">
        <v>139</v>
      </c>
      <c r="B55" s="10">
        <v>114</v>
      </c>
      <c r="C55" s="8">
        <v>114</v>
      </c>
      <c r="D55" s="8">
        <v>271</v>
      </c>
      <c r="E55" s="8">
        <v>271</v>
      </c>
      <c r="F55" s="8">
        <v>345</v>
      </c>
      <c r="G55" s="9" t="s">
        <v>140</v>
      </c>
      <c r="H55" s="50"/>
    </row>
    <row r="56" spans="1:9" ht="15.75" customHeight="1" x14ac:dyDescent="0.25">
      <c r="A56" s="7" t="s">
        <v>141</v>
      </c>
      <c r="B56" s="10">
        <v>0.85</v>
      </c>
      <c r="C56" s="8">
        <v>0.98</v>
      </c>
      <c r="D56" s="8">
        <v>0.98499999999999999</v>
      </c>
      <c r="E56" s="8">
        <v>0.98499999999999999</v>
      </c>
      <c r="F56" s="8">
        <v>0.97</v>
      </c>
      <c r="G56" s="9" t="s">
        <v>142</v>
      </c>
      <c r="H56" s="50"/>
      <c r="I56" s="16" t="s">
        <v>143</v>
      </c>
    </row>
    <row r="57" spans="1:9" ht="15.75" customHeight="1" x14ac:dyDescent="0.25">
      <c r="A57" s="7" t="s">
        <v>144</v>
      </c>
      <c r="B57" s="8">
        <v>1.4</v>
      </c>
      <c r="C57" s="8">
        <v>1.4</v>
      </c>
      <c r="D57" s="15">
        <v>1.4</v>
      </c>
      <c r="E57" s="15">
        <v>1.4</v>
      </c>
      <c r="F57" s="15">
        <v>1.4</v>
      </c>
      <c r="G57" s="9" t="s">
        <v>145</v>
      </c>
      <c r="H57" s="50"/>
    </row>
    <row r="58" spans="1:9" ht="15.75" customHeight="1" x14ac:dyDescent="0.25">
      <c r="A58" s="7" t="s">
        <v>146</v>
      </c>
      <c r="B58" s="8">
        <v>5.0000000000000001E-3</v>
      </c>
      <c r="C58" s="8">
        <v>5.0000000000000001E-3</v>
      </c>
      <c r="D58" s="31">
        <v>0</v>
      </c>
      <c r="E58" s="31">
        <v>0</v>
      </c>
      <c r="F58" s="15">
        <v>5.0000000000000001E-3</v>
      </c>
      <c r="G58" s="9" t="s">
        <v>147</v>
      </c>
      <c r="H58" s="50"/>
    </row>
    <row r="59" spans="1:9" ht="15.75" customHeight="1" x14ac:dyDescent="0.25">
      <c r="A59" s="17" t="s">
        <v>148</v>
      </c>
      <c r="B59" s="28">
        <v>0.98</v>
      </c>
      <c r="C59" s="14">
        <v>0.98</v>
      </c>
      <c r="D59" s="32">
        <v>0</v>
      </c>
      <c r="E59" s="32">
        <v>0</v>
      </c>
      <c r="F59" s="14">
        <v>1</v>
      </c>
      <c r="G59" s="20" t="s">
        <v>149</v>
      </c>
      <c r="H59" s="51"/>
    </row>
    <row r="60" spans="1:9" ht="15.75" customHeight="1" x14ac:dyDescent="0.25">
      <c r="A60" s="21" t="s">
        <v>150</v>
      </c>
      <c r="B60" s="36"/>
      <c r="C60" s="36"/>
      <c r="D60" s="29"/>
      <c r="E60" s="29"/>
      <c r="F60" s="29"/>
      <c r="G60" s="25" t="s">
        <v>151</v>
      </c>
      <c r="H60" s="49" t="s">
        <v>152</v>
      </c>
    </row>
    <row r="61" spans="1:9" ht="15.75" customHeight="1" x14ac:dyDescent="0.25">
      <c r="A61" s="7" t="s">
        <v>153</v>
      </c>
      <c r="B61" s="37"/>
      <c r="C61" s="37"/>
      <c r="D61" s="8"/>
      <c r="E61" s="8"/>
      <c r="F61" s="8"/>
      <c r="G61" s="9" t="s">
        <v>154</v>
      </c>
      <c r="H61" s="50"/>
    </row>
    <row r="62" spans="1:9" ht="15.75" customHeight="1" x14ac:dyDescent="0.25">
      <c r="A62" s="7" t="s">
        <v>155</v>
      </c>
      <c r="B62" s="37"/>
      <c r="C62" s="37"/>
      <c r="D62" s="8"/>
      <c r="E62" s="8"/>
      <c r="F62" s="8"/>
      <c r="G62" s="9" t="s">
        <v>156</v>
      </c>
      <c r="H62" s="50"/>
    </row>
    <row r="63" spans="1:9" ht="15.75" customHeight="1" x14ac:dyDescent="0.25">
      <c r="A63" s="7" t="s">
        <v>157</v>
      </c>
      <c r="B63" s="37"/>
      <c r="C63" s="37"/>
      <c r="D63" s="8"/>
      <c r="E63" s="8"/>
      <c r="F63" s="8"/>
      <c r="G63" s="9" t="s">
        <v>158</v>
      </c>
      <c r="H63" s="50"/>
    </row>
    <row r="64" spans="1:9" ht="15.75" customHeight="1" x14ac:dyDescent="0.25">
      <c r="A64" s="7" t="s">
        <v>159</v>
      </c>
      <c r="B64" s="37"/>
      <c r="C64" s="37"/>
      <c r="D64" s="8"/>
      <c r="E64" s="8"/>
      <c r="F64" s="8"/>
      <c r="G64" s="9" t="s">
        <v>160</v>
      </c>
      <c r="H64" s="50"/>
    </row>
    <row r="65" spans="1:8" ht="15.75" customHeight="1" x14ac:dyDescent="0.25">
      <c r="A65" s="7" t="s">
        <v>161</v>
      </c>
      <c r="B65" s="37"/>
      <c r="C65" s="37"/>
      <c r="D65" s="8"/>
      <c r="E65" s="8"/>
      <c r="F65" s="8"/>
      <c r="G65" s="9" t="s">
        <v>162</v>
      </c>
      <c r="H65" s="50"/>
    </row>
    <row r="66" spans="1:8" ht="15.75" customHeight="1" x14ac:dyDescent="0.25">
      <c r="A66" s="7" t="s">
        <v>163</v>
      </c>
      <c r="B66" s="37"/>
      <c r="C66" s="37"/>
      <c r="D66" s="8"/>
      <c r="E66" s="8"/>
      <c r="F66" s="8"/>
      <c r="G66" s="9" t="s">
        <v>164</v>
      </c>
      <c r="H66" s="50"/>
    </row>
    <row r="67" spans="1:8" ht="15.75" customHeight="1" x14ac:dyDescent="0.25">
      <c r="A67" s="7" t="s">
        <v>165</v>
      </c>
      <c r="B67" s="37"/>
      <c r="C67" s="37"/>
      <c r="D67" s="8"/>
      <c r="E67" s="8"/>
      <c r="F67" s="8"/>
      <c r="G67" s="9" t="s">
        <v>166</v>
      </c>
      <c r="H67" s="50"/>
    </row>
    <row r="68" spans="1:8" ht="15.75" customHeight="1" x14ac:dyDescent="0.25">
      <c r="A68" s="7" t="s">
        <v>167</v>
      </c>
      <c r="B68" s="37"/>
      <c r="C68" s="37"/>
      <c r="D68" s="8"/>
      <c r="E68" s="8"/>
      <c r="F68" s="8"/>
      <c r="G68" s="9" t="s">
        <v>168</v>
      </c>
      <c r="H68" s="50"/>
    </row>
    <row r="69" spans="1:8" ht="15.75" customHeight="1" x14ac:dyDescent="0.25">
      <c r="A69" s="7" t="s">
        <v>169</v>
      </c>
      <c r="B69" s="37"/>
      <c r="C69" s="37"/>
      <c r="D69" s="8"/>
      <c r="E69" s="8"/>
      <c r="F69" s="8"/>
      <c r="G69" s="9" t="s">
        <v>170</v>
      </c>
      <c r="H69" s="50"/>
    </row>
    <row r="70" spans="1:8" ht="15.75" customHeight="1" x14ac:dyDescent="0.25">
      <c r="A70" s="7" t="s">
        <v>171</v>
      </c>
      <c r="B70" s="37"/>
      <c r="C70" s="37"/>
      <c r="D70" s="8"/>
      <c r="E70" s="8"/>
      <c r="F70" s="8"/>
      <c r="G70" s="9" t="s">
        <v>172</v>
      </c>
      <c r="H70" s="50"/>
    </row>
    <row r="71" spans="1:8" ht="15.75" customHeight="1" x14ac:dyDescent="0.25">
      <c r="A71" s="7" t="s">
        <v>173</v>
      </c>
      <c r="B71" s="37"/>
      <c r="C71" s="37"/>
      <c r="D71" s="8"/>
      <c r="E71" s="8"/>
      <c r="F71" s="8"/>
      <c r="G71" s="9" t="s">
        <v>174</v>
      </c>
      <c r="H71" s="50"/>
    </row>
    <row r="72" spans="1:8" ht="15.75" customHeight="1" x14ac:dyDescent="0.25">
      <c r="A72" s="7" t="s">
        <v>175</v>
      </c>
      <c r="B72" s="37"/>
      <c r="C72" s="37"/>
      <c r="D72" s="8"/>
      <c r="E72" s="8"/>
      <c r="F72" s="8"/>
      <c r="G72" s="9" t="s">
        <v>176</v>
      </c>
      <c r="H72" s="50"/>
    </row>
    <row r="73" spans="1:8" ht="15.75" customHeight="1" x14ac:dyDescent="0.25">
      <c r="A73" s="7" t="s">
        <v>177</v>
      </c>
      <c r="B73" s="37"/>
      <c r="C73" s="37"/>
      <c r="D73" s="8"/>
      <c r="E73" s="8"/>
      <c r="F73" s="8"/>
      <c r="G73" s="9" t="s">
        <v>178</v>
      </c>
      <c r="H73" s="50"/>
    </row>
    <row r="74" spans="1:8" ht="15.75" customHeight="1" x14ac:dyDescent="0.25">
      <c r="A74" s="7" t="s">
        <v>179</v>
      </c>
      <c r="B74" s="37"/>
      <c r="C74" s="37"/>
      <c r="D74" s="8"/>
      <c r="E74" s="8"/>
      <c r="F74" s="8"/>
      <c r="G74" s="9" t="s">
        <v>180</v>
      </c>
      <c r="H74" s="50"/>
    </row>
    <row r="75" spans="1:8" ht="15.75" customHeight="1" x14ac:dyDescent="0.25">
      <c r="A75" s="7" t="s">
        <v>181</v>
      </c>
      <c r="B75" s="37"/>
      <c r="C75" s="37"/>
      <c r="D75" s="8"/>
      <c r="E75" s="8"/>
      <c r="F75" s="8"/>
      <c r="G75" s="9" t="s">
        <v>182</v>
      </c>
      <c r="H75" s="50"/>
    </row>
    <row r="76" spans="1:8" ht="15.75" customHeight="1" x14ac:dyDescent="0.25">
      <c r="A76" s="7" t="s">
        <v>183</v>
      </c>
      <c r="B76" s="37"/>
      <c r="C76" s="37"/>
      <c r="D76" s="8"/>
      <c r="E76" s="8"/>
      <c r="F76" s="8"/>
      <c r="G76" s="9" t="s">
        <v>184</v>
      </c>
      <c r="H76" s="50"/>
    </row>
    <row r="77" spans="1:8" ht="15.75" customHeight="1" x14ac:dyDescent="0.25">
      <c r="A77" s="38" t="s">
        <v>185</v>
      </c>
      <c r="B77" s="39"/>
      <c r="C77" s="39"/>
      <c r="D77" s="40"/>
      <c r="E77" s="40"/>
      <c r="F77" s="40"/>
      <c r="G77" s="41" t="s">
        <v>186</v>
      </c>
      <c r="H77" s="52"/>
    </row>
    <row r="78" spans="1:8" ht="15.75" customHeight="1" x14ac:dyDescent="0.25">
      <c r="A78" s="21" t="s">
        <v>187</v>
      </c>
      <c r="B78" s="29">
        <v>30</v>
      </c>
      <c r="C78" s="29">
        <v>30</v>
      </c>
      <c r="D78" s="29"/>
      <c r="E78" s="29"/>
      <c r="F78" s="29"/>
      <c r="G78" s="25" t="s">
        <v>188</v>
      </c>
      <c r="H78" s="53" t="s">
        <v>189</v>
      </c>
    </row>
    <row r="79" spans="1:8" ht="15.75" customHeight="1" x14ac:dyDescent="0.25">
      <c r="A79" s="7" t="s">
        <v>190</v>
      </c>
      <c r="B79" s="8">
        <v>1.3</v>
      </c>
      <c r="C79" s="8">
        <v>1.3</v>
      </c>
      <c r="D79" s="8"/>
      <c r="E79" s="8"/>
      <c r="F79" s="8"/>
      <c r="G79" s="9" t="s">
        <v>191</v>
      </c>
      <c r="H79" s="50"/>
    </row>
    <row r="80" spans="1:8" ht="15.75" customHeight="1" x14ac:dyDescent="0.25">
      <c r="A80" s="7" t="s">
        <v>192</v>
      </c>
      <c r="B80" s="8">
        <v>0</v>
      </c>
      <c r="C80" s="8">
        <v>0</v>
      </c>
      <c r="D80" s="8"/>
      <c r="E80" s="8"/>
      <c r="F80" s="8"/>
      <c r="G80" s="9" t="s">
        <v>193</v>
      </c>
      <c r="H80" s="50"/>
    </row>
    <row r="81" spans="1:8" ht="15.75" customHeight="1" x14ac:dyDescent="0.25">
      <c r="A81" s="7" t="s">
        <v>194</v>
      </c>
      <c r="B81" s="8">
        <v>100</v>
      </c>
      <c r="C81" s="8">
        <v>100</v>
      </c>
      <c r="D81" s="8"/>
      <c r="E81" s="8"/>
      <c r="F81" s="8"/>
      <c r="G81" s="9" t="s">
        <v>195</v>
      </c>
      <c r="H81" s="50"/>
    </row>
    <row r="82" spans="1:8" ht="15.75" customHeight="1" x14ac:dyDescent="0.25">
      <c r="A82" s="7" t="s">
        <v>196</v>
      </c>
      <c r="B82" s="8">
        <v>53</v>
      </c>
      <c r="C82" s="8">
        <v>53</v>
      </c>
      <c r="D82" s="8"/>
      <c r="E82" s="8"/>
      <c r="F82" s="8"/>
      <c r="G82" s="9" t="s">
        <v>197</v>
      </c>
      <c r="H82" s="50"/>
    </row>
    <row r="83" spans="1:8" ht="15.75" customHeight="1" x14ac:dyDescent="0.25">
      <c r="A83" s="7" t="s">
        <v>198</v>
      </c>
      <c r="B83" s="8">
        <v>0</v>
      </c>
      <c r="C83" s="8">
        <v>0</v>
      </c>
      <c r="D83" s="8"/>
      <c r="E83" s="8"/>
      <c r="F83" s="8"/>
      <c r="G83" s="9" t="s">
        <v>199</v>
      </c>
      <c r="H83" s="50"/>
    </row>
    <row r="84" spans="1:8" ht="15.75" customHeight="1" x14ac:dyDescent="0.25">
      <c r="A84" s="7" t="s">
        <v>200</v>
      </c>
      <c r="B84" s="8">
        <v>150</v>
      </c>
      <c r="C84" s="8">
        <v>150</v>
      </c>
      <c r="D84" s="8"/>
      <c r="E84" s="8"/>
      <c r="F84" s="8"/>
      <c r="G84" s="9" t="s">
        <v>201</v>
      </c>
      <c r="H84" s="50"/>
    </row>
    <row r="85" spans="1:8" ht="15.75" customHeight="1" x14ac:dyDescent="0.25">
      <c r="A85" s="7" t="s">
        <v>202</v>
      </c>
      <c r="B85" s="8">
        <v>300</v>
      </c>
      <c r="C85" s="8">
        <v>300</v>
      </c>
      <c r="D85" s="8"/>
      <c r="E85" s="8"/>
      <c r="F85" s="8"/>
      <c r="G85" s="9" t="s">
        <v>203</v>
      </c>
      <c r="H85" s="50"/>
    </row>
    <row r="86" spans="1:8" ht="15.75" customHeight="1" x14ac:dyDescent="0.25">
      <c r="A86" s="7" t="s">
        <v>79</v>
      </c>
      <c r="B86" s="8">
        <v>50</v>
      </c>
      <c r="C86" s="8">
        <v>50</v>
      </c>
      <c r="D86" s="8"/>
      <c r="E86" s="8"/>
      <c r="F86" s="8"/>
      <c r="G86" s="9" t="s">
        <v>204</v>
      </c>
      <c r="H86" s="50"/>
    </row>
    <row r="87" spans="1:8" ht="15.75" customHeight="1" x14ac:dyDescent="0.25">
      <c r="A87" s="7" t="s">
        <v>83</v>
      </c>
      <c r="B87" s="8">
        <v>2.2000000000000002</v>
      </c>
      <c r="C87" s="8">
        <v>2.2000000000000002</v>
      </c>
      <c r="D87" s="8"/>
      <c r="E87" s="8"/>
      <c r="F87" s="8"/>
      <c r="G87" s="9" t="s">
        <v>205</v>
      </c>
      <c r="H87" s="50"/>
    </row>
    <row r="88" spans="1:8" ht="15.75" customHeight="1" x14ac:dyDescent="0.25">
      <c r="A88" s="7" t="s">
        <v>86</v>
      </c>
      <c r="B88" s="8">
        <v>6</v>
      </c>
      <c r="C88" s="8">
        <v>6</v>
      </c>
      <c r="D88" s="8"/>
      <c r="E88" s="8"/>
      <c r="F88" s="8"/>
      <c r="G88" s="9" t="s">
        <v>206</v>
      </c>
      <c r="H88" s="50"/>
    </row>
    <row r="89" spans="1:8" ht="15.75" customHeight="1" x14ac:dyDescent="0.25">
      <c r="A89" s="7" t="s">
        <v>89</v>
      </c>
      <c r="B89" s="8">
        <v>75</v>
      </c>
      <c r="C89" s="8">
        <v>75</v>
      </c>
      <c r="D89" s="8"/>
      <c r="E89" s="8"/>
      <c r="F89" s="8"/>
      <c r="G89" s="9" t="s">
        <v>207</v>
      </c>
      <c r="H89" s="50"/>
    </row>
    <row r="90" spans="1:8" ht="15.75" customHeight="1" x14ac:dyDescent="0.25">
      <c r="A90" s="7" t="s">
        <v>208</v>
      </c>
      <c r="B90" s="8">
        <v>100</v>
      </c>
      <c r="C90" s="8">
        <v>100</v>
      </c>
      <c r="D90" s="8"/>
      <c r="E90" s="8"/>
      <c r="F90" s="8"/>
      <c r="G90" s="9" t="s">
        <v>209</v>
      </c>
      <c r="H90" s="50"/>
    </row>
    <row r="91" spans="1:8" ht="15.75" customHeight="1" x14ac:dyDescent="0.25">
      <c r="A91" s="7" t="s">
        <v>210</v>
      </c>
      <c r="B91" s="8">
        <v>0</v>
      </c>
      <c r="C91" s="8">
        <v>0</v>
      </c>
      <c r="D91" s="8"/>
      <c r="E91" s="8"/>
      <c r="F91" s="8"/>
      <c r="G91" s="9" t="s">
        <v>211</v>
      </c>
      <c r="H91" s="50"/>
    </row>
    <row r="92" spans="1:8" ht="15.75" customHeight="1" x14ac:dyDescent="0.25">
      <c r="A92" s="7" t="s">
        <v>47</v>
      </c>
      <c r="B92" s="8">
        <v>3.1779999999999999</v>
      </c>
      <c r="C92" s="8">
        <v>3.1779999999999999</v>
      </c>
      <c r="D92" s="8"/>
      <c r="E92" s="8"/>
      <c r="F92" s="8"/>
      <c r="G92" s="9" t="s">
        <v>212</v>
      </c>
      <c r="H92" s="50"/>
    </row>
    <row r="93" spans="1:8" ht="15.75" customHeight="1" x14ac:dyDescent="0.25">
      <c r="A93" s="7" t="s">
        <v>58</v>
      </c>
      <c r="B93" s="8">
        <v>61</v>
      </c>
      <c r="C93" s="8">
        <v>61</v>
      </c>
      <c r="D93" s="8"/>
      <c r="E93" s="8"/>
      <c r="F93" s="8"/>
      <c r="G93" s="9" t="s">
        <v>213</v>
      </c>
      <c r="H93" s="50"/>
    </row>
    <row r="94" spans="1:8" ht="15.75" customHeight="1" x14ac:dyDescent="0.25">
      <c r="A94" s="7" t="s">
        <v>60</v>
      </c>
      <c r="B94" s="8">
        <v>2.13</v>
      </c>
      <c r="C94" s="8">
        <v>2.13</v>
      </c>
      <c r="D94" s="8"/>
      <c r="E94" s="8"/>
      <c r="F94" s="8"/>
      <c r="G94" s="9" t="s">
        <v>214</v>
      </c>
      <c r="H94" s="50"/>
    </row>
    <row r="95" spans="1:8" ht="15.75" customHeight="1" x14ac:dyDescent="0.25">
      <c r="A95" s="7" t="s">
        <v>58</v>
      </c>
      <c r="B95" s="8">
        <v>0</v>
      </c>
      <c r="C95" s="8">
        <v>0</v>
      </c>
      <c r="D95" s="8"/>
      <c r="E95" s="8"/>
      <c r="F95" s="8"/>
      <c r="G95" s="9" t="s">
        <v>215</v>
      </c>
      <c r="H95" s="50"/>
    </row>
    <row r="96" spans="1:8" ht="15.75" customHeight="1" x14ac:dyDescent="0.25">
      <c r="A96" s="7" t="s">
        <v>60</v>
      </c>
      <c r="B96" s="8">
        <v>2</v>
      </c>
      <c r="C96" s="8">
        <v>2</v>
      </c>
      <c r="D96" s="8"/>
      <c r="E96" s="8"/>
      <c r="F96" s="8"/>
      <c r="G96" s="9" t="s">
        <v>216</v>
      </c>
      <c r="H96" s="50"/>
    </row>
    <row r="97" spans="1:8" ht="15.75" customHeight="1" x14ac:dyDescent="0.25">
      <c r="A97" s="7" t="s">
        <v>217</v>
      </c>
      <c r="B97" s="8">
        <v>0</v>
      </c>
      <c r="C97" s="8">
        <v>0</v>
      </c>
      <c r="D97" s="8"/>
      <c r="E97" s="8"/>
      <c r="F97" s="8"/>
      <c r="G97" s="9" t="s">
        <v>218</v>
      </c>
      <c r="H97" s="50"/>
    </row>
    <row r="98" spans="1:8" ht="15.75" customHeight="1" x14ac:dyDescent="0.25">
      <c r="A98" s="38" t="s">
        <v>27</v>
      </c>
      <c r="B98" s="40">
        <v>0</v>
      </c>
      <c r="C98" s="40">
        <v>0</v>
      </c>
      <c r="D98" s="40"/>
      <c r="E98" s="40"/>
      <c r="F98" s="40"/>
      <c r="G98" s="41" t="s">
        <v>219</v>
      </c>
      <c r="H98" s="52"/>
    </row>
    <row r="99" spans="1:8" ht="15.75" customHeight="1" x14ac:dyDescent="0.25">
      <c r="A99" s="21" t="s">
        <v>220</v>
      </c>
      <c r="B99" s="25">
        <v>14.5</v>
      </c>
      <c r="C99" s="29">
        <v>14.5</v>
      </c>
      <c r="D99" s="29"/>
      <c r="E99" s="29"/>
      <c r="F99" s="29"/>
      <c r="G99" s="25" t="s">
        <v>221</v>
      </c>
      <c r="H99" s="53" t="s">
        <v>222</v>
      </c>
    </row>
    <row r="100" spans="1:8" ht="15.75" customHeight="1" x14ac:dyDescent="0.25">
      <c r="A100" s="7" t="s">
        <v>223</v>
      </c>
      <c r="B100" s="9">
        <v>531</v>
      </c>
      <c r="C100" s="8">
        <v>531</v>
      </c>
      <c r="D100" s="8"/>
      <c r="E100" s="8"/>
      <c r="F100" s="8"/>
      <c r="G100" s="9" t="s">
        <v>224</v>
      </c>
      <c r="H100" s="50"/>
    </row>
    <row r="101" spans="1:8" ht="15.75" customHeight="1" x14ac:dyDescent="0.25">
      <c r="A101" s="7" t="s">
        <v>225</v>
      </c>
      <c r="B101" s="9">
        <v>22</v>
      </c>
      <c r="C101" s="8">
        <v>22</v>
      </c>
      <c r="D101" s="8"/>
      <c r="E101" s="8"/>
      <c r="F101" s="8"/>
      <c r="G101" s="9" t="s">
        <v>226</v>
      </c>
      <c r="H101" s="50"/>
    </row>
    <row r="102" spans="1:8" ht="15.75" customHeight="1" x14ac:dyDescent="0.25">
      <c r="A102" s="7" t="s">
        <v>227</v>
      </c>
      <c r="B102" s="9">
        <v>145</v>
      </c>
      <c r="C102" s="8">
        <v>145</v>
      </c>
      <c r="D102" s="8"/>
      <c r="E102" s="8"/>
      <c r="F102" s="8"/>
      <c r="G102" s="9" t="s">
        <v>228</v>
      </c>
      <c r="H102" s="50"/>
    </row>
    <row r="103" spans="1:8" ht="15.75" customHeight="1" x14ac:dyDescent="0.25">
      <c r="A103" s="7" t="s">
        <v>225</v>
      </c>
      <c r="B103" s="9"/>
      <c r="C103" s="8"/>
      <c r="D103" s="8"/>
      <c r="E103" s="8"/>
      <c r="F103" s="8"/>
      <c r="G103" s="9" t="s">
        <v>229</v>
      </c>
      <c r="H103" s="50"/>
    </row>
    <row r="104" spans="1:8" ht="15.75" customHeight="1" x14ac:dyDescent="0.25">
      <c r="A104" s="7" t="s">
        <v>227</v>
      </c>
      <c r="B104" s="9">
        <v>145</v>
      </c>
      <c r="C104" s="8">
        <v>145</v>
      </c>
      <c r="D104" s="8"/>
      <c r="E104" s="8"/>
      <c r="F104" s="8"/>
      <c r="G104" s="9" t="s">
        <v>230</v>
      </c>
      <c r="H104" s="50"/>
    </row>
    <row r="105" spans="1:8" ht="15.75" customHeight="1" x14ac:dyDescent="0.25">
      <c r="A105" s="7" t="s">
        <v>225</v>
      </c>
      <c r="B105" s="9"/>
      <c r="C105" s="8"/>
      <c r="D105" s="8"/>
      <c r="E105" s="8"/>
      <c r="F105" s="8"/>
      <c r="G105" s="9" t="s">
        <v>231</v>
      </c>
      <c r="H105" s="50"/>
    </row>
    <row r="106" spans="1:8" ht="15.75" customHeight="1" x14ac:dyDescent="0.25">
      <c r="A106" s="7" t="s">
        <v>227</v>
      </c>
      <c r="B106" s="9">
        <v>145</v>
      </c>
      <c r="C106" s="8">
        <v>145</v>
      </c>
      <c r="D106" s="8"/>
      <c r="E106" s="8"/>
      <c r="F106" s="8"/>
      <c r="G106" s="9" t="s">
        <v>232</v>
      </c>
      <c r="H106" s="50"/>
    </row>
    <row r="107" spans="1:8" ht="15.75" customHeight="1" x14ac:dyDescent="0.25">
      <c r="A107" s="7" t="s">
        <v>233</v>
      </c>
      <c r="B107" s="9"/>
      <c r="C107" s="8"/>
      <c r="D107" s="8"/>
      <c r="E107" s="8"/>
      <c r="F107" s="8"/>
      <c r="G107" s="9" t="s">
        <v>234</v>
      </c>
      <c r="H107" s="50"/>
    </row>
    <row r="108" spans="1:8" ht="15.75" customHeight="1" x14ac:dyDescent="0.25">
      <c r="A108" s="7" t="s">
        <v>235</v>
      </c>
      <c r="B108" s="9">
        <v>21.7</v>
      </c>
      <c r="C108" s="8">
        <v>21.7</v>
      </c>
      <c r="D108" s="8"/>
      <c r="E108" s="8"/>
      <c r="F108" s="8"/>
      <c r="G108" s="9" t="s">
        <v>236</v>
      </c>
      <c r="H108" s="50"/>
    </row>
    <row r="109" spans="1:8" ht="15.75" customHeight="1" x14ac:dyDescent="0.25">
      <c r="A109" s="7" t="s">
        <v>237</v>
      </c>
      <c r="B109" s="9">
        <v>425</v>
      </c>
      <c r="C109" s="8">
        <v>425</v>
      </c>
      <c r="D109" s="8"/>
      <c r="E109" s="8"/>
      <c r="F109" s="8"/>
      <c r="G109" s="9" t="s">
        <v>238</v>
      </c>
      <c r="H109" s="50"/>
    </row>
    <row r="110" spans="1:8" ht="15.75" customHeight="1" x14ac:dyDescent="0.25">
      <c r="A110" s="7" t="s">
        <v>239</v>
      </c>
      <c r="B110" s="9">
        <v>170</v>
      </c>
      <c r="C110" s="8">
        <v>170</v>
      </c>
      <c r="D110" s="8"/>
      <c r="E110" s="8"/>
      <c r="F110" s="8"/>
      <c r="G110" s="9" t="s">
        <v>240</v>
      </c>
      <c r="H110" s="50"/>
    </row>
    <row r="111" spans="1:8" ht="15.75" customHeight="1" x14ac:dyDescent="0.25">
      <c r="A111" s="7" t="s">
        <v>241</v>
      </c>
      <c r="B111" s="9">
        <v>16</v>
      </c>
      <c r="C111" s="8">
        <v>16</v>
      </c>
      <c r="D111" s="8"/>
      <c r="E111" s="8"/>
      <c r="F111" s="8"/>
      <c r="G111" s="9" t="s">
        <v>242</v>
      </c>
      <c r="H111" s="50"/>
    </row>
    <row r="112" spans="1:8" ht="15.75" customHeight="1" x14ac:dyDescent="0.25">
      <c r="A112" s="7" t="s">
        <v>243</v>
      </c>
      <c r="B112" s="9">
        <v>2.97</v>
      </c>
      <c r="C112" s="8">
        <v>2.97</v>
      </c>
      <c r="D112" s="8"/>
      <c r="E112" s="8"/>
      <c r="F112" s="8"/>
      <c r="G112" s="9" t="s">
        <v>244</v>
      </c>
      <c r="H112" s="50"/>
    </row>
    <row r="113" spans="1:8" ht="15.75" customHeight="1" x14ac:dyDescent="0.25">
      <c r="A113" s="7" t="s">
        <v>245</v>
      </c>
      <c r="B113" s="9">
        <v>0.13200000000000001</v>
      </c>
      <c r="C113" s="8">
        <v>0.13200000000000001</v>
      </c>
      <c r="D113" s="8"/>
      <c r="E113" s="8"/>
      <c r="F113" s="8"/>
      <c r="G113" s="9" t="s">
        <v>246</v>
      </c>
      <c r="H113" s="50"/>
    </row>
    <row r="114" spans="1:8" ht="15.75" customHeight="1" x14ac:dyDescent="0.25">
      <c r="A114" s="17" t="s">
        <v>247</v>
      </c>
      <c r="B114" s="20">
        <v>3</v>
      </c>
      <c r="C114" s="14">
        <v>3</v>
      </c>
      <c r="D114" s="14"/>
      <c r="E114" s="14"/>
      <c r="F114" s="14"/>
      <c r="G114" s="20" t="s">
        <v>248</v>
      </c>
      <c r="H114" s="51"/>
    </row>
    <row r="115" spans="1:8" ht="15.75" customHeight="1" x14ac:dyDescent="0.25">
      <c r="D115" s="42"/>
      <c r="E115" s="42"/>
    </row>
    <row r="116" spans="1:8" ht="15.75" customHeight="1" x14ac:dyDescent="0.25">
      <c r="D116" s="42"/>
      <c r="E116" s="42"/>
    </row>
    <row r="117" spans="1:8" ht="15.75" customHeight="1" x14ac:dyDescent="0.25">
      <c r="D117" s="42"/>
      <c r="E117" s="42"/>
    </row>
    <row r="118" spans="1:8" ht="15.75" customHeight="1" x14ac:dyDescent="0.25">
      <c r="D118" s="42"/>
      <c r="E118" s="42"/>
    </row>
    <row r="119" spans="1:8" ht="15.75" customHeight="1" x14ac:dyDescent="0.25">
      <c r="D119" s="42"/>
      <c r="E119" s="42"/>
    </row>
    <row r="120" spans="1:8" ht="15.75" customHeight="1" x14ac:dyDescent="0.25">
      <c r="D120" s="42"/>
      <c r="E120" s="42"/>
    </row>
    <row r="121" spans="1:8" ht="15.75" customHeight="1" x14ac:dyDescent="0.25">
      <c r="D121" s="42"/>
      <c r="E121" s="42"/>
    </row>
    <row r="122" spans="1:8" ht="15.75" customHeight="1" x14ac:dyDescent="0.25">
      <c r="D122" s="42"/>
      <c r="E122" s="42"/>
    </row>
    <row r="123" spans="1:8" ht="15.75" customHeight="1" x14ac:dyDescent="0.25">
      <c r="D123" s="42"/>
      <c r="E123" s="42"/>
    </row>
    <row r="124" spans="1:8" ht="15.75" customHeight="1" x14ac:dyDescent="0.25">
      <c r="D124" s="42"/>
      <c r="E124" s="42"/>
    </row>
    <row r="125" spans="1:8" ht="15.75" customHeight="1" x14ac:dyDescent="0.25">
      <c r="D125" s="42"/>
      <c r="E125" s="42"/>
    </row>
    <row r="126" spans="1:8" ht="15.75" customHeight="1" x14ac:dyDescent="0.25">
      <c r="D126" s="42"/>
      <c r="E126" s="42"/>
    </row>
    <row r="127" spans="1:8" ht="15.75" customHeight="1" x14ac:dyDescent="0.25">
      <c r="D127" s="42"/>
      <c r="E127" s="42"/>
    </row>
    <row r="128" spans="1:8" ht="15.75" customHeight="1" x14ac:dyDescent="0.25">
      <c r="D128" s="42"/>
      <c r="E128" s="42"/>
    </row>
    <row r="129" spans="4:5" ht="15.75" customHeight="1" x14ac:dyDescent="0.25">
      <c r="D129" s="42"/>
      <c r="E129" s="42"/>
    </row>
    <row r="130" spans="4:5" ht="15.75" customHeight="1" x14ac:dyDescent="0.25">
      <c r="D130" s="42"/>
      <c r="E130" s="42"/>
    </row>
    <row r="131" spans="4:5" ht="15.75" customHeight="1" x14ac:dyDescent="0.25">
      <c r="D131" s="42"/>
      <c r="E131" s="42"/>
    </row>
    <row r="132" spans="4:5" ht="15.75" customHeight="1" x14ac:dyDescent="0.25">
      <c r="D132" s="42"/>
      <c r="E132" s="42"/>
    </row>
    <row r="133" spans="4:5" ht="15.75" customHeight="1" x14ac:dyDescent="0.25">
      <c r="D133" s="42"/>
      <c r="E133" s="42"/>
    </row>
    <row r="134" spans="4:5" ht="15.75" customHeight="1" x14ac:dyDescent="0.25">
      <c r="D134" s="42"/>
      <c r="E134" s="42"/>
    </row>
    <row r="135" spans="4:5" ht="15.75" customHeight="1" x14ac:dyDescent="0.25">
      <c r="D135" s="42"/>
      <c r="E135" s="42"/>
    </row>
    <row r="136" spans="4:5" ht="15.75" customHeight="1" x14ac:dyDescent="0.25">
      <c r="D136" s="42"/>
      <c r="E136" s="42"/>
    </row>
    <row r="137" spans="4:5" ht="15.75" customHeight="1" x14ac:dyDescent="0.25">
      <c r="D137" s="42"/>
      <c r="E137" s="42"/>
    </row>
    <row r="138" spans="4:5" ht="15.75" customHeight="1" x14ac:dyDescent="0.25">
      <c r="D138" s="42"/>
      <c r="E138" s="42"/>
    </row>
    <row r="139" spans="4:5" ht="15.75" customHeight="1" x14ac:dyDescent="0.25">
      <c r="D139" s="42"/>
      <c r="E139" s="42"/>
    </row>
    <row r="140" spans="4:5" ht="15.75" customHeight="1" x14ac:dyDescent="0.25">
      <c r="D140" s="42"/>
      <c r="E140" s="42"/>
    </row>
    <row r="141" spans="4:5" ht="15.75" customHeight="1" x14ac:dyDescent="0.25">
      <c r="D141" s="42"/>
      <c r="E141" s="42"/>
    </row>
    <row r="142" spans="4:5" ht="15.75" customHeight="1" x14ac:dyDescent="0.25">
      <c r="D142" s="42"/>
      <c r="E142" s="42"/>
    </row>
    <row r="143" spans="4:5" ht="15.75" customHeight="1" x14ac:dyDescent="0.25">
      <c r="D143" s="42"/>
      <c r="E143" s="42"/>
    </row>
    <row r="144" spans="4:5" ht="15.75" customHeight="1" x14ac:dyDescent="0.25">
      <c r="D144" s="42"/>
      <c r="E144" s="42"/>
    </row>
    <row r="145" spans="4:5" ht="15.75" customHeight="1" x14ac:dyDescent="0.25">
      <c r="D145" s="42"/>
      <c r="E145" s="42"/>
    </row>
    <row r="146" spans="4:5" ht="15.75" customHeight="1" x14ac:dyDescent="0.25">
      <c r="D146" s="42"/>
      <c r="E146" s="42"/>
    </row>
    <row r="147" spans="4:5" ht="15.75" customHeight="1" x14ac:dyDescent="0.25">
      <c r="D147" s="42"/>
      <c r="E147" s="42"/>
    </row>
    <row r="148" spans="4:5" ht="15.75" customHeight="1" x14ac:dyDescent="0.25">
      <c r="D148" s="42"/>
      <c r="E148" s="42"/>
    </row>
    <row r="149" spans="4:5" ht="15.75" customHeight="1" x14ac:dyDescent="0.25">
      <c r="D149" s="42"/>
      <c r="E149" s="42"/>
    </row>
    <row r="150" spans="4:5" ht="15.75" customHeight="1" x14ac:dyDescent="0.25">
      <c r="D150" s="42"/>
      <c r="E150" s="42"/>
    </row>
    <row r="151" spans="4:5" ht="15.75" customHeight="1" x14ac:dyDescent="0.25">
      <c r="D151" s="42"/>
      <c r="E151" s="42"/>
    </row>
    <row r="152" spans="4:5" ht="15.75" customHeight="1" x14ac:dyDescent="0.25">
      <c r="D152" s="42"/>
      <c r="E152" s="42"/>
    </row>
    <row r="153" spans="4:5" ht="15.75" customHeight="1" x14ac:dyDescent="0.25">
      <c r="D153" s="42"/>
      <c r="E153" s="42"/>
    </row>
    <row r="154" spans="4:5" ht="15.75" customHeight="1" x14ac:dyDescent="0.25">
      <c r="D154" s="42"/>
      <c r="E154" s="42"/>
    </row>
    <row r="155" spans="4:5" ht="15.75" customHeight="1" x14ac:dyDescent="0.25">
      <c r="D155" s="42"/>
      <c r="E155" s="42"/>
    </row>
    <row r="156" spans="4:5" ht="15.75" customHeight="1" x14ac:dyDescent="0.25">
      <c r="D156" s="42"/>
      <c r="E156" s="42"/>
    </row>
    <row r="157" spans="4:5" ht="15.75" customHeight="1" x14ac:dyDescent="0.25">
      <c r="D157" s="42"/>
      <c r="E157" s="42"/>
    </row>
    <row r="158" spans="4:5" ht="15.75" customHeight="1" x14ac:dyDescent="0.25">
      <c r="D158" s="42"/>
      <c r="E158" s="42"/>
    </row>
    <row r="159" spans="4:5" ht="15.75" customHeight="1" x14ac:dyDescent="0.25">
      <c r="D159" s="42"/>
      <c r="E159" s="42"/>
    </row>
    <row r="160" spans="4:5" ht="15.75" customHeight="1" x14ac:dyDescent="0.25">
      <c r="D160" s="42"/>
      <c r="E160" s="42"/>
    </row>
    <row r="161" spans="4:5" ht="15.75" customHeight="1" x14ac:dyDescent="0.25">
      <c r="D161" s="42"/>
      <c r="E161" s="42"/>
    </row>
    <row r="162" spans="4:5" ht="15.75" customHeight="1" x14ac:dyDescent="0.25">
      <c r="D162" s="42"/>
      <c r="E162" s="42"/>
    </row>
    <row r="163" spans="4:5" ht="15.75" customHeight="1" x14ac:dyDescent="0.25">
      <c r="D163" s="42"/>
      <c r="E163" s="42"/>
    </row>
    <row r="164" spans="4:5" ht="15.75" customHeight="1" x14ac:dyDescent="0.25">
      <c r="D164" s="42"/>
      <c r="E164" s="42"/>
    </row>
    <row r="165" spans="4:5" ht="15.75" customHeight="1" x14ac:dyDescent="0.25">
      <c r="D165" s="42"/>
      <c r="E165" s="42"/>
    </row>
    <row r="166" spans="4:5" ht="15.75" customHeight="1" x14ac:dyDescent="0.25">
      <c r="D166" s="42"/>
      <c r="E166" s="42"/>
    </row>
    <row r="167" spans="4:5" ht="15.75" customHeight="1" x14ac:dyDescent="0.25">
      <c r="D167" s="42"/>
      <c r="E167" s="42"/>
    </row>
    <row r="168" spans="4:5" ht="15.75" customHeight="1" x14ac:dyDescent="0.25">
      <c r="D168" s="42"/>
      <c r="E168" s="42"/>
    </row>
    <row r="169" spans="4:5" ht="15.75" customHeight="1" x14ac:dyDescent="0.25">
      <c r="D169" s="42"/>
      <c r="E169" s="42"/>
    </row>
    <row r="170" spans="4:5" ht="15.75" customHeight="1" x14ac:dyDescent="0.25">
      <c r="D170" s="42"/>
      <c r="E170" s="42"/>
    </row>
    <row r="171" spans="4:5" ht="15.75" customHeight="1" x14ac:dyDescent="0.25">
      <c r="D171" s="42"/>
      <c r="E171" s="42"/>
    </row>
    <row r="172" spans="4:5" ht="15.75" customHeight="1" x14ac:dyDescent="0.25">
      <c r="D172" s="42"/>
      <c r="E172" s="42"/>
    </row>
    <row r="173" spans="4:5" ht="15.75" customHeight="1" x14ac:dyDescent="0.25">
      <c r="D173" s="42"/>
      <c r="E173" s="42"/>
    </row>
    <row r="174" spans="4:5" ht="15.75" customHeight="1" x14ac:dyDescent="0.25">
      <c r="D174" s="42"/>
      <c r="E174" s="42"/>
    </row>
    <row r="175" spans="4:5" ht="15.75" customHeight="1" x14ac:dyDescent="0.25">
      <c r="D175" s="42"/>
      <c r="E175" s="42"/>
    </row>
    <row r="176" spans="4:5" ht="15.75" customHeight="1" x14ac:dyDescent="0.25">
      <c r="D176" s="42"/>
      <c r="E176" s="42"/>
    </row>
    <row r="177" spans="4:5" ht="15.75" customHeight="1" x14ac:dyDescent="0.25">
      <c r="D177" s="42"/>
      <c r="E177" s="42"/>
    </row>
    <row r="178" spans="4:5" ht="15.75" customHeight="1" x14ac:dyDescent="0.25">
      <c r="D178" s="42"/>
      <c r="E178" s="42"/>
    </row>
    <row r="179" spans="4:5" ht="15.75" customHeight="1" x14ac:dyDescent="0.25">
      <c r="D179" s="42"/>
      <c r="E179" s="42"/>
    </row>
    <row r="180" spans="4:5" ht="15.75" customHeight="1" x14ac:dyDescent="0.25">
      <c r="D180" s="42"/>
      <c r="E180" s="42"/>
    </row>
    <row r="181" spans="4:5" ht="15.75" customHeight="1" x14ac:dyDescent="0.25">
      <c r="D181" s="42"/>
      <c r="E181" s="42"/>
    </row>
    <row r="182" spans="4:5" ht="15.75" customHeight="1" x14ac:dyDescent="0.25">
      <c r="D182" s="42"/>
      <c r="E182" s="42"/>
    </row>
    <row r="183" spans="4:5" ht="15.75" customHeight="1" x14ac:dyDescent="0.25">
      <c r="D183" s="42"/>
      <c r="E183" s="42"/>
    </row>
    <row r="184" spans="4:5" ht="15.75" customHeight="1" x14ac:dyDescent="0.25">
      <c r="D184" s="42"/>
      <c r="E184" s="42"/>
    </row>
    <row r="185" spans="4:5" ht="15.75" customHeight="1" x14ac:dyDescent="0.25">
      <c r="D185" s="42"/>
      <c r="E185" s="42"/>
    </row>
    <row r="186" spans="4:5" ht="15.75" customHeight="1" x14ac:dyDescent="0.25">
      <c r="D186" s="42"/>
      <c r="E186" s="42"/>
    </row>
    <row r="187" spans="4:5" ht="15.75" customHeight="1" x14ac:dyDescent="0.25">
      <c r="D187" s="42"/>
      <c r="E187" s="42"/>
    </row>
    <row r="188" spans="4:5" ht="15.75" customHeight="1" x14ac:dyDescent="0.25">
      <c r="D188" s="42"/>
      <c r="E188" s="42"/>
    </row>
    <row r="189" spans="4:5" ht="15.75" customHeight="1" x14ac:dyDescent="0.25">
      <c r="D189" s="42"/>
      <c r="E189" s="42"/>
    </row>
    <row r="190" spans="4:5" ht="15.75" customHeight="1" x14ac:dyDescent="0.25">
      <c r="D190" s="42"/>
      <c r="E190" s="42"/>
    </row>
    <row r="191" spans="4:5" ht="15.75" customHeight="1" x14ac:dyDescent="0.25">
      <c r="D191" s="42"/>
      <c r="E191" s="42"/>
    </row>
    <row r="192" spans="4:5" ht="15.75" customHeight="1" x14ac:dyDescent="0.25">
      <c r="D192" s="42"/>
      <c r="E192" s="42"/>
    </row>
    <row r="193" spans="4:5" ht="15.75" customHeight="1" x14ac:dyDescent="0.25">
      <c r="D193" s="42"/>
      <c r="E193" s="42"/>
    </row>
    <row r="194" spans="4:5" ht="15.75" customHeight="1" x14ac:dyDescent="0.25">
      <c r="D194" s="42"/>
      <c r="E194" s="42"/>
    </row>
    <row r="195" spans="4:5" ht="15.75" customHeight="1" x14ac:dyDescent="0.25">
      <c r="D195" s="42"/>
      <c r="E195" s="42"/>
    </row>
    <row r="196" spans="4:5" ht="15.75" customHeight="1" x14ac:dyDescent="0.25">
      <c r="D196" s="42"/>
      <c r="E196" s="42"/>
    </row>
    <row r="197" spans="4:5" ht="15.75" customHeight="1" x14ac:dyDescent="0.25">
      <c r="D197" s="42"/>
      <c r="E197" s="42"/>
    </row>
    <row r="198" spans="4:5" ht="15.75" customHeight="1" x14ac:dyDescent="0.25">
      <c r="D198" s="42"/>
      <c r="E198" s="42"/>
    </row>
    <row r="199" spans="4:5" ht="15.75" customHeight="1" x14ac:dyDescent="0.25">
      <c r="D199" s="42"/>
      <c r="E199" s="42"/>
    </row>
    <row r="200" spans="4:5" ht="15.75" customHeight="1" x14ac:dyDescent="0.25">
      <c r="D200" s="42"/>
      <c r="E200" s="42"/>
    </row>
    <row r="201" spans="4:5" ht="15.75" customHeight="1" x14ac:dyDescent="0.25">
      <c r="D201" s="42"/>
      <c r="E201" s="42"/>
    </row>
    <row r="202" spans="4:5" ht="15.75" customHeight="1" x14ac:dyDescent="0.25">
      <c r="D202" s="42"/>
      <c r="E202" s="42"/>
    </row>
    <row r="203" spans="4:5" ht="15.75" customHeight="1" x14ac:dyDescent="0.25">
      <c r="D203" s="42"/>
      <c r="E203" s="42"/>
    </row>
    <row r="204" spans="4:5" ht="15.75" customHeight="1" x14ac:dyDescent="0.25">
      <c r="D204" s="42"/>
      <c r="E204" s="42"/>
    </row>
    <row r="205" spans="4:5" ht="15.75" customHeight="1" x14ac:dyDescent="0.25">
      <c r="D205" s="42"/>
      <c r="E205" s="42"/>
    </row>
    <row r="206" spans="4:5" ht="15.75" customHeight="1" x14ac:dyDescent="0.25">
      <c r="D206" s="42"/>
      <c r="E206" s="42"/>
    </row>
    <row r="207" spans="4:5" ht="15.75" customHeight="1" x14ac:dyDescent="0.25">
      <c r="D207" s="42"/>
      <c r="E207" s="42"/>
    </row>
    <row r="208" spans="4:5" ht="15.75" customHeight="1" x14ac:dyDescent="0.25">
      <c r="D208" s="42"/>
      <c r="E208" s="42"/>
    </row>
    <row r="209" spans="4:5" ht="15.75" customHeight="1" x14ac:dyDescent="0.25">
      <c r="D209" s="42"/>
      <c r="E209" s="42"/>
    </row>
    <row r="210" spans="4:5" ht="15.75" customHeight="1" x14ac:dyDescent="0.25">
      <c r="D210" s="42"/>
      <c r="E210" s="42"/>
    </row>
    <row r="211" spans="4:5" ht="15.75" customHeight="1" x14ac:dyDescent="0.25">
      <c r="D211" s="42"/>
      <c r="E211" s="42"/>
    </row>
    <row r="212" spans="4:5" ht="15.75" customHeight="1" x14ac:dyDescent="0.25">
      <c r="D212" s="42"/>
      <c r="E212" s="42"/>
    </row>
    <row r="213" spans="4:5" ht="15.75" customHeight="1" x14ac:dyDescent="0.25">
      <c r="D213" s="42"/>
      <c r="E213" s="42"/>
    </row>
    <row r="214" spans="4:5" ht="15.75" customHeight="1" x14ac:dyDescent="0.25">
      <c r="D214" s="42"/>
      <c r="E214" s="42"/>
    </row>
    <row r="215" spans="4:5" ht="15.75" customHeight="1" x14ac:dyDescent="0.25">
      <c r="D215" s="42"/>
      <c r="E215" s="42"/>
    </row>
    <row r="216" spans="4:5" ht="15.75" customHeight="1" x14ac:dyDescent="0.25">
      <c r="D216" s="42"/>
      <c r="E216" s="42"/>
    </row>
    <row r="217" spans="4:5" ht="15.75" customHeight="1" x14ac:dyDescent="0.25">
      <c r="D217" s="42"/>
      <c r="E217" s="42"/>
    </row>
    <row r="218" spans="4:5" ht="15.75" customHeight="1" x14ac:dyDescent="0.25">
      <c r="D218" s="42"/>
      <c r="E218" s="42"/>
    </row>
    <row r="219" spans="4:5" ht="15.75" customHeight="1" x14ac:dyDescent="0.25">
      <c r="D219" s="42"/>
      <c r="E219" s="42"/>
    </row>
    <row r="220" spans="4:5" ht="15.75" customHeight="1" x14ac:dyDescent="0.25">
      <c r="D220" s="42"/>
      <c r="E220" s="42"/>
    </row>
    <row r="221" spans="4:5" ht="15.75" customHeight="1" x14ac:dyDescent="0.25">
      <c r="D221" s="42"/>
      <c r="E221" s="42"/>
    </row>
    <row r="222" spans="4:5" ht="15.75" customHeight="1" x14ac:dyDescent="0.25">
      <c r="D222" s="42"/>
      <c r="E222" s="42"/>
    </row>
    <row r="223" spans="4:5" ht="15.75" customHeight="1" x14ac:dyDescent="0.25">
      <c r="D223" s="42"/>
      <c r="E223" s="42"/>
    </row>
    <row r="224" spans="4:5" ht="15.75" customHeight="1" x14ac:dyDescent="0.25">
      <c r="D224" s="42"/>
      <c r="E224" s="42"/>
    </row>
    <row r="225" spans="4:5" ht="15.75" customHeight="1" x14ac:dyDescent="0.25">
      <c r="D225" s="42"/>
      <c r="E225" s="42"/>
    </row>
    <row r="226" spans="4:5" ht="15.75" customHeight="1" x14ac:dyDescent="0.25">
      <c r="D226" s="42"/>
      <c r="E226" s="42"/>
    </row>
    <row r="227" spans="4:5" ht="15.75" customHeight="1" x14ac:dyDescent="0.25">
      <c r="D227" s="42"/>
      <c r="E227" s="42"/>
    </row>
    <row r="228" spans="4:5" ht="15.75" customHeight="1" x14ac:dyDescent="0.25">
      <c r="D228" s="42"/>
      <c r="E228" s="42"/>
    </row>
    <row r="229" spans="4:5" ht="15.75" customHeight="1" x14ac:dyDescent="0.25">
      <c r="D229" s="42"/>
      <c r="E229" s="42"/>
    </row>
    <row r="230" spans="4:5" ht="15.75" customHeight="1" x14ac:dyDescent="0.25">
      <c r="D230" s="42"/>
      <c r="E230" s="42"/>
    </row>
    <row r="231" spans="4:5" ht="15.75" customHeight="1" x14ac:dyDescent="0.25">
      <c r="D231" s="42"/>
      <c r="E231" s="42"/>
    </row>
    <row r="232" spans="4:5" ht="15.75" customHeight="1" x14ac:dyDescent="0.25">
      <c r="D232" s="42"/>
      <c r="E232" s="42"/>
    </row>
    <row r="233" spans="4:5" ht="15.75" customHeight="1" x14ac:dyDescent="0.25">
      <c r="D233" s="42"/>
      <c r="E233" s="42"/>
    </row>
    <row r="234" spans="4:5" ht="15.75" customHeight="1" x14ac:dyDescent="0.25">
      <c r="D234" s="42"/>
      <c r="E234" s="42"/>
    </row>
    <row r="235" spans="4:5" ht="15.75" customHeight="1" x14ac:dyDescent="0.25">
      <c r="D235" s="42"/>
      <c r="E235" s="42"/>
    </row>
    <row r="236" spans="4:5" ht="15.75" customHeight="1" x14ac:dyDescent="0.25">
      <c r="D236" s="42"/>
      <c r="E236" s="42"/>
    </row>
    <row r="237" spans="4:5" ht="15.75" customHeight="1" x14ac:dyDescent="0.25">
      <c r="D237" s="42"/>
      <c r="E237" s="42"/>
    </row>
    <row r="238" spans="4:5" ht="15.75" customHeight="1" x14ac:dyDescent="0.25">
      <c r="D238" s="42"/>
      <c r="E238" s="42"/>
    </row>
    <row r="239" spans="4:5" ht="15.75" customHeight="1" x14ac:dyDescent="0.25">
      <c r="D239" s="42"/>
      <c r="E239" s="42"/>
    </row>
    <row r="240" spans="4:5" ht="15.75" customHeight="1" x14ac:dyDescent="0.25">
      <c r="D240" s="42"/>
      <c r="E240" s="42"/>
    </row>
    <row r="241" spans="4:5" ht="15.75" customHeight="1" x14ac:dyDescent="0.25">
      <c r="D241" s="42"/>
      <c r="E241" s="42"/>
    </row>
    <row r="242" spans="4:5" ht="15.75" customHeight="1" x14ac:dyDescent="0.25">
      <c r="D242" s="42"/>
      <c r="E242" s="42"/>
    </row>
    <row r="243" spans="4:5" ht="15.75" customHeight="1" x14ac:dyDescent="0.25">
      <c r="D243" s="42"/>
      <c r="E243" s="42"/>
    </row>
    <row r="244" spans="4:5" ht="15.75" customHeight="1" x14ac:dyDescent="0.25">
      <c r="D244" s="42"/>
      <c r="E244" s="42"/>
    </row>
    <row r="245" spans="4:5" ht="15.75" customHeight="1" x14ac:dyDescent="0.25">
      <c r="D245" s="42"/>
      <c r="E245" s="42"/>
    </row>
    <row r="246" spans="4:5" ht="15.75" customHeight="1" x14ac:dyDescent="0.25">
      <c r="D246" s="42"/>
      <c r="E246" s="42"/>
    </row>
    <row r="247" spans="4:5" ht="15.75" customHeight="1" x14ac:dyDescent="0.25">
      <c r="D247" s="42"/>
      <c r="E247" s="42"/>
    </row>
    <row r="248" spans="4:5" ht="15.75" customHeight="1" x14ac:dyDescent="0.25">
      <c r="D248" s="42"/>
      <c r="E248" s="42"/>
    </row>
    <row r="249" spans="4:5" ht="15.75" customHeight="1" x14ac:dyDescent="0.25">
      <c r="D249" s="42"/>
      <c r="E249" s="42"/>
    </row>
    <row r="250" spans="4:5" ht="15.75" customHeight="1" x14ac:dyDescent="0.25">
      <c r="D250" s="42"/>
      <c r="E250" s="42"/>
    </row>
    <row r="251" spans="4:5" ht="15.75" customHeight="1" x14ac:dyDescent="0.25">
      <c r="D251" s="42"/>
      <c r="E251" s="42"/>
    </row>
    <row r="252" spans="4:5" ht="15.75" customHeight="1" x14ac:dyDescent="0.25">
      <c r="D252" s="42"/>
      <c r="E252" s="42"/>
    </row>
    <row r="253" spans="4:5" ht="15.75" customHeight="1" x14ac:dyDescent="0.25">
      <c r="D253" s="42"/>
      <c r="E253" s="42"/>
    </row>
    <row r="254" spans="4:5" ht="15.75" customHeight="1" x14ac:dyDescent="0.25">
      <c r="D254" s="42"/>
      <c r="E254" s="42"/>
    </row>
    <row r="255" spans="4:5" ht="15.75" customHeight="1" x14ac:dyDescent="0.25">
      <c r="D255" s="42"/>
      <c r="E255" s="42"/>
    </row>
    <row r="256" spans="4:5" ht="15.75" customHeight="1" x14ac:dyDescent="0.25">
      <c r="D256" s="42"/>
      <c r="E256" s="42"/>
    </row>
    <row r="257" spans="4:5" ht="15.75" customHeight="1" x14ac:dyDescent="0.25">
      <c r="D257" s="42"/>
      <c r="E257" s="42"/>
    </row>
    <row r="258" spans="4:5" ht="15.75" customHeight="1" x14ac:dyDescent="0.25">
      <c r="D258" s="42"/>
      <c r="E258" s="42"/>
    </row>
    <row r="259" spans="4:5" ht="15.75" customHeight="1" x14ac:dyDescent="0.25">
      <c r="D259" s="42"/>
      <c r="E259" s="42"/>
    </row>
    <row r="260" spans="4:5" ht="15.75" customHeight="1" x14ac:dyDescent="0.25">
      <c r="D260" s="42"/>
      <c r="E260" s="42"/>
    </row>
    <row r="261" spans="4:5" ht="15.75" customHeight="1" x14ac:dyDescent="0.25">
      <c r="D261" s="42"/>
      <c r="E261" s="42"/>
    </row>
    <row r="262" spans="4:5" ht="15.75" customHeight="1" x14ac:dyDescent="0.25">
      <c r="D262" s="42"/>
      <c r="E262" s="42"/>
    </row>
    <row r="263" spans="4:5" ht="15.75" customHeight="1" x14ac:dyDescent="0.25">
      <c r="D263" s="42"/>
      <c r="E263" s="42"/>
    </row>
    <row r="264" spans="4:5" ht="15.75" customHeight="1" x14ac:dyDescent="0.25">
      <c r="D264" s="42"/>
      <c r="E264" s="42"/>
    </row>
    <row r="265" spans="4:5" ht="15.75" customHeight="1" x14ac:dyDescent="0.25">
      <c r="D265" s="42"/>
      <c r="E265" s="42"/>
    </row>
    <row r="266" spans="4:5" ht="15.75" customHeight="1" x14ac:dyDescent="0.25">
      <c r="D266" s="42"/>
      <c r="E266" s="42"/>
    </row>
    <row r="267" spans="4:5" ht="15.75" customHeight="1" x14ac:dyDescent="0.25">
      <c r="D267" s="42"/>
      <c r="E267" s="42"/>
    </row>
    <row r="268" spans="4:5" ht="15.75" customHeight="1" x14ac:dyDescent="0.25">
      <c r="D268" s="42"/>
      <c r="E268" s="42"/>
    </row>
    <row r="269" spans="4:5" ht="15.75" customHeight="1" x14ac:dyDescent="0.25">
      <c r="D269" s="42"/>
      <c r="E269" s="42"/>
    </row>
    <row r="270" spans="4:5" ht="15.75" customHeight="1" x14ac:dyDescent="0.25">
      <c r="D270" s="42"/>
      <c r="E270" s="42"/>
    </row>
    <row r="271" spans="4:5" ht="15.75" customHeight="1" x14ac:dyDescent="0.25">
      <c r="D271" s="42"/>
      <c r="E271" s="42"/>
    </row>
    <row r="272" spans="4:5" ht="15.75" customHeight="1" x14ac:dyDescent="0.25">
      <c r="D272" s="42"/>
      <c r="E272" s="42"/>
    </row>
    <row r="273" spans="4:5" ht="15.75" customHeight="1" x14ac:dyDescent="0.25">
      <c r="D273" s="42"/>
      <c r="E273" s="42"/>
    </row>
    <row r="274" spans="4:5" ht="15.75" customHeight="1" x14ac:dyDescent="0.25">
      <c r="D274" s="42"/>
      <c r="E274" s="42"/>
    </row>
    <row r="275" spans="4:5" ht="15.75" customHeight="1" x14ac:dyDescent="0.25">
      <c r="D275" s="42"/>
      <c r="E275" s="42"/>
    </row>
    <row r="276" spans="4:5" ht="15.75" customHeight="1" x14ac:dyDescent="0.25">
      <c r="D276" s="42"/>
      <c r="E276" s="42"/>
    </row>
    <row r="277" spans="4:5" ht="15.75" customHeight="1" x14ac:dyDescent="0.25">
      <c r="D277" s="42"/>
      <c r="E277" s="42"/>
    </row>
    <row r="278" spans="4:5" ht="15.75" customHeight="1" x14ac:dyDescent="0.25">
      <c r="D278" s="42"/>
      <c r="E278" s="42"/>
    </row>
    <row r="279" spans="4:5" ht="15.75" customHeight="1" x14ac:dyDescent="0.25">
      <c r="D279" s="42"/>
      <c r="E279" s="42"/>
    </row>
    <row r="280" spans="4:5" ht="15.75" customHeight="1" x14ac:dyDescent="0.25">
      <c r="D280" s="42"/>
      <c r="E280" s="42"/>
    </row>
    <row r="281" spans="4:5" ht="15.75" customHeight="1" x14ac:dyDescent="0.25">
      <c r="D281" s="42"/>
      <c r="E281" s="42"/>
    </row>
    <row r="282" spans="4:5" ht="15.75" customHeight="1" x14ac:dyDescent="0.25">
      <c r="D282" s="42"/>
      <c r="E282" s="42"/>
    </row>
    <row r="283" spans="4:5" ht="15.75" customHeight="1" x14ac:dyDescent="0.25">
      <c r="D283" s="42"/>
      <c r="E283" s="42"/>
    </row>
    <row r="284" spans="4:5" ht="15.75" customHeight="1" x14ac:dyDescent="0.25">
      <c r="D284" s="42"/>
      <c r="E284" s="42"/>
    </row>
    <row r="285" spans="4:5" ht="15.75" customHeight="1" x14ac:dyDescent="0.25">
      <c r="D285" s="42"/>
      <c r="E285" s="42"/>
    </row>
    <row r="286" spans="4:5" ht="15.75" customHeight="1" x14ac:dyDescent="0.25">
      <c r="D286" s="42"/>
      <c r="E286" s="42"/>
    </row>
    <row r="287" spans="4:5" ht="15.75" customHeight="1" x14ac:dyDescent="0.25">
      <c r="D287" s="42"/>
      <c r="E287" s="42"/>
    </row>
    <row r="288" spans="4:5" ht="15.75" customHeight="1" x14ac:dyDescent="0.25">
      <c r="D288" s="42"/>
      <c r="E288" s="42"/>
    </row>
    <row r="289" spans="4:5" ht="15.75" customHeight="1" x14ac:dyDescent="0.25">
      <c r="D289" s="42"/>
      <c r="E289" s="42"/>
    </row>
    <row r="290" spans="4:5" ht="15.75" customHeight="1" x14ac:dyDescent="0.25">
      <c r="D290" s="42"/>
      <c r="E290" s="42"/>
    </row>
    <row r="291" spans="4:5" ht="15.75" customHeight="1" x14ac:dyDescent="0.25">
      <c r="D291" s="42"/>
      <c r="E291" s="42"/>
    </row>
    <row r="292" spans="4:5" ht="15.75" customHeight="1" x14ac:dyDescent="0.25">
      <c r="D292" s="42"/>
      <c r="E292" s="42"/>
    </row>
    <row r="293" spans="4:5" ht="15.75" customHeight="1" x14ac:dyDescent="0.25">
      <c r="D293" s="42"/>
      <c r="E293" s="42"/>
    </row>
    <row r="294" spans="4:5" ht="15.75" customHeight="1" x14ac:dyDescent="0.25">
      <c r="D294" s="42"/>
      <c r="E294" s="42"/>
    </row>
    <row r="295" spans="4:5" ht="15.75" customHeight="1" x14ac:dyDescent="0.25">
      <c r="D295" s="42"/>
      <c r="E295" s="42"/>
    </row>
    <row r="296" spans="4:5" ht="15.75" customHeight="1" x14ac:dyDescent="0.25">
      <c r="D296" s="42"/>
      <c r="E296" s="42"/>
    </row>
    <row r="297" spans="4:5" ht="15.75" customHeight="1" x14ac:dyDescent="0.25">
      <c r="D297" s="42"/>
      <c r="E297" s="42"/>
    </row>
    <row r="298" spans="4:5" ht="15.75" customHeight="1" x14ac:dyDescent="0.25">
      <c r="D298" s="42"/>
      <c r="E298" s="42"/>
    </row>
    <row r="299" spans="4:5" ht="15.75" customHeight="1" x14ac:dyDescent="0.25">
      <c r="D299" s="42"/>
      <c r="E299" s="42"/>
    </row>
    <row r="300" spans="4:5" ht="15.75" customHeight="1" x14ac:dyDescent="0.25">
      <c r="D300" s="42"/>
      <c r="E300" s="42"/>
    </row>
    <row r="301" spans="4:5" ht="15.75" customHeight="1" x14ac:dyDescent="0.25">
      <c r="D301" s="42"/>
      <c r="E301" s="42"/>
    </row>
    <row r="302" spans="4:5" ht="15.75" customHeight="1" x14ac:dyDescent="0.25">
      <c r="D302" s="42"/>
      <c r="E302" s="42"/>
    </row>
    <row r="303" spans="4:5" ht="15.75" customHeight="1" x14ac:dyDescent="0.25">
      <c r="D303" s="42"/>
      <c r="E303" s="42"/>
    </row>
    <row r="304" spans="4:5" ht="15.75" customHeight="1" x14ac:dyDescent="0.25">
      <c r="D304" s="42"/>
      <c r="E304" s="42"/>
    </row>
    <row r="305" spans="4:5" ht="15.75" customHeight="1" x14ac:dyDescent="0.25">
      <c r="D305" s="42"/>
      <c r="E305" s="42"/>
    </row>
    <row r="306" spans="4:5" ht="15.75" customHeight="1" x14ac:dyDescent="0.25">
      <c r="D306" s="42"/>
      <c r="E306" s="42"/>
    </row>
    <row r="307" spans="4:5" ht="15.75" customHeight="1" x14ac:dyDescent="0.25">
      <c r="D307" s="42"/>
      <c r="E307" s="42"/>
    </row>
    <row r="308" spans="4:5" ht="15.75" customHeight="1" x14ac:dyDescent="0.25">
      <c r="D308" s="42"/>
      <c r="E308" s="42"/>
    </row>
    <row r="309" spans="4:5" ht="15.75" customHeight="1" x14ac:dyDescent="0.25">
      <c r="D309" s="42"/>
      <c r="E309" s="42"/>
    </row>
    <row r="310" spans="4:5" ht="15.75" customHeight="1" x14ac:dyDescent="0.25">
      <c r="D310" s="42"/>
      <c r="E310" s="42"/>
    </row>
    <row r="311" spans="4:5" ht="15.75" customHeight="1" x14ac:dyDescent="0.25">
      <c r="D311" s="42"/>
      <c r="E311" s="42"/>
    </row>
    <row r="312" spans="4:5" ht="15.75" customHeight="1" x14ac:dyDescent="0.25">
      <c r="D312" s="42"/>
      <c r="E312" s="42"/>
    </row>
    <row r="313" spans="4:5" ht="15.75" customHeight="1" x14ac:dyDescent="0.25">
      <c r="D313" s="42"/>
      <c r="E313" s="42"/>
    </row>
    <row r="314" spans="4:5" ht="15.75" customHeight="1" x14ac:dyDescent="0.25">
      <c r="D314" s="42"/>
      <c r="E314" s="42"/>
    </row>
    <row r="315" spans="4:5" ht="15.75" customHeight="1" x14ac:dyDescent="0.25">
      <c r="D315" s="42"/>
      <c r="E315" s="42"/>
    </row>
    <row r="316" spans="4:5" ht="15.75" customHeight="1" x14ac:dyDescent="0.25">
      <c r="D316" s="42"/>
      <c r="E316" s="42"/>
    </row>
    <row r="317" spans="4:5" ht="15.75" customHeight="1" x14ac:dyDescent="0.25">
      <c r="D317" s="42"/>
      <c r="E317" s="42"/>
    </row>
    <row r="318" spans="4:5" ht="15.75" customHeight="1" x14ac:dyDescent="0.25">
      <c r="D318" s="42"/>
      <c r="E318" s="42"/>
    </row>
    <row r="319" spans="4:5" ht="15.75" customHeight="1" x14ac:dyDescent="0.25">
      <c r="D319" s="42"/>
      <c r="E319" s="42"/>
    </row>
    <row r="320" spans="4:5" ht="15.75" customHeight="1" x14ac:dyDescent="0.25">
      <c r="D320" s="42"/>
      <c r="E320" s="42"/>
    </row>
    <row r="321" spans="4:5" ht="15.75" customHeight="1" x14ac:dyDescent="0.25">
      <c r="D321" s="42"/>
      <c r="E321" s="42"/>
    </row>
    <row r="322" spans="4:5" ht="15.75" customHeight="1" x14ac:dyDescent="0.25">
      <c r="D322" s="42"/>
      <c r="E322" s="42"/>
    </row>
    <row r="323" spans="4:5" ht="15.75" customHeight="1" x14ac:dyDescent="0.25">
      <c r="D323" s="42"/>
      <c r="E323" s="42"/>
    </row>
    <row r="324" spans="4:5" ht="15.75" customHeight="1" x14ac:dyDescent="0.25">
      <c r="D324" s="42"/>
      <c r="E324" s="42"/>
    </row>
    <row r="325" spans="4:5" ht="15.75" customHeight="1" x14ac:dyDescent="0.25">
      <c r="D325" s="42"/>
      <c r="E325" s="42"/>
    </row>
    <row r="326" spans="4:5" ht="15.75" customHeight="1" x14ac:dyDescent="0.25">
      <c r="D326" s="42"/>
      <c r="E326" s="42"/>
    </row>
    <row r="327" spans="4:5" ht="15.75" customHeight="1" x14ac:dyDescent="0.25">
      <c r="D327" s="42"/>
      <c r="E327" s="42"/>
    </row>
    <row r="328" spans="4:5" ht="15.75" customHeight="1" x14ac:dyDescent="0.25">
      <c r="D328" s="42"/>
      <c r="E328" s="42"/>
    </row>
    <row r="329" spans="4:5" ht="15.75" customHeight="1" x14ac:dyDescent="0.25">
      <c r="D329" s="42"/>
      <c r="E329" s="42"/>
    </row>
    <row r="330" spans="4:5" ht="15.75" customHeight="1" x14ac:dyDescent="0.25">
      <c r="D330" s="42"/>
      <c r="E330" s="42"/>
    </row>
    <row r="331" spans="4:5" ht="15.75" customHeight="1" x14ac:dyDescent="0.25">
      <c r="D331" s="42"/>
      <c r="E331" s="42"/>
    </row>
    <row r="332" spans="4:5" ht="15.75" customHeight="1" x14ac:dyDescent="0.25">
      <c r="D332" s="42"/>
      <c r="E332" s="42"/>
    </row>
    <row r="333" spans="4:5" ht="15.75" customHeight="1" x14ac:dyDescent="0.25">
      <c r="D333" s="42"/>
      <c r="E333" s="42"/>
    </row>
    <row r="334" spans="4:5" ht="15.75" customHeight="1" x14ac:dyDescent="0.25">
      <c r="D334" s="42"/>
      <c r="E334" s="42"/>
    </row>
    <row r="335" spans="4:5" ht="15.75" customHeight="1" x14ac:dyDescent="0.25">
      <c r="D335" s="42"/>
      <c r="E335" s="42"/>
    </row>
    <row r="336" spans="4:5" ht="15.75" customHeight="1" x14ac:dyDescent="0.25">
      <c r="D336" s="42"/>
      <c r="E336" s="42"/>
    </row>
    <row r="337" spans="4:5" ht="15.75" customHeight="1" x14ac:dyDescent="0.25">
      <c r="D337" s="42"/>
      <c r="E337" s="42"/>
    </row>
    <row r="338" spans="4:5" ht="15.75" customHeight="1" x14ac:dyDescent="0.25">
      <c r="D338" s="42"/>
      <c r="E338" s="42"/>
    </row>
    <row r="339" spans="4:5" ht="15.75" customHeight="1" x14ac:dyDescent="0.25">
      <c r="D339" s="42"/>
      <c r="E339" s="42"/>
    </row>
    <row r="340" spans="4:5" ht="15.75" customHeight="1" x14ac:dyDescent="0.25">
      <c r="D340" s="42"/>
      <c r="E340" s="42"/>
    </row>
    <row r="341" spans="4:5" ht="15.75" customHeight="1" x14ac:dyDescent="0.25">
      <c r="D341" s="42"/>
      <c r="E341" s="42"/>
    </row>
    <row r="342" spans="4:5" ht="15.75" customHeight="1" x14ac:dyDescent="0.25">
      <c r="D342" s="42"/>
      <c r="E342" s="42"/>
    </row>
    <row r="343" spans="4:5" ht="15.75" customHeight="1" x14ac:dyDescent="0.25">
      <c r="D343" s="42"/>
      <c r="E343" s="42"/>
    </row>
    <row r="344" spans="4:5" ht="15.75" customHeight="1" x14ac:dyDescent="0.25">
      <c r="D344" s="42"/>
      <c r="E344" s="42"/>
    </row>
    <row r="345" spans="4:5" ht="15.75" customHeight="1" x14ac:dyDescent="0.25">
      <c r="D345" s="42"/>
      <c r="E345" s="42"/>
    </row>
    <row r="346" spans="4:5" ht="15.75" customHeight="1" x14ac:dyDescent="0.25">
      <c r="D346" s="42"/>
      <c r="E346" s="42"/>
    </row>
    <row r="347" spans="4:5" ht="15.75" customHeight="1" x14ac:dyDescent="0.25">
      <c r="D347" s="42"/>
      <c r="E347" s="42"/>
    </row>
    <row r="348" spans="4:5" ht="15.75" customHeight="1" x14ac:dyDescent="0.25">
      <c r="D348" s="42"/>
      <c r="E348" s="42"/>
    </row>
    <row r="349" spans="4:5" ht="15.75" customHeight="1" x14ac:dyDescent="0.25">
      <c r="D349" s="42"/>
      <c r="E349" s="42"/>
    </row>
    <row r="350" spans="4:5" ht="15.75" customHeight="1" x14ac:dyDescent="0.25">
      <c r="D350" s="42"/>
      <c r="E350" s="42"/>
    </row>
    <row r="351" spans="4:5" ht="15.75" customHeight="1" x14ac:dyDescent="0.25">
      <c r="D351" s="42"/>
      <c r="E351" s="42"/>
    </row>
    <row r="352" spans="4:5" ht="15.75" customHeight="1" x14ac:dyDescent="0.25">
      <c r="D352" s="42"/>
      <c r="E352" s="42"/>
    </row>
    <row r="353" spans="4:5" ht="15.75" customHeight="1" x14ac:dyDescent="0.25">
      <c r="D353" s="42"/>
      <c r="E353" s="42"/>
    </row>
    <row r="354" spans="4:5" ht="15.75" customHeight="1" x14ac:dyDescent="0.25">
      <c r="D354" s="42"/>
      <c r="E354" s="42"/>
    </row>
    <row r="355" spans="4:5" ht="15.75" customHeight="1" x14ac:dyDescent="0.25">
      <c r="D355" s="42"/>
      <c r="E355" s="42"/>
    </row>
    <row r="356" spans="4:5" ht="15.75" customHeight="1" x14ac:dyDescent="0.25">
      <c r="D356" s="42"/>
      <c r="E356" s="42"/>
    </row>
    <row r="357" spans="4:5" ht="15.75" customHeight="1" x14ac:dyDescent="0.25">
      <c r="D357" s="42"/>
      <c r="E357" s="42"/>
    </row>
    <row r="358" spans="4:5" ht="15.75" customHeight="1" x14ac:dyDescent="0.25">
      <c r="D358" s="42"/>
      <c r="E358" s="42"/>
    </row>
    <row r="359" spans="4:5" ht="15.75" customHeight="1" x14ac:dyDescent="0.25">
      <c r="D359" s="42"/>
      <c r="E359" s="42"/>
    </row>
    <row r="360" spans="4:5" ht="15.75" customHeight="1" x14ac:dyDescent="0.25">
      <c r="D360" s="42"/>
      <c r="E360" s="42"/>
    </row>
    <row r="361" spans="4:5" ht="15.75" customHeight="1" x14ac:dyDescent="0.25">
      <c r="D361" s="42"/>
      <c r="E361" s="42"/>
    </row>
    <row r="362" spans="4:5" ht="15.75" customHeight="1" x14ac:dyDescent="0.25">
      <c r="D362" s="42"/>
      <c r="E362" s="42"/>
    </row>
    <row r="363" spans="4:5" ht="15.75" customHeight="1" x14ac:dyDescent="0.25">
      <c r="D363" s="42"/>
      <c r="E363" s="42"/>
    </row>
    <row r="364" spans="4:5" ht="15.75" customHeight="1" x14ac:dyDescent="0.25">
      <c r="D364" s="42"/>
      <c r="E364" s="42"/>
    </row>
    <row r="365" spans="4:5" ht="15.75" customHeight="1" x14ac:dyDescent="0.25">
      <c r="D365" s="42"/>
      <c r="E365" s="42"/>
    </row>
    <row r="366" spans="4:5" ht="15.75" customHeight="1" x14ac:dyDescent="0.25">
      <c r="D366" s="42"/>
      <c r="E366" s="42"/>
    </row>
    <row r="367" spans="4:5" ht="15.75" customHeight="1" x14ac:dyDescent="0.25">
      <c r="D367" s="42"/>
      <c r="E367" s="42"/>
    </row>
    <row r="368" spans="4:5" ht="15.75" customHeight="1" x14ac:dyDescent="0.25">
      <c r="D368" s="42"/>
      <c r="E368" s="42"/>
    </row>
    <row r="369" spans="4:5" ht="15.75" customHeight="1" x14ac:dyDescent="0.25">
      <c r="D369" s="42"/>
      <c r="E369" s="42"/>
    </row>
    <row r="370" spans="4:5" ht="15.75" customHeight="1" x14ac:dyDescent="0.25">
      <c r="D370" s="42"/>
      <c r="E370" s="42"/>
    </row>
    <row r="371" spans="4:5" ht="15.75" customHeight="1" x14ac:dyDescent="0.25">
      <c r="D371" s="42"/>
      <c r="E371" s="42"/>
    </row>
    <row r="372" spans="4:5" ht="15.75" customHeight="1" x14ac:dyDescent="0.25">
      <c r="D372" s="42"/>
      <c r="E372" s="42"/>
    </row>
    <row r="373" spans="4:5" ht="15.75" customHeight="1" x14ac:dyDescent="0.25">
      <c r="D373" s="42"/>
      <c r="E373" s="42"/>
    </row>
    <row r="374" spans="4:5" ht="15.75" customHeight="1" x14ac:dyDescent="0.25">
      <c r="D374" s="42"/>
      <c r="E374" s="42"/>
    </row>
    <row r="375" spans="4:5" ht="15.75" customHeight="1" x14ac:dyDescent="0.25">
      <c r="D375" s="42"/>
      <c r="E375" s="42"/>
    </row>
    <row r="376" spans="4:5" ht="15.75" customHeight="1" x14ac:dyDescent="0.25">
      <c r="D376" s="42"/>
      <c r="E376" s="42"/>
    </row>
    <row r="377" spans="4:5" ht="15.75" customHeight="1" x14ac:dyDescent="0.25">
      <c r="D377" s="42"/>
      <c r="E377" s="42"/>
    </row>
    <row r="378" spans="4:5" ht="15.75" customHeight="1" x14ac:dyDescent="0.25">
      <c r="D378" s="42"/>
      <c r="E378" s="42"/>
    </row>
    <row r="379" spans="4:5" ht="15.75" customHeight="1" x14ac:dyDescent="0.25">
      <c r="D379" s="42"/>
      <c r="E379" s="42"/>
    </row>
    <row r="380" spans="4:5" ht="15.75" customHeight="1" x14ac:dyDescent="0.25">
      <c r="D380" s="42"/>
      <c r="E380" s="42"/>
    </row>
    <row r="381" spans="4:5" ht="15.75" customHeight="1" x14ac:dyDescent="0.25">
      <c r="D381" s="42"/>
      <c r="E381" s="42"/>
    </row>
    <row r="382" spans="4:5" ht="15.75" customHeight="1" x14ac:dyDescent="0.25">
      <c r="D382" s="42"/>
      <c r="E382" s="42"/>
    </row>
    <row r="383" spans="4:5" ht="15.75" customHeight="1" x14ac:dyDescent="0.25">
      <c r="D383" s="42"/>
      <c r="E383" s="42"/>
    </row>
    <row r="384" spans="4:5" ht="15.75" customHeight="1" x14ac:dyDescent="0.25">
      <c r="D384" s="42"/>
      <c r="E384" s="42"/>
    </row>
    <row r="385" spans="4:5" ht="15.75" customHeight="1" x14ac:dyDescent="0.25">
      <c r="D385" s="42"/>
      <c r="E385" s="42"/>
    </row>
    <row r="386" spans="4:5" ht="15.75" customHeight="1" x14ac:dyDescent="0.25">
      <c r="D386" s="42"/>
      <c r="E386" s="42"/>
    </row>
    <row r="387" spans="4:5" ht="15.75" customHeight="1" x14ac:dyDescent="0.25">
      <c r="D387" s="42"/>
      <c r="E387" s="42"/>
    </row>
    <row r="388" spans="4:5" ht="15.75" customHeight="1" x14ac:dyDescent="0.25">
      <c r="D388" s="42"/>
      <c r="E388" s="42"/>
    </row>
    <row r="389" spans="4:5" ht="15.75" customHeight="1" x14ac:dyDescent="0.25">
      <c r="D389" s="42"/>
      <c r="E389" s="42"/>
    </row>
    <row r="390" spans="4:5" ht="15.75" customHeight="1" x14ac:dyDescent="0.25">
      <c r="D390" s="42"/>
      <c r="E390" s="42"/>
    </row>
    <row r="391" spans="4:5" ht="15.75" customHeight="1" x14ac:dyDescent="0.25">
      <c r="D391" s="42"/>
      <c r="E391" s="42"/>
    </row>
    <row r="392" spans="4:5" ht="15.75" customHeight="1" x14ac:dyDescent="0.25">
      <c r="D392" s="42"/>
      <c r="E392" s="42"/>
    </row>
    <row r="393" spans="4:5" ht="15.75" customHeight="1" x14ac:dyDescent="0.25">
      <c r="D393" s="42"/>
      <c r="E393" s="42"/>
    </row>
    <row r="394" spans="4:5" ht="15.75" customHeight="1" x14ac:dyDescent="0.25">
      <c r="D394" s="42"/>
      <c r="E394" s="42"/>
    </row>
    <row r="395" spans="4:5" ht="15.75" customHeight="1" x14ac:dyDescent="0.25">
      <c r="D395" s="42"/>
      <c r="E395" s="42"/>
    </row>
    <row r="396" spans="4:5" ht="15.75" customHeight="1" x14ac:dyDescent="0.25">
      <c r="D396" s="42"/>
      <c r="E396" s="42"/>
    </row>
    <row r="397" spans="4:5" ht="15.75" customHeight="1" x14ac:dyDescent="0.25">
      <c r="D397" s="42"/>
      <c r="E397" s="42"/>
    </row>
    <row r="398" spans="4:5" ht="15.75" customHeight="1" x14ac:dyDescent="0.25">
      <c r="D398" s="42"/>
      <c r="E398" s="42"/>
    </row>
    <row r="399" spans="4:5" ht="15.75" customHeight="1" x14ac:dyDescent="0.25">
      <c r="D399" s="42"/>
      <c r="E399" s="42"/>
    </row>
    <row r="400" spans="4:5" ht="15.75" customHeight="1" x14ac:dyDescent="0.25">
      <c r="D400" s="42"/>
      <c r="E400" s="42"/>
    </row>
    <row r="401" spans="4:5" ht="15.75" customHeight="1" x14ac:dyDescent="0.25">
      <c r="D401" s="42"/>
      <c r="E401" s="42"/>
    </row>
    <row r="402" spans="4:5" ht="15.75" customHeight="1" x14ac:dyDescent="0.25">
      <c r="D402" s="42"/>
      <c r="E402" s="42"/>
    </row>
    <row r="403" spans="4:5" ht="15.75" customHeight="1" x14ac:dyDescent="0.25">
      <c r="D403" s="42"/>
      <c r="E403" s="42"/>
    </row>
    <row r="404" spans="4:5" ht="15.75" customHeight="1" x14ac:dyDescent="0.25">
      <c r="D404" s="42"/>
      <c r="E404" s="42"/>
    </row>
    <row r="405" spans="4:5" ht="15.75" customHeight="1" x14ac:dyDescent="0.25">
      <c r="D405" s="42"/>
      <c r="E405" s="42"/>
    </row>
    <row r="406" spans="4:5" ht="15.75" customHeight="1" x14ac:dyDescent="0.25">
      <c r="D406" s="42"/>
      <c r="E406" s="42"/>
    </row>
    <row r="407" spans="4:5" ht="15.75" customHeight="1" x14ac:dyDescent="0.25">
      <c r="D407" s="42"/>
      <c r="E407" s="42"/>
    </row>
    <row r="408" spans="4:5" ht="15.75" customHeight="1" x14ac:dyDescent="0.25">
      <c r="D408" s="42"/>
      <c r="E408" s="42"/>
    </row>
    <row r="409" spans="4:5" ht="15.75" customHeight="1" x14ac:dyDescent="0.25">
      <c r="D409" s="42"/>
      <c r="E409" s="42"/>
    </row>
    <row r="410" spans="4:5" ht="15.75" customHeight="1" x14ac:dyDescent="0.25">
      <c r="D410" s="42"/>
      <c r="E410" s="42"/>
    </row>
    <row r="411" spans="4:5" ht="15.75" customHeight="1" x14ac:dyDescent="0.25">
      <c r="D411" s="42"/>
      <c r="E411" s="42"/>
    </row>
    <row r="412" spans="4:5" ht="15.75" customHeight="1" x14ac:dyDescent="0.25">
      <c r="D412" s="42"/>
      <c r="E412" s="42"/>
    </row>
    <row r="413" spans="4:5" ht="15.75" customHeight="1" x14ac:dyDescent="0.25">
      <c r="D413" s="42"/>
      <c r="E413" s="42"/>
    </row>
    <row r="414" spans="4:5" ht="15.75" customHeight="1" x14ac:dyDescent="0.25">
      <c r="D414" s="42"/>
      <c r="E414" s="42"/>
    </row>
    <row r="415" spans="4:5" ht="15.75" customHeight="1" x14ac:dyDescent="0.25">
      <c r="D415" s="42"/>
      <c r="E415" s="42"/>
    </row>
    <row r="416" spans="4:5" ht="15.75" customHeight="1" x14ac:dyDescent="0.25">
      <c r="D416" s="42"/>
      <c r="E416" s="42"/>
    </row>
    <row r="417" spans="4:5" ht="15.75" customHeight="1" x14ac:dyDescent="0.25">
      <c r="D417" s="42"/>
      <c r="E417" s="42"/>
    </row>
    <row r="418" spans="4:5" ht="15.75" customHeight="1" x14ac:dyDescent="0.25">
      <c r="D418" s="42"/>
      <c r="E418" s="42"/>
    </row>
    <row r="419" spans="4:5" ht="15.75" customHeight="1" x14ac:dyDescent="0.25">
      <c r="D419" s="42"/>
      <c r="E419" s="42"/>
    </row>
    <row r="420" spans="4:5" ht="15.75" customHeight="1" x14ac:dyDescent="0.25">
      <c r="D420" s="42"/>
      <c r="E420" s="42"/>
    </row>
    <row r="421" spans="4:5" ht="15.75" customHeight="1" x14ac:dyDescent="0.25">
      <c r="D421" s="42"/>
      <c r="E421" s="42"/>
    </row>
    <row r="422" spans="4:5" ht="15.75" customHeight="1" x14ac:dyDescent="0.25">
      <c r="D422" s="42"/>
      <c r="E422" s="42"/>
    </row>
    <row r="423" spans="4:5" ht="15.75" customHeight="1" x14ac:dyDescent="0.25">
      <c r="D423" s="42"/>
      <c r="E423" s="42"/>
    </row>
    <row r="424" spans="4:5" ht="15.75" customHeight="1" x14ac:dyDescent="0.25">
      <c r="D424" s="42"/>
      <c r="E424" s="42"/>
    </row>
    <row r="425" spans="4:5" ht="15.75" customHeight="1" x14ac:dyDescent="0.25">
      <c r="D425" s="42"/>
      <c r="E425" s="42"/>
    </row>
    <row r="426" spans="4:5" ht="15.75" customHeight="1" x14ac:dyDescent="0.25">
      <c r="D426" s="42"/>
      <c r="E426" s="42"/>
    </row>
    <row r="427" spans="4:5" ht="15.75" customHeight="1" x14ac:dyDescent="0.25">
      <c r="D427" s="42"/>
      <c r="E427" s="42"/>
    </row>
    <row r="428" spans="4:5" ht="15.75" customHeight="1" x14ac:dyDescent="0.25">
      <c r="D428" s="42"/>
      <c r="E428" s="42"/>
    </row>
    <row r="429" spans="4:5" ht="15.75" customHeight="1" x14ac:dyDescent="0.25">
      <c r="D429" s="42"/>
      <c r="E429" s="42"/>
    </row>
    <row r="430" spans="4:5" ht="15.75" customHeight="1" x14ac:dyDescent="0.25">
      <c r="D430" s="42"/>
      <c r="E430" s="42"/>
    </row>
    <row r="431" spans="4:5" ht="15.75" customHeight="1" x14ac:dyDescent="0.25">
      <c r="D431" s="42"/>
      <c r="E431" s="42"/>
    </row>
    <row r="432" spans="4:5" ht="15.75" customHeight="1" x14ac:dyDescent="0.25">
      <c r="D432" s="42"/>
      <c r="E432" s="42"/>
    </row>
    <row r="433" spans="4:5" ht="15.75" customHeight="1" x14ac:dyDescent="0.25">
      <c r="D433" s="42"/>
      <c r="E433" s="42"/>
    </row>
    <row r="434" spans="4:5" ht="15.75" customHeight="1" x14ac:dyDescent="0.25">
      <c r="D434" s="42"/>
      <c r="E434" s="42"/>
    </row>
    <row r="435" spans="4:5" ht="15.75" customHeight="1" x14ac:dyDescent="0.25">
      <c r="D435" s="42"/>
      <c r="E435" s="42"/>
    </row>
    <row r="436" spans="4:5" ht="15.75" customHeight="1" x14ac:dyDescent="0.25">
      <c r="D436" s="42"/>
      <c r="E436" s="42"/>
    </row>
    <row r="437" spans="4:5" ht="15.75" customHeight="1" x14ac:dyDescent="0.25">
      <c r="D437" s="42"/>
      <c r="E437" s="42"/>
    </row>
    <row r="438" spans="4:5" ht="15.75" customHeight="1" x14ac:dyDescent="0.25">
      <c r="D438" s="42"/>
      <c r="E438" s="42"/>
    </row>
    <row r="439" spans="4:5" ht="15.75" customHeight="1" x14ac:dyDescent="0.25">
      <c r="D439" s="42"/>
      <c r="E439" s="42"/>
    </row>
    <row r="440" spans="4:5" ht="15.75" customHeight="1" x14ac:dyDescent="0.25">
      <c r="D440" s="42"/>
      <c r="E440" s="42"/>
    </row>
    <row r="441" spans="4:5" ht="15.75" customHeight="1" x14ac:dyDescent="0.25">
      <c r="D441" s="42"/>
      <c r="E441" s="42"/>
    </row>
    <row r="442" spans="4:5" ht="15.75" customHeight="1" x14ac:dyDescent="0.25">
      <c r="D442" s="42"/>
      <c r="E442" s="42"/>
    </row>
    <row r="443" spans="4:5" ht="15.75" customHeight="1" x14ac:dyDescent="0.25">
      <c r="D443" s="42"/>
      <c r="E443" s="42"/>
    </row>
    <row r="444" spans="4:5" ht="15.75" customHeight="1" x14ac:dyDescent="0.25">
      <c r="D444" s="42"/>
      <c r="E444" s="42"/>
    </row>
    <row r="445" spans="4:5" ht="15.75" customHeight="1" x14ac:dyDescent="0.25">
      <c r="D445" s="42"/>
      <c r="E445" s="42"/>
    </row>
    <row r="446" spans="4:5" ht="15.75" customHeight="1" x14ac:dyDescent="0.25">
      <c r="D446" s="42"/>
      <c r="E446" s="42"/>
    </row>
    <row r="447" spans="4:5" ht="15.75" customHeight="1" x14ac:dyDescent="0.25">
      <c r="D447" s="42"/>
      <c r="E447" s="42"/>
    </row>
    <row r="448" spans="4:5" ht="15.75" customHeight="1" x14ac:dyDescent="0.25">
      <c r="D448" s="42"/>
      <c r="E448" s="42"/>
    </row>
    <row r="449" spans="4:5" ht="15.75" customHeight="1" x14ac:dyDescent="0.25">
      <c r="D449" s="42"/>
      <c r="E449" s="42"/>
    </row>
    <row r="450" spans="4:5" ht="15.75" customHeight="1" x14ac:dyDescent="0.25">
      <c r="D450" s="42"/>
      <c r="E450" s="42"/>
    </row>
    <row r="451" spans="4:5" ht="15.75" customHeight="1" x14ac:dyDescent="0.25">
      <c r="D451" s="42"/>
      <c r="E451" s="42"/>
    </row>
    <row r="452" spans="4:5" ht="15.75" customHeight="1" x14ac:dyDescent="0.25">
      <c r="D452" s="42"/>
      <c r="E452" s="42"/>
    </row>
    <row r="453" spans="4:5" ht="15.75" customHeight="1" x14ac:dyDescent="0.25">
      <c r="D453" s="42"/>
      <c r="E453" s="42"/>
    </row>
    <row r="454" spans="4:5" ht="15.75" customHeight="1" x14ac:dyDescent="0.25">
      <c r="D454" s="42"/>
      <c r="E454" s="42"/>
    </row>
    <row r="455" spans="4:5" ht="15.75" customHeight="1" x14ac:dyDescent="0.25">
      <c r="D455" s="42"/>
      <c r="E455" s="42"/>
    </row>
    <row r="456" spans="4:5" ht="15.75" customHeight="1" x14ac:dyDescent="0.25">
      <c r="D456" s="42"/>
      <c r="E456" s="42"/>
    </row>
    <row r="457" spans="4:5" ht="15.75" customHeight="1" x14ac:dyDescent="0.25">
      <c r="D457" s="42"/>
      <c r="E457" s="42"/>
    </row>
    <row r="458" spans="4:5" ht="15.75" customHeight="1" x14ac:dyDescent="0.25">
      <c r="D458" s="42"/>
      <c r="E458" s="42"/>
    </row>
    <row r="459" spans="4:5" ht="15.75" customHeight="1" x14ac:dyDescent="0.25">
      <c r="D459" s="42"/>
      <c r="E459" s="42"/>
    </row>
    <row r="460" spans="4:5" ht="15.75" customHeight="1" x14ac:dyDescent="0.25">
      <c r="D460" s="42"/>
      <c r="E460" s="42"/>
    </row>
    <row r="461" spans="4:5" ht="15.75" customHeight="1" x14ac:dyDescent="0.25">
      <c r="D461" s="42"/>
      <c r="E461" s="42"/>
    </row>
    <row r="462" spans="4:5" ht="15.75" customHeight="1" x14ac:dyDescent="0.25">
      <c r="D462" s="42"/>
      <c r="E462" s="42"/>
    </row>
    <row r="463" spans="4:5" ht="15.75" customHeight="1" x14ac:dyDescent="0.25">
      <c r="D463" s="42"/>
      <c r="E463" s="42"/>
    </row>
    <row r="464" spans="4:5" ht="15.75" customHeight="1" x14ac:dyDescent="0.25">
      <c r="D464" s="42"/>
      <c r="E464" s="42"/>
    </row>
    <row r="465" spans="4:5" ht="15.75" customHeight="1" x14ac:dyDescent="0.25">
      <c r="D465" s="42"/>
      <c r="E465" s="42"/>
    </row>
    <row r="466" spans="4:5" ht="15.75" customHeight="1" x14ac:dyDescent="0.25">
      <c r="D466" s="42"/>
      <c r="E466" s="42"/>
    </row>
    <row r="467" spans="4:5" ht="15.75" customHeight="1" x14ac:dyDescent="0.25">
      <c r="D467" s="42"/>
      <c r="E467" s="42"/>
    </row>
    <row r="468" spans="4:5" ht="15.75" customHeight="1" x14ac:dyDescent="0.25">
      <c r="D468" s="42"/>
      <c r="E468" s="42"/>
    </row>
    <row r="469" spans="4:5" ht="15.75" customHeight="1" x14ac:dyDescent="0.25">
      <c r="D469" s="42"/>
      <c r="E469" s="42"/>
    </row>
    <row r="470" spans="4:5" ht="15.75" customHeight="1" x14ac:dyDescent="0.25">
      <c r="D470" s="42"/>
      <c r="E470" s="42"/>
    </row>
    <row r="471" spans="4:5" ht="15.75" customHeight="1" x14ac:dyDescent="0.25">
      <c r="D471" s="42"/>
      <c r="E471" s="42"/>
    </row>
    <row r="472" spans="4:5" ht="15.75" customHeight="1" x14ac:dyDescent="0.25">
      <c r="D472" s="42"/>
      <c r="E472" s="42"/>
    </row>
    <row r="473" spans="4:5" ht="15.75" customHeight="1" x14ac:dyDescent="0.25">
      <c r="D473" s="42"/>
      <c r="E473" s="42"/>
    </row>
    <row r="474" spans="4:5" ht="15.75" customHeight="1" x14ac:dyDescent="0.25">
      <c r="D474" s="42"/>
      <c r="E474" s="42"/>
    </row>
    <row r="475" spans="4:5" ht="15.75" customHeight="1" x14ac:dyDescent="0.25">
      <c r="D475" s="42"/>
      <c r="E475" s="42"/>
    </row>
    <row r="476" spans="4:5" ht="15.75" customHeight="1" x14ac:dyDescent="0.25">
      <c r="D476" s="42"/>
      <c r="E476" s="42"/>
    </row>
    <row r="477" spans="4:5" ht="15.75" customHeight="1" x14ac:dyDescent="0.25">
      <c r="D477" s="42"/>
      <c r="E477" s="42"/>
    </row>
    <row r="478" spans="4:5" ht="15.75" customHeight="1" x14ac:dyDescent="0.25">
      <c r="D478" s="42"/>
      <c r="E478" s="42"/>
    </row>
    <row r="479" spans="4:5" ht="15.75" customHeight="1" x14ac:dyDescent="0.25">
      <c r="D479" s="42"/>
      <c r="E479" s="42"/>
    </row>
    <row r="480" spans="4:5" ht="15.75" customHeight="1" x14ac:dyDescent="0.25">
      <c r="D480" s="42"/>
      <c r="E480" s="42"/>
    </row>
    <row r="481" spans="4:5" ht="15.75" customHeight="1" x14ac:dyDescent="0.25">
      <c r="D481" s="42"/>
      <c r="E481" s="42"/>
    </row>
    <row r="482" spans="4:5" ht="15.75" customHeight="1" x14ac:dyDescent="0.25">
      <c r="D482" s="42"/>
      <c r="E482" s="42"/>
    </row>
    <row r="483" spans="4:5" ht="15.75" customHeight="1" x14ac:dyDescent="0.25">
      <c r="D483" s="42"/>
      <c r="E483" s="42"/>
    </row>
    <row r="484" spans="4:5" ht="15.75" customHeight="1" x14ac:dyDescent="0.25">
      <c r="D484" s="42"/>
      <c r="E484" s="42"/>
    </row>
    <row r="485" spans="4:5" ht="15.75" customHeight="1" x14ac:dyDescent="0.25">
      <c r="D485" s="42"/>
      <c r="E485" s="42"/>
    </row>
    <row r="486" spans="4:5" ht="15.75" customHeight="1" x14ac:dyDescent="0.25">
      <c r="D486" s="42"/>
      <c r="E486" s="42"/>
    </row>
    <row r="487" spans="4:5" ht="15.75" customHeight="1" x14ac:dyDescent="0.25">
      <c r="D487" s="42"/>
      <c r="E487" s="42"/>
    </row>
    <row r="488" spans="4:5" ht="15.75" customHeight="1" x14ac:dyDescent="0.25">
      <c r="D488" s="42"/>
      <c r="E488" s="42"/>
    </row>
    <row r="489" spans="4:5" ht="15.75" customHeight="1" x14ac:dyDescent="0.25">
      <c r="D489" s="42"/>
      <c r="E489" s="42"/>
    </row>
    <row r="490" spans="4:5" ht="15.75" customHeight="1" x14ac:dyDescent="0.25">
      <c r="D490" s="42"/>
      <c r="E490" s="42"/>
    </row>
    <row r="491" spans="4:5" ht="15.75" customHeight="1" x14ac:dyDescent="0.25">
      <c r="D491" s="42"/>
      <c r="E491" s="42"/>
    </row>
    <row r="492" spans="4:5" ht="15.75" customHeight="1" x14ac:dyDescent="0.25">
      <c r="D492" s="42"/>
      <c r="E492" s="42"/>
    </row>
    <row r="493" spans="4:5" ht="15.75" customHeight="1" x14ac:dyDescent="0.25">
      <c r="D493" s="42"/>
      <c r="E493" s="42"/>
    </row>
    <row r="494" spans="4:5" ht="15.75" customHeight="1" x14ac:dyDescent="0.25">
      <c r="D494" s="42"/>
      <c r="E494" s="42"/>
    </row>
    <row r="495" spans="4:5" ht="15.75" customHeight="1" x14ac:dyDescent="0.25">
      <c r="D495" s="42"/>
      <c r="E495" s="42"/>
    </row>
    <row r="496" spans="4:5" ht="15.75" customHeight="1" x14ac:dyDescent="0.25">
      <c r="D496" s="42"/>
      <c r="E496" s="42"/>
    </row>
    <row r="497" spans="4:5" ht="15.75" customHeight="1" x14ac:dyDescent="0.25">
      <c r="D497" s="42"/>
      <c r="E497" s="42"/>
    </row>
    <row r="498" spans="4:5" ht="15.75" customHeight="1" x14ac:dyDescent="0.25">
      <c r="D498" s="42"/>
      <c r="E498" s="42"/>
    </row>
    <row r="499" spans="4:5" ht="15.75" customHeight="1" x14ac:dyDescent="0.25">
      <c r="D499" s="42"/>
      <c r="E499" s="42"/>
    </row>
    <row r="500" spans="4:5" ht="15.75" customHeight="1" x14ac:dyDescent="0.25">
      <c r="D500" s="42"/>
      <c r="E500" s="42"/>
    </row>
    <row r="501" spans="4:5" ht="15.75" customHeight="1" x14ac:dyDescent="0.25">
      <c r="D501" s="42"/>
      <c r="E501" s="42"/>
    </row>
    <row r="502" spans="4:5" ht="15.75" customHeight="1" x14ac:dyDescent="0.25">
      <c r="D502" s="42"/>
      <c r="E502" s="42"/>
    </row>
    <row r="503" spans="4:5" ht="15.75" customHeight="1" x14ac:dyDescent="0.25">
      <c r="D503" s="42"/>
      <c r="E503" s="42"/>
    </row>
    <row r="504" spans="4:5" ht="15.75" customHeight="1" x14ac:dyDescent="0.25">
      <c r="D504" s="42"/>
      <c r="E504" s="42"/>
    </row>
    <row r="505" spans="4:5" ht="15.75" customHeight="1" x14ac:dyDescent="0.25">
      <c r="D505" s="42"/>
      <c r="E505" s="42"/>
    </row>
    <row r="506" spans="4:5" ht="15.75" customHeight="1" x14ac:dyDescent="0.25">
      <c r="D506" s="42"/>
      <c r="E506" s="42"/>
    </row>
    <row r="507" spans="4:5" ht="15.75" customHeight="1" x14ac:dyDescent="0.25">
      <c r="D507" s="42"/>
      <c r="E507" s="42"/>
    </row>
    <row r="508" spans="4:5" ht="15.75" customHeight="1" x14ac:dyDescent="0.25">
      <c r="D508" s="42"/>
      <c r="E508" s="42"/>
    </row>
    <row r="509" spans="4:5" ht="15.75" customHeight="1" x14ac:dyDescent="0.25">
      <c r="D509" s="42"/>
      <c r="E509" s="42"/>
    </row>
    <row r="510" spans="4:5" ht="15.75" customHeight="1" x14ac:dyDescent="0.25">
      <c r="D510" s="42"/>
      <c r="E510" s="42"/>
    </row>
    <row r="511" spans="4:5" ht="15.75" customHeight="1" x14ac:dyDescent="0.25">
      <c r="D511" s="42"/>
      <c r="E511" s="42"/>
    </row>
    <row r="512" spans="4:5" ht="15.75" customHeight="1" x14ac:dyDescent="0.25">
      <c r="D512" s="42"/>
      <c r="E512" s="42"/>
    </row>
    <row r="513" spans="4:5" ht="15.75" customHeight="1" x14ac:dyDescent="0.25">
      <c r="D513" s="42"/>
      <c r="E513" s="42"/>
    </row>
    <row r="514" spans="4:5" ht="15.75" customHeight="1" x14ac:dyDescent="0.25">
      <c r="D514" s="42"/>
      <c r="E514" s="42"/>
    </row>
    <row r="515" spans="4:5" ht="15.75" customHeight="1" x14ac:dyDescent="0.25">
      <c r="D515" s="42"/>
      <c r="E515" s="42"/>
    </row>
    <row r="516" spans="4:5" ht="15.75" customHeight="1" x14ac:dyDescent="0.25">
      <c r="D516" s="42"/>
      <c r="E516" s="42"/>
    </row>
    <row r="517" spans="4:5" ht="15.75" customHeight="1" x14ac:dyDescent="0.25">
      <c r="D517" s="42"/>
      <c r="E517" s="42"/>
    </row>
    <row r="518" spans="4:5" ht="15.75" customHeight="1" x14ac:dyDescent="0.25">
      <c r="D518" s="42"/>
      <c r="E518" s="42"/>
    </row>
    <row r="519" spans="4:5" ht="15.75" customHeight="1" x14ac:dyDescent="0.25">
      <c r="D519" s="42"/>
      <c r="E519" s="42"/>
    </row>
    <row r="520" spans="4:5" ht="15.75" customHeight="1" x14ac:dyDescent="0.25">
      <c r="D520" s="42"/>
      <c r="E520" s="42"/>
    </row>
    <row r="521" spans="4:5" ht="15.75" customHeight="1" x14ac:dyDescent="0.25">
      <c r="D521" s="42"/>
      <c r="E521" s="42"/>
    </row>
    <row r="522" spans="4:5" ht="15.75" customHeight="1" x14ac:dyDescent="0.25">
      <c r="D522" s="42"/>
      <c r="E522" s="42"/>
    </row>
    <row r="523" spans="4:5" ht="15.75" customHeight="1" x14ac:dyDescent="0.25">
      <c r="D523" s="42"/>
      <c r="E523" s="42"/>
    </row>
    <row r="524" spans="4:5" ht="15.75" customHeight="1" x14ac:dyDescent="0.25">
      <c r="D524" s="42"/>
      <c r="E524" s="42"/>
    </row>
    <row r="525" spans="4:5" ht="15.75" customHeight="1" x14ac:dyDescent="0.25">
      <c r="D525" s="42"/>
      <c r="E525" s="42"/>
    </row>
    <row r="526" spans="4:5" ht="15.75" customHeight="1" x14ac:dyDescent="0.25">
      <c r="D526" s="42"/>
      <c r="E526" s="42"/>
    </row>
    <row r="527" spans="4:5" ht="15.75" customHeight="1" x14ac:dyDescent="0.25">
      <c r="D527" s="42"/>
      <c r="E527" s="42"/>
    </row>
    <row r="528" spans="4:5" ht="15.75" customHeight="1" x14ac:dyDescent="0.25">
      <c r="D528" s="42"/>
      <c r="E528" s="42"/>
    </row>
    <row r="529" spans="4:5" ht="15.75" customHeight="1" x14ac:dyDescent="0.25">
      <c r="D529" s="42"/>
      <c r="E529" s="42"/>
    </row>
    <row r="530" spans="4:5" ht="15.75" customHeight="1" x14ac:dyDescent="0.25">
      <c r="D530" s="42"/>
      <c r="E530" s="42"/>
    </row>
    <row r="531" spans="4:5" ht="15.75" customHeight="1" x14ac:dyDescent="0.25">
      <c r="D531" s="42"/>
      <c r="E531" s="42"/>
    </row>
    <row r="532" spans="4:5" ht="15.75" customHeight="1" x14ac:dyDescent="0.25">
      <c r="D532" s="42"/>
      <c r="E532" s="42"/>
    </row>
    <row r="533" spans="4:5" ht="15.75" customHeight="1" x14ac:dyDescent="0.25">
      <c r="D533" s="42"/>
      <c r="E533" s="42"/>
    </row>
    <row r="534" spans="4:5" ht="15.75" customHeight="1" x14ac:dyDescent="0.25">
      <c r="D534" s="42"/>
      <c r="E534" s="42"/>
    </row>
    <row r="535" spans="4:5" ht="15.75" customHeight="1" x14ac:dyDescent="0.25">
      <c r="D535" s="42"/>
      <c r="E535" s="42"/>
    </row>
    <row r="536" spans="4:5" ht="15.75" customHeight="1" x14ac:dyDescent="0.25">
      <c r="D536" s="42"/>
      <c r="E536" s="42"/>
    </row>
    <row r="537" spans="4:5" ht="15.75" customHeight="1" x14ac:dyDescent="0.25">
      <c r="D537" s="42"/>
      <c r="E537" s="42"/>
    </row>
    <row r="538" spans="4:5" ht="15.75" customHeight="1" x14ac:dyDescent="0.25">
      <c r="D538" s="42"/>
      <c r="E538" s="42"/>
    </row>
    <row r="539" spans="4:5" ht="15.75" customHeight="1" x14ac:dyDescent="0.25">
      <c r="D539" s="42"/>
      <c r="E539" s="42"/>
    </row>
    <row r="540" spans="4:5" ht="15.75" customHeight="1" x14ac:dyDescent="0.25">
      <c r="D540" s="42"/>
      <c r="E540" s="42"/>
    </row>
    <row r="541" spans="4:5" ht="15.75" customHeight="1" x14ac:dyDescent="0.25">
      <c r="D541" s="42"/>
      <c r="E541" s="42"/>
    </row>
    <row r="542" spans="4:5" ht="15.75" customHeight="1" x14ac:dyDescent="0.25">
      <c r="D542" s="42"/>
      <c r="E542" s="42"/>
    </row>
    <row r="543" spans="4:5" ht="15.75" customHeight="1" x14ac:dyDescent="0.25">
      <c r="D543" s="42"/>
      <c r="E543" s="42"/>
    </row>
    <row r="544" spans="4:5" ht="15.75" customHeight="1" x14ac:dyDescent="0.25">
      <c r="D544" s="42"/>
      <c r="E544" s="42"/>
    </row>
    <row r="545" spans="4:5" ht="15.75" customHeight="1" x14ac:dyDescent="0.25">
      <c r="D545" s="42"/>
      <c r="E545" s="42"/>
    </row>
    <row r="546" spans="4:5" ht="15.75" customHeight="1" x14ac:dyDescent="0.25">
      <c r="D546" s="42"/>
      <c r="E546" s="42"/>
    </row>
    <row r="547" spans="4:5" ht="15.75" customHeight="1" x14ac:dyDescent="0.25">
      <c r="D547" s="42"/>
      <c r="E547" s="42"/>
    </row>
    <row r="548" spans="4:5" ht="15.75" customHeight="1" x14ac:dyDescent="0.25">
      <c r="D548" s="42"/>
      <c r="E548" s="42"/>
    </row>
    <row r="549" spans="4:5" ht="15.75" customHeight="1" x14ac:dyDescent="0.25">
      <c r="D549" s="42"/>
      <c r="E549" s="42"/>
    </row>
    <row r="550" spans="4:5" ht="15.75" customHeight="1" x14ac:dyDescent="0.25">
      <c r="D550" s="42"/>
      <c r="E550" s="42"/>
    </row>
    <row r="551" spans="4:5" ht="15.75" customHeight="1" x14ac:dyDescent="0.25">
      <c r="D551" s="42"/>
      <c r="E551" s="42"/>
    </row>
    <row r="552" spans="4:5" ht="15.75" customHeight="1" x14ac:dyDescent="0.25">
      <c r="D552" s="42"/>
      <c r="E552" s="42"/>
    </row>
    <row r="553" spans="4:5" ht="15.75" customHeight="1" x14ac:dyDescent="0.25">
      <c r="D553" s="42"/>
      <c r="E553" s="42"/>
    </row>
    <row r="554" spans="4:5" ht="15.75" customHeight="1" x14ac:dyDescent="0.25">
      <c r="D554" s="42"/>
      <c r="E554" s="42"/>
    </row>
    <row r="555" spans="4:5" ht="15.75" customHeight="1" x14ac:dyDescent="0.25">
      <c r="D555" s="42"/>
      <c r="E555" s="42"/>
    </row>
    <row r="556" spans="4:5" ht="15.75" customHeight="1" x14ac:dyDescent="0.25">
      <c r="D556" s="42"/>
      <c r="E556" s="42"/>
    </row>
    <row r="557" spans="4:5" ht="15.75" customHeight="1" x14ac:dyDescent="0.25">
      <c r="D557" s="42"/>
      <c r="E557" s="42"/>
    </row>
    <row r="558" spans="4:5" ht="15.75" customHeight="1" x14ac:dyDescent="0.25">
      <c r="D558" s="42"/>
      <c r="E558" s="42"/>
    </row>
    <row r="559" spans="4:5" ht="15.75" customHeight="1" x14ac:dyDescent="0.25">
      <c r="D559" s="42"/>
      <c r="E559" s="42"/>
    </row>
    <row r="560" spans="4:5" ht="15.75" customHeight="1" x14ac:dyDescent="0.25">
      <c r="D560" s="42"/>
      <c r="E560" s="42"/>
    </row>
    <row r="561" spans="4:5" ht="15.75" customHeight="1" x14ac:dyDescent="0.25">
      <c r="D561" s="42"/>
      <c r="E561" s="42"/>
    </row>
    <row r="562" spans="4:5" ht="15.75" customHeight="1" x14ac:dyDescent="0.25">
      <c r="D562" s="42"/>
      <c r="E562" s="42"/>
    </row>
    <row r="563" spans="4:5" ht="15.75" customHeight="1" x14ac:dyDescent="0.25">
      <c r="D563" s="42"/>
      <c r="E563" s="42"/>
    </row>
    <row r="564" spans="4:5" ht="15.75" customHeight="1" x14ac:dyDescent="0.25">
      <c r="D564" s="42"/>
      <c r="E564" s="42"/>
    </row>
    <row r="565" spans="4:5" ht="15.75" customHeight="1" x14ac:dyDescent="0.25">
      <c r="D565" s="42"/>
      <c r="E565" s="42"/>
    </row>
    <row r="566" spans="4:5" ht="15.75" customHeight="1" x14ac:dyDescent="0.25">
      <c r="D566" s="42"/>
      <c r="E566" s="42"/>
    </row>
    <row r="567" spans="4:5" ht="15.75" customHeight="1" x14ac:dyDescent="0.25">
      <c r="D567" s="42"/>
      <c r="E567" s="42"/>
    </row>
    <row r="568" spans="4:5" ht="15.75" customHeight="1" x14ac:dyDescent="0.25">
      <c r="D568" s="42"/>
      <c r="E568" s="42"/>
    </row>
    <row r="569" spans="4:5" ht="15.75" customHeight="1" x14ac:dyDescent="0.25">
      <c r="D569" s="42"/>
      <c r="E569" s="42"/>
    </row>
    <row r="570" spans="4:5" ht="15.75" customHeight="1" x14ac:dyDescent="0.25">
      <c r="D570" s="42"/>
      <c r="E570" s="42"/>
    </row>
    <row r="571" spans="4:5" ht="15.75" customHeight="1" x14ac:dyDescent="0.25">
      <c r="D571" s="42"/>
      <c r="E571" s="42"/>
    </row>
    <row r="572" spans="4:5" ht="15.75" customHeight="1" x14ac:dyDescent="0.25">
      <c r="D572" s="42"/>
      <c r="E572" s="42"/>
    </row>
    <row r="573" spans="4:5" ht="15.75" customHeight="1" x14ac:dyDescent="0.25">
      <c r="D573" s="42"/>
      <c r="E573" s="42"/>
    </row>
    <row r="574" spans="4:5" ht="15.75" customHeight="1" x14ac:dyDescent="0.25">
      <c r="D574" s="42"/>
      <c r="E574" s="42"/>
    </row>
    <row r="575" spans="4:5" ht="15.75" customHeight="1" x14ac:dyDescent="0.25">
      <c r="D575" s="42"/>
      <c r="E575" s="42"/>
    </row>
    <row r="576" spans="4:5" ht="15.75" customHeight="1" x14ac:dyDescent="0.25">
      <c r="D576" s="42"/>
      <c r="E576" s="42"/>
    </row>
    <row r="577" spans="4:5" ht="15.75" customHeight="1" x14ac:dyDescent="0.25">
      <c r="D577" s="42"/>
      <c r="E577" s="42"/>
    </row>
    <row r="578" spans="4:5" ht="15.75" customHeight="1" x14ac:dyDescent="0.25">
      <c r="D578" s="42"/>
      <c r="E578" s="42"/>
    </row>
    <row r="579" spans="4:5" ht="15.75" customHeight="1" x14ac:dyDescent="0.25">
      <c r="D579" s="42"/>
      <c r="E579" s="42"/>
    </row>
    <row r="580" spans="4:5" ht="15.75" customHeight="1" x14ac:dyDescent="0.25">
      <c r="D580" s="42"/>
      <c r="E580" s="42"/>
    </row>
    <row r="581" spans="4:5" ht="15.75" customHeight="1" x14ac:dyDescent="0.25">
      <c r="D581" s="42"/>
      <c r="E581" s="42"/>
    </row>
    <row r="582" spans="4:5" ht="15.75" customHeight="1" x14ac:dyDescent="0.25">
      <c r="D582" s="42"/>
      <c r="E582" s="42"/>
    </row>
    <row r="583" spans="4:5" ht="15.75" customHeight="1" x14ac:dyDescent="0.25">
      <c r="D583" s="42"/>
      <c r="E583" s="42"/>
    </row>
    <row r="584" spans="4:5" ht="15.75" customHeight="1" x14ac:dyDescent="0.25">
      <c r="D584" s="42"/>
      <c r="E584" s="42"/>
    </row>
    <row r="585" spans="4:5" ht="15.75" customHeight="1" x14ac:dyDescent="0.25">
      <c r="D585" s="42"/>
      <c r="E585" s="42"/>
    </row>
    <row r="586" spans="4:5" ht="15.75" customHeight="1" x14ac:dyDescent="0.25">
      <c r="D586" s="42"/>
      <c r="E586" s="42"/>
    </row>
    <row r="587" spans="4:5" ht="15.75" customHeight="1" x14ac:dyDescent="0.25">
      <c r="D587" s="42"/>
      <c r="E587" s="42"/>
    </row>
    <row r="588" spans="4:5" ht="15.75" customHeight="1" x14ac:dyDescent="0.25">
      <c r="D588" s="42"/>
      <c r="E588" s="42"/>
    </row>
    <row r="589" spans="4:5" ht="15.75" customHeight="1" x14ac:dyDescent="0.25">
      <c r="D589" s="42"/>
      <c r="E589" s="42"/>
    </row>
    <row r="590" spans="4:5" ht="15.75" customHeight="1" x14ac:dyDescent="0.25">
      <c r="D590" s="42"/>
      <c r="E590" s="42"/>
    </row>
    <row r="591" spans="4:5" ht="15.75" customHeight="1" x14ac:dyDescent="0.25">
      <c r="D591" s="42"/>
      <c r="E591" s="42"/>
    </row>
    <row r="592" spans="4:5" ht="15.75" customHeight="1" x14ac:dyDescent="0.25">
      <c r="D592" s="42"/>
      <c r="E592" s="42"/>
    </row>
    <row r="593" spans="4:5" ht="15.75" customHeight="1" x14ac:dyDescent="0.25">
      <c r="D593" s="42"/>
      <c r="E593" s="42"/>
    </row>
    <row r="594" spans="4:5" ht="15.75" customHeight="1" x14ac:dyDescent="0.25">
      <c r="D594" s="42"/>
      <c r="E594" s="42"/>
    </row>
    <row r="595" spans="4:5" ht="15.75" customHeight="1" x14ac:dyDescent="0.25">
      <c r="D595" s="42"/>
      <c r="E595" s="42"/>
    </row>
    <row r="596" spans="4:5" ht="15.75" customHeight="1" x14ac:dyDescent="0.25">
      <c r="D596" s="42"/>
      <c r="E596" s="42"/>
    </row>
    <row r="597" spans="4:5" ht="15.75" customHeight="1" x14ac:dyDescent="0.25">
      <c r="D597" s="42"/>
      <c r="E597" s="42"/>
    </row>
    <row r="598" spans="4:5" ht="15.75" customHeight="1" x14ac:dyDescent="0.25">
      <c r="D598" s="42"/>
      <c r="E598" s="42"/>
    </row>
    <row r="599" spans="4:5" ht="15.75" customHeight="1" x14ac:dyDescent="0.25">
      <c r="D599" s="42"/>
      <c r="E599" s="42"/>
    </row>
    <row r="600" spans="4:5" ht="15.75" customHeight="1" x14ac:dyDescent="0.25">
      <c r="D600" s="42"/>
      <c r="E600" s="42"/>
    </row>
    <row r="601" spans="4:5" ht="15.75" customHeight="1" x14ac:dyDescent="0.25">
      <c r="D601" s="42"/>
      <c r="E601" s="42"/>
    </row>
    <row r="602" spans="4:5" ht="15.75" customHeight="1" x14ac:dyDescent="0.25">
      <c r="D602" s="42"/>
      <c r="E602" s="42"/>
    </row>
    <row r="603" spans="4:5" ht="15.75" customHeight="1" x14ac:dyDescent="0.25">
      <c r="D603" s="42"/>
      <c r="E603" s="42"/>
    </row>
    <row r="604" spans="4:5" ht="15.75" customHeight="1" x14ac:dyDescent="0.25">
      <c r="D604" s="42"/>
      <c r="E604" s="42"/>
    </row>
    <row r="605" spans="4:5" ht="15.75" customHeight="1" x14ac:dyDescent="0.25">
      <c r="D605" s="42"/>
      <c r="E605" s="42"/>
    </row>
    <row r="606" spans="4:5" ht="15.75" customHeight="1" x14ac:dyDescent="0.25">
      <c r="D606" s="42"/>
      <c r="E606" s="42"/>
    </row>
    <row r="607" spans="4:5" ht="15.75" customHeight="1" x14ac:dyDescent="0.25">
      <c r="D607" s="42"/>
      <c r="E607" s="42"/>
    </row>
    <row r="608" spans="4:5" ht="15.75" customHeight="1" x14ac:dyDescent="0.25">
      <c r="D608" s="42"/>
      <c r="E608" s="42"/>
    </row>
    <row r="609" spans="4:5" ht="15.75" customHeight="1" x14ac:dyDescent="0.25">
      <c r="D609" s="42"/>
      <c r="E609" s="42"/>
    </row>
    <row r="610" spans="4:5" ht="15.75" customHeight="1" x14ac:dyDescent="0.25">
      <c r="D610" s="42"/>
      <c r="E610" s="42"/>
    </row>
    <row r="611" spans="4:5" ht="15.75" customHeight="1" x14ac:dyDescent="0.25">
      <c r="D611" s="42"/>
      <c r="E611" s="42"/>
    </row>
    <row r="612" spans="4:5" ht="15.75" customHeight="1" x14ac:dyDescent="0.25">
      <c r="D612" s="42"/>
      <c r="E612" s="42"/>
    </row>
    <row r="613" spans="4:5" ht="15.75" customHeight="1" x14ac:dyDescent="0.25">
      <c r="D613" s="42"/>
      <c r="E613" s="42"/>
    </row>
    <row r="614" spans="4:5" ht="15.75" customHeight="1" x14ac:dyDescent="0.25">
      <c r="D614" s="42"/>
      <c r="E614" s="42"/>
    </row>
    <row r="615" spans="4:5" ht="15.75" customHeight="1" x14ac:dyDescent="0.25">
      <c r="D615" s="42"/>
      <c r="E615" s="42"/>
    </row>
    <row r="616" spans="4:5" ht="15.75" customHeight="1" x14ac:dyDescent="0.25">
      <c r="D616" s="42"/>
      <c r="E616" s="42"/>
    </row>
    <row r="617" spans="4:5" ht="15.75" customHeight="1" x14ac:dyDescent="0.25">
      <c r="D617" s="42"/>
      <c r="E617" s="42"/>
    </row>
    <row r="618" spans="4:5" ht="15.75" customHeight="1" x14ac:dyDescent="0.25">
      <c r="D618" s="42"/>
      <c r="E618" s="42"/>
    </row>
    <row r="619" spans="4:5" ht="15.75" customHeight="1" x14ac:dyDescent="0.25">
      <c r="D619" s="42"/>
      <c r="E619" s="42"/>
    </row>
    <row r="620" spans="4:5" ht="15.75" customHeight="1" x14ac:dyDescent="0.25">
      <c r="D620" s="42"/>
      <c r="E620" s="42"/>
    </row>
    <row r="621" spans="4:5" ht="15.75" customHeight="1" x14ac:dyDescent="0.25">
      <c r="D621" s="42"/>
      <c r="E621" s="42"/>
    </row>
    <row r="622" spans="4:5" ht="15.75" customHeight="1" x14ac:dyDescent="0.25">
      <c r="D622" s="42"/>
      <c r="E622" s="42"/>
    </row>
    <row r="623" spans="4:5" ht="15.75" customHeight="1" x14ac:dyDescent="0.25">
      <c r="D623" s="42"/>
      <c r="E623" s="42"/>
    </row>
    <row r="624" spans="4:5" ht="15.75" customHeight="1" x14ac:dyDescent="0.25">
      <c r="D624" s="42"/>
      <c r="E624" s="42"/>
    </row>
    <row r="625" spans="4:5" ht="15.75" customHeight="1" x14ac:dyDescent="0.25">
      <c r="D625" s="42"/>
      <c r="E625" s="42"/>
    </row>
    <row r="626" spans="4:5" ht="15.75" customHeight="1" x14ac:dyDescent="0.25">
      <c r="D626" s="42"/>
      <c r="E626" s="42"/>
    </row>
    <row r="627" spans="4:5" ht="15.75" customHeight="1" x14ac:dyDescent="0.25">
      <c r="D627" s="42"/>
      <c r="E627" s="42"/>
    </row>
    <row r="628" spans="4:5" ht="15.75" customHeight="1" x14ac:dyDescent="0.25">
      <c r="D628" s="42"/>
      <c r="E628" s="42"/>
    </row>
    <row r="629" spans="4:5" ht="15.75" customHeight="1" x14ac:dyDescent="0.25">
      <c r="D629" s="42"/>
      <c r="E629" s="42"/>
    </row>
    <row r="630" spans="4:5" ht="15.75" customHeight="1" x14ac:dyDescent="0.25">
      <c r="D630" s="42"/>
      <c r="E630" s="42"/>
    </row>
    <row r="631" spans="4:5" ht="15.75" customHeight="1" x14ac:dyDescent="0.25">
      <c r="D631" s="42"/>
      <c r="E631" s="42"/>
    </row>
    <row r="632" spans="4:5" ht="15.75" customHeight="1" x14ac:dyDescent="0.25">
      <c r="D632" s="42"/>
      <c r="E632" s="42"/>
    </row>
    <row r="633" spans="4:5" ht="15.75" customHeight="1" x14ac:dyDescent="0.25">
      <c r="D633" s="42"/>
      <c r="E633" s="42"/>
    </row>
    <row r="634" spans="4:5" ht="15.75" customHeight="1" x14ac:dyDescent="0.25">
      <c r="D634" s="42"/>
      <c r="E634" s="42"/>
    </row>
    <row r="635" spans="4:5" ht="15.75" customHeight="1" x14ac:dyDescent="0.25">
      <c r="D635" s="42"/>
      <c r="E635" s="42"/>
    </row>
    <row r="636" spans="4:5" ht="15.75" customHeight="1" x14ac:dyDescent="0.25">
      <c r="D636" s="42"/>
      <c r="E636" s="42"/>
    </row>
    <row r="637" spans="4:5" ht="15.75" customHeight="1" x14ac:dyDescent="0.25">
      <c r="D637" s="42"/>
      <c r="E637" s="42"/>
    </row>
    <row r="638" spans="4:5" ht="15.75" customHeight="1" x14ac:dyDescent="0.25">
      <c r="D638" s="42"/>
      <c r="E638" s="42"/>
    </row>
    <row r="639" spans="4:5" ht="15.75" customHeight="1" x14ac:dyDescent="0.25">
      <c r="D639" s="42"/>
      <c r="E639" s="42"/>
    </row>
    <row r="640" spans="4:5" ht="15.75" customHeight="1" x14ac:dyDescent="0.25">
      <c r="D640" s="42"/>
      <c r="E640" s="42"/>
    </row>
    <row r="641" spans="4:5" ht="15.75" customHeight="1" x14ac:dyDescent="0.25">
      <c r="D641" s="42"/>
      <c r="E641" s="42"/>
    </row>
    <row r="642" spans="4:5" ht="15.75" customHeight="1" x14ac:dyDescent="0.25">
      <c r="D642" s="42"/>
      <c r="E642" s="42"/>
    </row>
    <row r="643" spans="4:5" ht="15.75" customHeight="1" x14ac:dyDescent="0.25">
      <c r="D643" s="42"/>
      <c r="E643" s="42"/>
    </row>
    <row r="644" spans="4:5" ht="15.75" customHeight="1" x14ac:dyDescent="0.25">
      <c r="D644" s="42"/>
      <c r="E644" s="42"/>
    </row>
    <row r="645" spans="4:5" ht="15.75" customHeight="1" x14ac:dyDescent="0.25">
      <c r="D645" s="42"/>
      <c r="E645" s="42"/>
    </row>
    <row r="646" spans="4:5" ht="15.75" customHeight="1" x14ac:dyDescent="0.25">
      <c r="D646" s="42"/>
      <c r="E646" s="42"/>
    </row>
    <row r="647" spans="4:5" ht="15.75" customHeight="1" x14ac:dyDescent="0.25">
      <c r="D647" s="42"/>
      <c r="E647" s="42"/>
    </row>
    <row r="648" spans="4:5" ht="15.75" customHeight="1" x14ac:dyDescent="0.25">
      <c r="D648" s="42"/>
      <c r="E648" s="42"/>
    </row>
    <row r="649" spans="4:5" ht="15.75" customHeight="1" x14ac:dyDescent="0.25">
      <c r="D649" s="42"/>
      <c r="E649" s="42"/>
    </row>
    <row r="650" spans="4:5" ht="15.75" customHeight="1" x14ac:dyDescent="0.25">
      <c r="D650" s="42"/>
      <c r="E650" s="42"/>
    </row>
    <row r="651" spans="4:5" ht="15.75" customHeight="1" x14ac:dyDescent="0.25">
      <c r="D651" s="42"/>
      <c r="E651" s="42"/>
    </row>
    <row r="652" spans="4:5" ht="15.75" customHeight="1" x14ac:dyDescent="0.25">
      <c r="D652" s="42"/>
      <c r="E652" s="42"/>
    </row>
    <row r="653" spans="4:5" ht="15.75" customHeight="1" x14ac:dyDescent="0.25">
      <c r="D653" s="42"/>
      <c r="E653" s="42"/>
    </row>
    <row r="654" spans="4:5" ht="15.75" customHeight="1" x14ac:dyDescent="0.25">
      <c r="D654" s="42"/>
      <c r="E654" s="42"/>
    </row>
    <row r="655" spans="4:5" ht="15.75" customHeight="1" x14ac:dyDescent="0.25">
      <c r="D655" s="42"/>
      <c r="E655" s="42"/>
    </row>
    <row r="656" spans="4:5" ht="15.75" customHeight="1" x14ac:dyDescent="0.25">
      <c r="D656" s="42"/>
      <c r="E656" s="42"/>
    </row>
    <row r="657" spans="4:5" ht="15.75" customHeight="1" x14ac:dyDescent="0.25">
      <c r="D657" s="42"/>
      <c r="E657" s="42"/>
    </row>
    <row r="658" spans="4:5" ht="15.75" customHeight="1" x14ac:dyDescent="0.25">
      <c r="D658" s="42"/>
      <c r="E658" s="42"/>
    </row>
    <row r="659" spans="4:5" ht="15.75" customHeight="1" x14ac:dyDescent="0.25">
      <c r="D659" s="42"/>
      <c r="E659" s="42"/>
    </row>
    <row r="660" spans="4:5" ht="15.75" customHeight="1" x14ac:dyDescent="0.25">
      <c r="D660" s="42"/>
      <c r="E660" s="42"/>
    </row>
    <row r="661" spans="4:5" ht="15.75" customHeight="1" x14ac:dyDescent="0.25">
      <c r="D661" s="42"/>
      <c r="E661" s="42"/>
    </row>
    <row r="662" spans="4:5" ht="15.75" customHeight="1" x14ac:dyDescent="0.25">
      <c r="D662" s="42"/>
      <c r="E662" s="42"/>
    </row>
    <row r="663" spans="4:5" ht="15.75" customHeight="1" x14ac:dyDescent="0.25">
      <c r="D663" s="42"/>
      <c r="E663" s="42"/>
    </row>
    <row r="664" spans="4:5" ht="15.75" customHeight="1" x14ac:dyDescent="0.25">
      <c r="D664" s="42"/>
      <c r="E664" s="42"/>
    </row>
    <row r="665" spans="4:5" ht="15.75" customHeight="1" x14ac:dyDescent="0.25">
      <c r="D665" s="42"/>
      <c r="E665" s="42"/>
    </row>
    <row r="666" spans="4:5" ht="15.75" customHeight="1" x14ac:dyDescent="0.25">
      <c r="D666" s="42"/>
      <c r="E666" s="42"/>
    </row>
    <row r="667" spans="4:5" ht="15.75" customHeight="1" x14ac:dyDescent="0.25">
      <c r="D667" s="42"/>
      <c r="E667" s="42"/>
    </row>
    <row r="668" spans="4:5" ht="15.75" customHeight="1" x14ac:dyDescent="0.25">
      <c r="D668" s="42"/>
      <c r="E668" s="42"/>
    </row>
    <row r="669" spans="4:5" ht="15.75" customHeight="1" x14ac:dyDescent="0.25">
      <c r="D669" s="42"/>
      <c r="E669" s="42"/>
    </row>
    <row r="670" spans="4:5" ht="15.75" customHeight="1" x14ac:dyDescent="0.25">
      <c r="D670" s="42"/>
      <c r="E670" s="42"/>
    </row>
    <row r="671" spans="4:5" ht="15.75" customHeight="1" x14ac:dyDescent="0.25">
      <c r="D671" s="42"/>
      <c r="E671" s="42"/>
    </row>
    <row r="672" spans="4:5" ht="15.75" customHeight="1" x14ac:dyDescent="0.25">
      <c r="D672" s="42"/>
      <c r="E672" s="42"/>
    </row>
    <row r="673" spans="4:5" ht="15.75" customHeight="1" x14ac:dyDescent="0.25">
      <c r="D673" s="42"/>
      <c r="E673" s="42"/>
    </row>
    <row r="674" spans="4:5" ht="15.75" customHeight="1" x14ac:dyDescent="0.25">
      <c r="D674" s="42"/>
      <c r="E674" s="42"/>
    </row>
    <row r="675" spans="4:5" ht="15.75" customHeight="1" x14ac:dyDescent="0.25">
      <c r="D675" s="42"/>
      <c r="E675" s="42"/>
    </row>
    <row r="676" spans="4:5" ht="15.75" customHeight="1" x14ac:dyDescent="0.25">
      <c r="D676" s="42"/>
      <c r="E676" s="42"/>
    </row>
    <row r="677" spans="4:5" ht="15.75" customHeight="1" x14ac:dyDescent="0.25">
      <c r="D677" s="42"/>
      <c r="E677" s="42"/>
    </row>
    <row r="678" spans="4:5" ht="15.75" customHeight="1" x14ac:dyDescent="0.25">
      <c r="D678" s="42"/>
      <c r="E678" s="42"/>
    </row>
    <row r="679" spans="4:5" ht="15.75" customHeight="1" x14ac:dyDescent="0.25">
      <c r="D679" s="42"/>
      <c r="E679" s="42"/>
    </row>
    <row r="680" spans="4:5" ht="15.75" customHeight="1" x14ac:dyDescent="0.25">
      <c r="D680" s="42"/>
      <c r="E680" s="42"/>
    </row>
    <row r="681" spans="4:5" ht="15.75" customHeight="1" x14ac:dyDescent="0.25">
      <c r="D681" s="42"/>
      <c r="E681" s="42"/>
    </row>
    <row r="682" spans="4:5" ht="15.75" customHeight="1" x14ac:dyDescent="0.25">
      <c r="D682" s="42"/>
      <c r="E682" s="42"/>
    </row>
    <row r="683" spans="4:5" ht="15.75" customHeight="1" x14ac:dyDescent="0.25">
      <c r="D683" s="42"/>
      <c r="E683" s="42"/>
    </row>
    <row r="684" spans="4:5" ht="15.75" customHeight="1" x14ac:dyDescent="0.25">
      <c r="D684" s="42"/>
      <c r="E684" s="42"/>
    </row>
    <row r="685" spans="4:5" ht="15.75" customHeight="1" x14ac:dyDescent="0.25">
      <c r="D685" s="42"/>
      <c r="E685" s="42"/>
    </row>
    <row r="686" spans="4:5" ht="15.75" customHeight="1" x14ac:dyDescent="0.25">
      <c r="D686" s="42"/>
      <c r="E686" s="42"/>
    </row>
    <row r="687" spans="4:5" ht="15.75" customHeight="1" x14ac:dyDescent="0.25">
      <c r="D687" s="42"/>
      <c r="E687" s="42"/>
    </row>
    <row r="688" spans="4:5" ht="15.75" customHeight="1" x14ac:dyDescent="0.25">
      <c r="D688" s="42"/>
      <c r="E688" s="42"/>
    </row>
    <row r="689" spans="4:5" ht="15.75" customHeight="1" x14ac:dyDescent="0.25">
      <c r="D689" s="42"/>
      <c r="E689" s="42"/>
    </row>
    <row r="690" spans="4:5" ht="15.75" customHeight="1" x14ac:dyDescent="0.25">
      <c r="D690" s="42"/>
      <c r="E690" s="42"/>
    </row>
    <row r="691" spans="4:5" ht="15.75" customHeight="1" x14ac:dyDescent="0.25">
      <c r="D691" s="42"/>
      <c r="E691" s="42"/>
    </row>
    <row r="692" spans="4:5" ht="15.75" customHeight="1" x14ac:dyDescent="0.25">
      <c r="D692" s="42"/>
      <c r="E692" s="42"/>
    </row>
    <row r="693" spans="4:5" ht="15.75" customHeight="1" x14ac:dyDescent="0.25">
      <c r="D693" s="42"/>
      <c r="E693" s="42"/>
    </row>
    <row r="694" spans="4:5" ht="15.75" customHeight="1" x14ac:dyDescent="0.25">
      <c r="D694" s="42"/>
      <c r="E694" s="42"/>
    </row>
    <row r="695" spans="4:5" ht="15.75" customHeight="1" x14ac:dyDescent="0.25">
      <c r="D695" s="42"/>
      <c r="E695" s="42"/>
    </row>
    <row r="696" spans="4:5" ht="15.75" customHeight="1" x14ac:dyDescent="0.25">
      <c r="D696" s="42"/>
      <c r="E696" s="42"/>
    </row>
    <row r="697" spans="4:5" ht="15.75" customHeight="1" x14ac:dyDescent="0.25">
      <c r="D697" s="42"/>
      <c r="E697" s="42"/>
    </row>
    <row r="698" spans="4:5" ht="15.75" customHeight="1" x14ac:dyDescent="0.25">
      <c r="D698" s="42"/>
      <c r="E698" s="42"/>
    </row>
    <row r="699" spans="4:5" ht="15.75" customHeight="1" x14ac:dyDescent="0.25">
      <c r="D699" s="42"/>
      <c r="E699" s="42"/>
    </row>
    <row r="700" spans="4:5" ht="15.75" customHeight="1" x14ac:dyDescent="0.25">
      <c r="D700" s="42"/>
      <c r="E700" s="42"/>
    </row>
    <row r="701" spans="4:5" ht="15.75" customHeight="1" x14ac:dyDescent="0.25">
      <c r="D701" s="42"/>
      <c r="E701" s="42"/>
    </row>
    <row r="702" spans="4:5" ht="15.75" customHeight="1" x14ac:dyDescent="0.25">
      <c r="D702" s="42"/>
      <c r="E702" s="42"/>
    </row>
    <row r="703" spans="4:5" ht="15.75" customHeight="1" x14ac:dyDescent="0.25">
      <c r="D703" s="42"/>
      <c r="E703" s="42"/>
    </row>
    <row r="704" spans="4:5" ht="15.75" customHeight="1" x14ac:dyDescent="0.25">
      <c r="D704" s="42"/>
      <c r="E704" s="42"/>
    </row>
    <row r="705" spans="4:5" ht="15.75" customHeight="1" x14ac:dyDescent="0.25">
      <c r="D705" s="42"/>
      <c r="E705" s="42"/>
    </row>
    <row r="706" spans="4:5" ht="15.75" customHeight="1" x14ac:dyDescent="0.25">
      <c r="D706" s="42"/>
      <c r="E706" s="42"/>
    </row>
    <row r="707" spans="4:5" ht="15.75" customHeight="1" x14ac:dyDescent="0.25">
      <c r="D707" s="42"/>
      <c r="E707" s="42"/>
    </row>
    <row r="708" spans="4:5" ht="15.75" customHeight="1" x14ac:dyDescent="0.25">
      <c r="D708" s="42"/>
      <c r="E708" s="42"/>
    </row>
    <row r="709" spans="4:5" ht="15.75" customHeight="1" x14ac:dyDescent="0.25">
      <c r="D709" s="42"/>
      <c r="E709" s="42"/>
    </row>
    <row r="710" spans="4:5" ht="15.75" customHeight="1" x14ac:dyDescent="0.25">
      <c r="D710" s="42"/>
      <c r="E710" s="42"/>
    </row>
    <row r="711" spans="4:5" ht="15.75" customHeight="1" x14ac:dyDescent="0.25">
      <c r="D711" s="42"/>
      <c r="E711" s="42"/>
    </row>
    <row r="712" spans="4:5" ht="15.75" customHeight="1" x14ac:dyDescent="0.25">
      <c r="D712" s="42"/>
      <c r="E712" s="42"/>
    </row>
    <row r="713" spans="4:5" ht="15.75" customHeight="1" x14ac:dyDescent="0.25">
      <c r="D713" s="42"/>
      <c r="E713" s="42"/>
    </row>
    <row r="714" spans="4:5" ht="15.75" customHeight="1" x14ac:dyDescent="0.25">
      <c r="D714" s="42"/>
      <c r="E714" s="42"/>
    </row>
    <row r="715" spans="4:5" ht="15.75" customHeight="1" x14ac:dyDescent="0.25">
      <c r="D715" s="42"/>
      <c r="E715" s="42"/>
    </row>
    <row r="716" spans="4:5" ht="15.75" customHeight="1" x14ac:dyDescent="0.25">
      <c r="D716" s="42"/>
      <c r="E716" s="42"/>
    </row>
    <row r="717" spans="4:5" ht="15.75" customHeight="1" x14ac:dyDescent="0.25">
      <c r="D717" s="42"/>
      <c r="E717" s="42"/>
    </row>
    <row r="718" spans="4:5" ht="15.75" customHeight="1" x14ac:dyDescent="0.25">
      <c r="D718" s="42"/>
      <c r="E718" s="42"/>
    </row>
    <row r="719" spans="4:5" ht="15.75" customHeight="1" x14ac:dyDescent="0.25">
      <c r="D719" s="42"/>
      <c r="E719" s="42"/>
    </row>
    <row r="720" spans="4:5" ht="15.75" customHeight="1" x14ac:dyDescent="0.25">
      <c r="D720" s="42"/>
      <c r="E720" s="42"/>
    </row>
    <row r="721" spans="4:5" ht="15.75" customHeight="1" x14ac:dyDescent="0.25">
      <c r="D721" s="42"/>
      <c r="E721" s="42"/>
    </row>
    <row r="722" spans="4:5" ht="15.75" customHeight="1" x14ac:dyDescent="0.25">
      <c r="D722" s="42"/>
      <c r="E722" s="42"/>
    </row>
    <row r="723" spans="4:5" ht="15.75" customHeight="1" x14ac:dyDescent="0.25">
      <c r="D723" s="42"/>
      <c r="E723" s="42"/>
    </row>
    <row r="724" spans="4:5" ht="15.75" customHeight="1" x14ac:dyDescent="0.25">
      <c r="D724" s="42"/>
      <c r="E724" s="42"/>
    </row>
    <row r="725" spans="4:5" ht="15.75" customHeight="1" x14ac:dyDescent="0.25">
      <c r="D725" s="42"/>
      <c r="E725" s="42"/>
    </row>
    <row r="726" spans="4:5" ht="15.75" customHeight="1" x14ac:dyDescent="0.25">
      <c r="D726" s="42"/>
      <c r="E726" s="42"/>
    </row>
    <row r="727" spans="4:5" ht="15.75" customHeight="1" x14ac:dyDescent="0.25">
      <c r="D727" s="42"/>
      <c r="E727" s="42"/>
    </row>
    <row r="728" spans="4:5" ht="15.75" customHeight="1" x14ac:dyDescent="0.25">
      <c r="D728" s="42"/>
      <c r="E728" s="42"/>
    </row>
    <row r="729" spans="4:5" ht="15.75" customHeight="1" x14ac:dyDescent="0.25">
      <c r="D729" s="42"/>
      <c r="E729" s="42"/>
    </row>
    <row r="730" spans="4:5" ht="15.75" customHeight="1" x14ac:dyDescent="0.25">
      <c r="D730" s="42"/>
      <c r="E730" s="42"/>
    </row>
    <row r="731" spans="4:5" ht="15.75" customHeight="1" x14ac:dyDescent="0.25">
      <c r="D731" s="42"/>
      <c r="E731" s="42"/>
    </row>
    <row r="732" spans="4:5" ht="15.75" customHeight="1" x14ac:dyDescent="0.25">
      <c r="D732" s="42"/>
      <c r="E732" s="42"/>
    </row>
    <row r="733" spans="4:5" ht="15.75" customHeight="1" x14ac:dyDescent="0.25">
      <c r="D733" s="42"/>
      <c r="E733" s="42"/>
    </row>
    <row r="734" spans="4:5" ht="15.75" customHeight="1" x14ac:dyDescent="0.25">
      <c r="D734" s="42"/>
      <c r="E734" s="42"/>
    </row>
    <row r="735" spans="4:5" ht="15.75" customHeight="1" x14ac:dyDescent="0.25">
      <c r="D735" s="42"/>
      <c r="E735" s="42"/>
    </row>
    <row r="736" spans="4:5" ht="15.75" customHeight="1" x14ac:dyDescent="0.25">
      <c r="D736" s="42"/>
      <c r="E736" s="42"/>
    </row>
    <row r="737" spans="4:5" ht="15.75" customHeight="1" x14ac:dyDescent="0.25">
      <c r="D737" s="42"/>
      <c r="E737" s="42"/>
    </row>
    <row r="738" spans="4:5" ht="15.75" customHeight="1" x14ac:dyDescent="0.25">
      <c r="D738" s="42"/>
      <c r="E738" s="42"/>
    </row>
    <row r="739" spans="4:5" ht="15.75" customHeight="1" x14ac:dyDescent="0.25">
      <c r="D739" s="42"/>
      <c r="E739" s="42"/>
    </row>
    <row r="740" spans="4:5" ht="15.75" customHeight="1" x14ac:dyDescent="0.25">
      <c r="D740" s="42"/>
      <c r="E740" s="42"/>
    </row>
    <row r="741" spans="4:5" ht="15.75" customHeight="1" x14ac:dyDescent="0.25">
      <c r="D741" s="42"/>
      <c r="E741" s="42"/>
    </row>
    <row r="742" spans="4:5" ht="15.75" customHeight="1" x14ac:dyDescent="0.25">
      <c r="D742" s="42"/>
      <c r="E742" s="42"/>
    </row>
    <row r="743" spans="4:5" ht="15.75" customHeight="1" x14ac:dyDescent="0.25">
      <c r="D743" s="42"/>
      <c r="E743" s="42"/>
    </row>
    <row r="744" spans="4:5" ht="15.75" customHeight="1" x14ac:dyDescent="0.25">
      <c r="D744" s="42"/>
      <c r="E744" s="42"/>
    </row>
    <row r="745" spans="4:5" ht="15.75" customHeight="1" x14ac:dyDescent="0.25">
      <c r="D745" s="42"/>
      <c r="E745" s="42"/>
    </row>
    <row r="746" spans="4:5" ht="15.75" customHeight="1" x14ac:dyDescent="0.25">
      <c r="D746" s="42"/>
      <c r="E746" s="42"/>
    </row>
    <row r="747" spans="4:5" ht="15.75" customHeight="1" x14ac:dyDescent="0.25">
      <c r="D747" s="42"/>
      <c r="E747" s="42"/>
    </row>
    <row r="748" spans="4:5" ht="15.75" customHeight="1" x14ac:dyDescent="0.25">
      <c r="D748" s="42"/>
      <c r="E748" s="42"/>
    </row>
    <row r="749" spans="4:5" ht="15.75" customHeight="1" x14ac:dyDescent="0.25">
      <c r="D749" s="42"/>
      <c r="E749" s="42"/>
    </row>
    <row r="750" spans="4:5" ht="15.75" customHeight="1" x14ac:dyDescent="0.25">
      <c r="D750" s="42"/>
      <c r="E750" s="42"/>
    </row>
    <row r="751" spans="4:5" ht="15.75" customHeight="1" x14ac:dyDescent="0.25">
      <c r="D751" s="42"/>
      <c r="E751" s="42"/>
    </row>
    <row r="752" spans="4:5" ht="15.75" customHeight="1" x14ac:dyDescent="0.25">
      <c r="D752" s="42"/>
      <c r="E752" s="42"/>
    </row>
    <row r="753" spans="4:5" ht="15.75" customHeight="1" x14ac:dyDescent="0.25">
      <c r="D753" s="42"/>
      <c r="E753" s="42"/>
    </row>
    <row r="754" spans="4:5" ht="15.75" customHeight="1" x14ac:dyDescent="0.25">
      <c r="D754" s="42"/>
      <c r="E754" s="42"/>
    </row>
    <row r="755" spans="4:5" ht="15.75" customHeight="1" x14ac:dyDescent="0.25">
      <c r="D755" s="42"/>
      <c r="E755" s="42"/>
    </row>
    <row r="756" spans="4:5" ht="15.75" customHeight="1" x14ac:dyDescent="0.25">
      <c r="D756" s="42"/>
      <c r="E756" s="42"/>
    </row>
    <row r="757" spans="4:5" ht="15.75" customHeight="1" x14ac:dyDescent="0.25">
      <c r="D757" s="42"/>
      <c r="E757" s="42"/>
    </row>
    <row r="758" spans="4:5" ht="15.75" customHeight="1" x14ac:dyDescent="0.25">
      <c r="D758" s="42"/>
      <c r="E758" s="42"/>
    </row>
    <row r="759" spans="4:5" ht="15.75" customHeight="1" x14ac:dyDescent="0.25">
      <c r="D759" s="42"/>
      <c r="E759" s="42"/>
    </row>
    <row r="760" spans="4:5" ht="15.75" customHeight="1" x14ac:dyDescent="0.25">
      <c r="D760" s="42"/>
      <c r="E760" s="42"/>
    </row>
    <row r="761" spans="4:5" ht="15.75" customHeight="1" x14ac:dyDescent="0.25">
      <c r="D761" s="42"/>
      <c r="E761" s="42"/>
    </row>
    <row r="762" spans="4:5" ht="15.75" customHeight="1" x14ac:dyDescent="0.25">
      <c r="D762" s="42"/>
      <c r="E762" s="42"/>
    </row>
    <row r="763" spans="4:5" ht="15.75" customHeight="1" x14ac:dyDescent="0.25">
      <c r="D763" s="42"/>
      <c r="E763" s="42"/>
    </row>
    <row r="764" spans="4:5" ht="15.75" customHeight="1" x14ac:dyDescent="0.25">
      <c r="D764" s="42"/>
      <c r="E764" s="42"/>
    </row>
    <row r="765" spans="4:5" ht="15.75" customHeight="1" x14ac:dyDescent="0.25">
      <c r="D765" s="42"/>
      <c r="E765" s="42"/>
    </row>
    <row r="766" spans="4:5" ht="15.75" customHeight="1" x14ac:dyDescent="0.25">
      <c r="D766" s="42"/>
      <c r="E766" s="42"/>
    </row>
    <row r="767" spans="4:5" ht="15.75" customHeight="1" x14ac:dyDescent="0.25">
      <c r="D767" s="42"/>
      <c r="E767" s="42"/>
    </row>
    <row r="768" spans="4:5" ht="15.75" customHeight="1" x14ac:dyDescent="0.25">
      <c r="D768" s="42"/>
      <c r="E768" s="42"/>
    </row>
    <row r="769" spans="4:5" ht="15.75" customHeight="1" x14ac:dyDescent="0.25">
      <c r="D769" s="42"/>
      <c r="E769" s="42"/>
    </row>
    <row r="770" spans="4:5" ht="15.75" customHeight="1" x14ac:dyDescent="0.25">
      <c r="D770" s="42"/>
      <c r="E770" s="42"/>
    </row>
    <row r="771" spans="4:5" ht="15.75" customHeight="1" x14ac:dyDescent="0.25">
      <c r="D771" s="42"/>
      <c r="E771" s="42"/>
    </row>
    <row r="772" spans="4:5" ht="15.75" customHeight="1" x14ac:dyDescent="0.25">
      <c r="D772" s="42"/>
      <c r="E772" s="42"/>
    </row>
    <row r="773" spans="4:5" ht="15.75" customHeight="1" x14ac:dyDescent="0.25">
      <c r="D773" s="42"/>
      <c r="E773" s="42"/>
    </row>
    <row r="774" spans="4:5" ht="15.75" customHeight="1" x14ac:dyDescent="0.25">
      <c r="D774" s="42"/>
      <c r="E774" s="42"/>
    </row>
    <row r="775" spans="4:5" ht="15.75" customHeight="1" x14ac:dyDescent="0.25">
      <c r="D775" s="42"/>
      <c r="E775" s="42"/>
    </row>
    <row r="776" spans="4:5" ht="15.75" customHeight="1" x14ac:dyDescent="0.25">
      <c r="D776" s="42"/>
      <c r="E776" s="42"/>
    </row>
    <row r="777" spans="4:5" ht="15.75" customHeight="1" x14ac:dyDescent="0.25">
      <c r="D777" s="42"/>
      <c r="E777" s="42"/>
    </row>
    <row r="778" spans="4:5" ht="15.75" customHeight="1" x14ac:dyDescent="0.25">
      <c r="D778" s="42"/>
      <c r="E778" s="42"/>
    </row>
    <row r="779" spans="4:5" ht="15.75" customHeight="1" x14ac:dyDescent="0.25">
      <c r="D779" s="42"/>
      <c r="E779" s="42"/>
    </row>
    <row r="780" spans="4:5" ht="15.75" customHeight="1" x14ac:dyDescent="0.25">
      <c r="D780" s="42"/>
      <c r="E780" s="42"/>
    </row>
    <row r="781" spans="4:5" ht="15.75" customHeight="1" x14ac:dyDescent="0.25">
      <c r="D781" s="42"/>
      <c r="E781" s="42"/>
    </row>
    <row r="782" spans="4:5" ht="15.75" customHeight="1" x14ac:dyDescent="0.25">
      <c r="D782" s="42"/>
      <c r="E782" s="42"/>
    </row>
    <row r="783" spans="4:5" ht="15.75" customHeight="1" x14ac:dyDescent="0.25">
      <c r="D783" s="42"/>
      <c r="E783" s="42"/>
    </row>
    <row r="784" spans="4:5" ht="15.75" customHeight="1" x14ac:dyDescent="0.25">
      <c r="D784" s="42"/>
      <c r="E784" s="42"/>
    </row>
    <row r="785" spans="4:5" ht="15.75" customHeight="1" x14ac:dyDescent="0.25">
      <c r="D785" s="42"/>
      <c r="E785" s="42"/>
    </row>
    <row r="786" spans="4:5" ht="15.75" customHeight="1" x14ac:dyDescent="0.25">
      <c r="D786" s="42"/>
      <c r="E786" s="42"/>
    </row>
    <row r="787" spans="4:5" ht="15.75" customHeight="1" x14ac:dyDescent="0.25">
      <c r="D787" s="42"/>
      <c r="E787" s="42"/>
    </row>
    <row r="788" spans="4:5" ht="15.75" customHeight="1" x14ac:dyDescent="0.25">
      <c r="D788" s="42"/>
      <c r="E788" s="42"/>
    </row>
    <row r="789" spans="4:5" ht="15.75" customHeight="1" x14ac:dyDescent="0.25">
      <c r="D789" s="42"/>
      <c r="E789" s="42"/>
    </row>
    <row r="790" spans="4:5" ht="15.75" customHeight="1" x14ac:dyDescent="0.25">
      <c r="D790" s="42"/>
      <c r="E790" s="42"/>
    </row>
    <row r="791" spans="4:5" ht="15.75" customHeight="1" x14ac:dyDescent="0.25">
      <c r="D791" s="42"/>
      <c r="E791" s="42"/>
    </row>
    <row r="792" spans="4:5" ht="15.75" customHeight="1" x14ac:dyDescent="0.25">
      <c r="D792" s="42"/>
      <c r="E792" s="42"/>
    </row>
    <row r="793" spans="4:5" ht="15.75" customHeight="1" x14ac:dyDescent="0.25">
      <c r="D793" s="42"/>
      <c r="E793" s="42"/>
    </row>
    <row r="794" spans="4:5" ht="15.75" customHeight="1" x14ac:dyDescent="0.25">
      <c r="D794" s="42"/>
      <c r="E794" s="42"/>
    </row>
    <row r="795" spans="4:5" ht="15.75" customHeight="1" x14ac:dyDescent="0.25">
      <c r="D795" s="42"/>
      <c r="E795" s="42"/>
    </row>
    <row r="796" spans="4:5" ht="15.75" customHeight="1" x14ac:dyDescent="0.25">
      <c r="D796" s="42"/>
      <c r="E796" s="42"/>
    </row>
    <row r="797" spans="4:5" ht="15.75" customHeight="1" x14ac:dyDescent="0.25">
      <c r="D797" s="42"/>
      <c r="E797" s="42"/>
    </row>
    <row r="798" spans="4:5" ht="15.75" customHeight="1" x14ac:dyDescent="0.25">
      <c r="D798" s="42"/>
      <c r="E798" s="42"/>
    </row>
    <row r="799" spans="4:5" ht="15.75" customHeight="1" x14ac:dyDescent="0.25">
      <c r="D799" s="42"/>
      <c r="E799" s="42"/>
    </row>
    <row r="800" spans="4:5" ht="15.75" customHeight="1" x14ac:dyDescent="0.25">
      <c r="D800" s="42"/>
      <c r="E800" s="42"/>
    </row>
    <row r="801" spans="4:5" ht="15.75" customHeight="1" x14ac:dyDescent="0.25">
      <c r="D801" s="42"/>
      <c r="E801" s="42"/>
    </row>
    <row r="802" spans="4:5" ht="15.75" customHeight="1" x14ac:dyDescent="0.25">
      <c r="D802" s="42"/>
      <c r="E802" s="42"/>
    </row>
    <row r="803" spans="4:5" ht="15.75" customHeight="1" x14ac:dyDescent="0.25">
      <c r="D803" s="42"/>
      <c r="E803" s="42"/>
    </row>
    <row r="804" spans="4:5" ht="15.75" customHeight="1" x14ac:dyDescent="0.25">
      <c r="D804" s="42"/>
      <c r="E804" s="42"/>
    </row>
    <row r="805" spans="4:5" ht="15.75" customHeight="1" x14ac:dyDescent="0.25">
      <c r="D805" s="42"/>
      <c r="E805" s="42"/>
    </row>
    <row r="806" spans="4:5" ht="15.75" customHeight="1" x14ac:dyDescent="0.25">
      <c r="D806" s="42"/>
      <c r="E806" s="42"/>
    </row>
    <row r="807" spans="4:5" ht="15.75" customHeight="1" x14ac:dyDescent="0.25">
      <c r="D807" s="42"/>
      <c r="E807" s="42"/>
    </row>
    <row r="808" spans="4:5" ht="15.75" customHeight="1" x14ac:dyDescent="0.25">
      <c r="D808" s="42"/>
      <c r="E808" s="42"/>
    </row>
    <row r="809" spans="4:5" ht="15.75" customHeight="1" x14ac:dyDescent="0.25">
      <c r="D809" s="42"/>
      <c r="E809" s="42"/>
    </row>
    <row r="810" spans="4:5" ht="15.75" customHeight="1" x14ac:dyDescent="0.25">
      <c r="D810" s="42"/>
      <c r="E810" s="42"/>
    </row>
    <row r="811" spans="4:5" ht="15.75" customHeight="1" x14ac:dyDescent="0.25">
      <c r="D811" s="42"/>
      <c r="E811" s="42"/>
    </row>
    <row r="812" spans="4:5" ht="15.75" customHeight="1" x14ac:dyDescent="0.25">
      <c r="D812" s="42"/>
      <c r="E812" s="42"/>
    </row>
    <row r="813" spans="4:5" ht="15.75" customHeight="1" x14ac:dyDescent="0.25">
      <c r="D813" s="42"/>
      <c r="E813" s="42"/>
    </row>
    <row r="814" spans="4:5" ht="15.75" customHeight="1" x14ac:dyDescent="0.25">
      <c r="D814" s="42"/>
      <c r="E814" s="42"/>
    </row>
    <row r="815" spans="4:5" ht="15.75" customHeight="1" x14ac:dyDescent="0.25">
      <c r="D815" s="42"/>
      <c r="E815" s="42"/>
    </row>
    <row r="816" spans="4:5" ht="15.75" customHeight="1" x14ac:dyDescent="0.25">
      <c r="D816" s="42"/>
      <c r="E816" s="42"/>
    </row>
    <row r="817" spans="4:5" ht="15.75" customHeight="1" x14ac:dyDescent="0.25">
      <c r="D817" s="42"/>
      <c r="E817" s="42"/>
    </row>
    <row r="818" spans="4:5" ht="15.75" customHeight="1" x14ac:dyDescent="0.25">
      <c r="D818" s="42"/>
      <c r="E818" s="42"/>
    </row>
    <row r="819" spans="4:5" ht="15.75" customHeight="1" x14ac:dyDescent="0.25">
      <c r="D819" s="42"/>
      <c r="E819" s="42"/>
    </row>
    <row r="820" spans="4:5" ht="15.75" customHeight="1" x14ac:dyDescent="0.25">
      <c r="D820" s="42"/>
      <c r="E820" s="42"/>
    </row>
    <row r="821" spans="4:5" ht="15.75" customHeight="1" x14ac:dyDescent="0.25">
      <c r="D821" s="42"/>
      <c r="E821" s="42"/>
    </row>
    <row r="822" spans="4:5" ht="15.75" customHeight="1" x14ac:dyDescent="0.25">
      <c r="D822" s="42"/>
      <c r="E822" s="42"/>
    </row>
    <row r="823" spans="4:5" ht="15.75" customHeight="1" x14ac:dyDescent="0.25">
      <c r="D823" s="42"/>
      <c r="E823" s="42"/>
    </row>
    <row r="824" spans="4:5" ht="15.75" customHeight="1" x14ac:dyDescent="0.25">
      <c r="D824" s="42"/>
      <c r="E824" s="42"/>
    </row>
    <row r="825" spans="4:5" ht="15.75" customHeight="1" x14ac:dyDescent="0.25">
      <c r="D825" s="42"/>
      <c r="E825" s="42"/>
    </row>
    <row r="826" spans="4:5" ht="15.75" customHeight="1" x14ac:dyDescent="0.25">
      <c r="D826" s="42"/>
      <c r="E826" s="42"/>
    </row>
    <row r="827" spans="4:5" ht="15.75" customHeight="1" x14ac:dyDescent="0.25">
      <c r="D827" s="42"/>
      <c r="E827" s="42"/>
    </row>
    <row r="828" spans="4:5" ht="15.75" customHeight="1" x14ac:dyDescent="0.25">
      <c r="D828" s="42"/>
      <c r="E828" s="42"/>
    </row>
    <row r="829" spans="4:5" ht="15.75" customHeight="1" x14ac:dyDescent="0.25">
      <c r="D829" s="42"/>
      <c r="E829" s="42"/>
    </row>
    <row r="830" spans="4:5" ht="15.75" customHeight="1" x14ac:dyDescent="0.25">
      <c r="D830" s="42"/>
      <c r="E830" s="42"/>
    </row>
    <row r="831" spans="4:5" ht="15.75" customHeight="1" x14ac:dyDescent="0.25">
      <c r="D831" s="42"/>
      <c r="E831" s="42"/>
    </row>
    <row r="832" spans="4:5" ht="15.75" customHeight="1" x14ac:dyDescent="0.25">
      <c r="D832" s="42"/>
      <c r="E832" s="42"/>
    </row>
    <row r="833" spans="4:5" ht="15.75" customHeight="1" x14ac:dyDescent="0.25">
      <c r="D833" s="42"/>
      <c r="E833" s="42"/>
    </row>
    <row r="834" spans="4:5" ht="15.75" customHeight="1" x14ac:dyDescent="0.25">
      <c r="D834" s="42"/>
      <c r="E834" s="42"/>
    </row>
    <row r="835" spans="4:5" ht="15.75" customHeight="1" x14ac:dyDescent="0.25">
      <c r="D835" s="42"/>
      <c r="E835" s="42"/>
    </row>
    <row r="836" spans="4:5" ht="15.75" customHeight="1" x14ac:dyDescent="0.25">
      <c r="D836" s="42"/>
      <c r="E836" s="42"/>
    </row>
    <row r="837" spans="4:5" ht="15.75" customHeight="1" x14ac:dyDescent="0.25">
      <c r="D837" s="42"/>
      <c r="E837" s="42"/>
    </row>
    <row r="838" spans="4:5" ht="15.75" customHeight="1" x14ac:dyDescent="0.25">
      <c r="D838" s="42"/>
      <c r="E838" s="42"/>
    </row>
    <row r="839" spans="4:5" ht="15.75" customHeight="1" x14ac:dyDescent="0.25">
      <c r="D839" s="42"/>
      <c r="E839" s="42"/>
    </row>
    <row r="840" spans="4:5" ht="15.75" customHeight="1" x14ac:dyDescent="0.25">
      <c r="D840" s="42"/>
      <c r="E840" s="42"/>
    </row>
    <row r="841" spans="4:5" ht="15.75" customHeight="1" x14ac:dyDescent="0.25">
      <c r="D841" s="42"/>
      <c r="E841" s="42"/>
    </row>
    <row r="842" spans="4:5" ht="15.75" customHeight="1" x14ac:dyDescent="0.25">
      <c r="D842" s="42"/>
      <c r="E842" s="42"/>
    </row>
    <row r="843" spans="4:5" ht="15.75" customHeight="1" x14ac:dyDescent="0.25">
      <c r="D843" s="42"/>
      <c r="E843" s="42"/>
    </row>
    <row r="844" spans="4:5" ht="15.75" customHeight="1" x14ac:dyDescent="0.25">
      <c r="D844" s="42"/>
      <c r="E844" s="42"/>
    </row>
    <row r="845" spans="4:5" ht="15.75" customHeight="1" x14ac:dyDescent="0.25">
      <c r="D845" s="42"/>
      <c r="E845" s="42"/>
    </row>
    <row r="846" spans="4:5" ht="15.75" customHeight="1" x14ac:dyDescent="0.25">
      <c r="D846" s="42"/>
      <c r="E846" s="42"/>
    </row>
    <row r="847" spans="4:5" ht="15.75" customHeight="1" x14ac:dyDescent="0.25">
      <c r="D847" s="42"/>
      <c r="E847" s="42"/>
    </row>
    <row r="848" spans="4:5" ht="15.75" customHeight="1" x14ac:dyDescent="0.25">
      <c r="D848" s="42"/>
      <c r="E848" s="42"/>
    </row>
    <row r="849" spans="4:5" ht="15.75" customHeight="1" x14ac:dyDescent="0.25">
      <c r="D849" s="42"/>
      <c r="E849" s="42"/>
    </row>
    <row r="850" spans="4:5" ht="15.75" customHeight="1" x14ac:dyDescent="0.25">
      <c r="D850" s="42"/>
      <c r="E850" s="42"/>
    </row>
    <row r="851" spans="4:5" ht="15.75" customHeight="1" x14ac:dyDescent="0.25">
      <c r="D851" s="42"/>
      <c r="E851" s="42"/>
    </row>
    <row r="852" spans="4:5" ht="15.75" customHeight="1" x14ac:dyDescent="0.25">
      <c r="D852" s="42"/>
      <c r="E852" s="42"/>
    </row>
    <row r="853" spans="4:5" ht="15.75" customHeight="1" x14ac:dyDescent="0.25">
      <c r="D853" s="42"/>
      <c r="E853" s="42"/>
    </row>
    <row r="854" spans="4:5" ht="15.75" customHeight="1" x14ac:dyDescent="0.25">
      <c r="D854" s="42"/>
      <c r="E854" s="42"/>
    </row>
    <row r="855" spans="4:5" ht="15.75" customHeight="1" x14ac:dyDescent="0.25">
      <c r="D855" s="42"/>
      <c r="E855" s="42"/>
    </row>
    <row r="856" spans="4:5" ht="15.75" customHeight="1" x14ac:dyDescent="0.25">
      <c r="D856" s="42"/>
      <c r="E856" s="42"/>
    </row>
    <row r="857" spans="4:5" ht="15.75" customHeight="1" x14ac:dyDescent="0.25">
      <c r="D857" s="42"/>
      <c r="E857" s="42"/>
    </row>
    <row r="858" spans="4:5" ht="15.75" customHeight="1" x14ac:dyDescent="0.25">
      <c r="D858" s="42"/>
      <c r="E858" s="42"/>
    </row>
    <row r="859" spans="4:5" ht="15.75" customHeight="1" x14ac:dyDescent="0.25">
      <c r="D859" s="42"/>
      <c r="E859" s="42"/>
    </row>
    <row r="860" spans="4:5" ht="15.75" customHeight="1" x14ac:dyDescent="0.25">
      <c r="D860" s="42"/>
      <c r="E860" s="42"/>
    </row>
    <row r="861" spans="4:5" ht="15.75" customHeight="1" x14ac:dyDescent="0.25">
      <c r="D861" s="42"/>
      <c r="E861" s="42"/>
    </row>
    <row r="862" spans="4:5" ht="15.75" customHeight="1" x14ac:dyDescent="0.25">
      <c r="D862" s="42"/>
      <c r="E862" s="42"/>
    </row>
    <row r="863" spans="4:5" ht="15.75" customHeight="1" x14ac:dyDescent="0.25">
      <c r="D863" s="42"/>
      <c r="E863" s="42"/>
    </row>
    <row r="864" spans="4:5" ht="15.75" customHeight="1" x14ac:dyDescent="0.25">
      <c r="D864" s="42"/>
      <c r="E864" s="42"/>
    </row>
    <row r="865" spans="4:5" ht="15.75" customHeight="1" x14ac:dyDescent="0.25">
      <c r="D865" s="42"/>
      <c r="E865" s="42"/>
    </row>
    <row r="866" spans="4:5" ht="15.75" customHeight="1" x14ac:dyDescent="0.25">
      <c r="D866" s="42"/>
      <c r="E866" s="42"/>
    </row>
    <row r="867" spans="4:5" ht="15.75" customHeight="1" x14ac:dyDescent="0.25">
      <c r="D867" s="42"/>
      <c r="E867" s="42"/>
    </row>
    <row r="868" spans="4:5" ht="15.75" customHeight="1" x14ac:dyDescent="0.25">
      <c r="D868" s="42"/>
      <c r="E868" s="42"/>
    </row>
    <row r="869" spans="4:5" ht="15.75" customHeight="1" x14ac:dyDescent="0.25">
      <c r="D869" s="42"/>
      <c r="E869" s="42"/>
    </row>
    <row r="870" spans="4:5" ht="15.75" customHeight="1" x14ac:dyDescent="0.25">
      <c r="D870" s="42"/>
      <c r="E870" s="42"/>
    </row>
    <row r="871" spans="4:5" ht="15.75" customHeight="1" x14ac:dyDescent="0.25">
      <c r="D871" s="42"/>
      <c r="E871" s="42"/>
    </row>
    <row r="872" spans="4:5" ht="15.75" customHeight="1" x14ac:dyDescent="0.25">
      <c r="D872" s="42"/>
      <c r="E872" s="42"/>
    </row>
    <row r="873" spans="4:5" ht="15.75" customHeight="1" x14ac:dyDescent="0.25">
      <c r="D873" s="42"/>
      <c r="E873" s="42"/>
    </row>
    <row r="874" spans="4:5" ht="15.75" customHeight="1" x14ac:dyDescent="0.25">
      <c r="D874" s="42"/>
      <c r="E874" s="42"/>
    </row>
    <row r="875" spans="4:5" ht="15.75" customHeight="1" x14ac:dyDescent="0.25">
      <c r="D875" s="42"/>
      <c r="E875" s="42"/>
    </row>
    <row r="876" spans="4:5" ht="15.75" customHeight="1" x14ac:dyDescent="0.25">
      <c r="D876" s="42"/>
      <c r="E876" s="42"/>
    </row>
    <row r="877" spans="4:5" ht="15.75" customHeight="1" x14ac:dyDescent="0.25">
      <c r="D877" s="42"/>
      <c r="E877" s="42"/>
    </row>
    <row r="878" spans="4:5" ht="15.75" customHeight="1" x14ac:dyDescent="0.25">
      <c r="D878" s="42"/>
      <c r="E878" s="42"/>
    </row>
    <row r="879" spans="4:5" ht="15.75" customHeight="1" x14ac:dyDescent="0.25">
      <c r="D879" s="42"/>
      <c r="E879" s="42"/>
    </row>
    <row r="880" spans="4:5" ht="15.75" customHeight="1" x14ac:dyDescent="0.25">
      <c r="D880" s="42"/>
      <c r="E880" s="42"/>
    </row>
    <row r="881" spans="4:5" ht="15.75" customHeight="1" x14ac:dyDescent="0.25">
      <c r="D881" s="42"/>
      <c r="E881" s="42"/>
    </row>
    <row r="882" spans="4:5" ht="15.75" customHeight="1" x14ac:dyDescent="0.25">
      <c r="D882" s="42"/>
      <c r="E882" s="42"/>
    </row>
    <row r="883" spans="4:5" ht="15.75" customHeight="1" x14ac:dyDescent="0.25">
      <c r="D883" s="42"/>
      <c r="E883" s="42"/>
    </row>
    <row r="884" spans="4:5" ht="15.75" customHeight="1" x14ac:dyDescent="0.25">
      <c r="D884" s="42"/>
      <c r="E884" s="42"/>
    </row>
    <row r="885" spans="4:5" ht="15.75" customHeight="1" x14ac:dyDescent="0.25">
      <c r="D885" s="42"/>
      <c r="E885" s="42"/>
    </row>
    <row r="886" spans="4:5" ht="15.75" customHeight="1" x14ac:dyDescent="0.25">
      <c r="D886" s="42"/>
      <c r="E886" s="42"/>
    </row>
    <row r="887" spans="4:5" ht="15.75" customHeight="1" x14ac:dyDescent="0.25">
      <c r="D887" s="42"/>
      <c r="E887" s="42"/>
    </row>
    <row r="888" spans="4:5" ht="15.75" customHeight="1" x14ac:dyDescent="0.25">
      <c r="D888" s="42"/>
      <c r="E888" s="42"/>
    </row>
    <row r="889" spans="4:5" ht="15.75" customHeight="1" x14ac:dyDescent="0.25">
      <c r="D889" s="42"/>
      <c r="E889" s="42"/>
    </row>
    <row r="890" spans="4:5" ht="15.75" customHeight="1" x14ac:dyDescent="0.25">
      <c r="D890" s="42"/>
      <c r="E890" s="42"/>
    </row>
    <row r="891" spans="4:5" ht="15.75" customHeight="1" x14ac:dyDescent="0.25">
      <c r="D891" s="42"/>
      <c r="E891" s="42"/>
    </row>
    <row r="892" spans="4:5" ht="15.75" customHeight="1" x14ac:dyDescent="0.25">
      <c r="D892" s="42"/>
      <c r="E892" s="42"/>
    </row>
    <row r="893" spans="4:5" ht="15.75" customHeight="1" x14ac:dyDescent="0.25">
      <c r="D893" s="42"/>
      <c r="E893" s="42"/>
    </row>
    <row r="894" spans="4:5" ht="15.75" customHeight="1" x14ac:dyDescent="0.25">
      <c r="D894" s="42"/>
      <c r="E894" s="42"/>
    </row>
    <row r="895" spans="4:5" ht="15.75" customHeight="1" x14ac:dyDescent="0.25">
      <c r="D895" s="42"/>
      <c r="E895" s="42"/>
    </row>
    <row r="896" spans="4:5" ht="15.75" customHeight="1" x14ac:dyDescent="0.25">
      <c r="D896" s="42"/>
      <c r="E896" s="42"/>
    </row>
    <row r="897" spans="4:5" ht="15.75" customHeight="1" x14ac:dyDescent="0.25">
      <c r="D897" s="42"/>
      <c r="E897" s="42"/>
    </row>
    <row r="898" spans="4:5" ht="15.75" customHeight="1" x14ac:dyDescent="0.25">
      <c r="D898" s="42"/>
      <c r="E898" s="42"/>
    </row>
    <row r="899" spans="4:5" ht="15.75" customHeight="1" x14ac:dyDescent="0.25">
      <c r="D899" s="42"/>
      <c r="E899" s="42"/>
    </row>
    <row r="900" spans="4:5" ht="15.75" customHeight="1" x14ac:dyDescent="0.25">
      <c r="D900" s="42"/>
      <c r="E900" s="42"/>
    </row>
    <row r="901" spans="4:5" ht="15.75" customHeight="1" x14ac:dyDescent="0.25">
      <c r="D901" s="42"/>
      <c r="E901" s="42"/>
    </row>
    <row r="902" spans="4:5" ht="15.75" customHeight="1" x14ac:dyDescent="0.25">
      <c r="D902" s="42"/>
      <c r="E902" s="42"/>
    </row>
    <row r="903" spans="4:5" ht="15.75" customHeight="1" x14ac:dyDescent="0.25">
      <c r="D903" s="42"/>
      <c r="E903" s="42"/>
    </row>
    <row r="904" spans="4:5" ht="15.75" customHeight="1" x14ac:dyDescent="0.25">
      <c r="D904" s="42"/>
      <c r="E904" s="42"/>
    </row>
    <row r="905" spans="4:5" ht="15.75" customHeight="1" x14ac:dyDescent="0.25">
      <c r="D905" s="42"/>
      <c r="E905" s="42"/>
    </row>
    <row r="906" spans="4:5" ht="15.75" customHeight="1" x14ac:dyDescent="0.25">
      <c r="D906" s="42"/>
      <c r="E906" s="42"/>
    </row>
    <row r="907" spans="4:5" ht="15.75" customHeight="1" x14ac:dyDescent="0.25">
      <c r="D907" s="42"/>
      <c r="E907" s="42"/>
    </row>
    <row r="908" spans="4:5" ht="15.75" customHeight="1" x14ac:dyDescent="0.25">
      <c r="D908" s="42"/>
      <c r="E908" s="42"/>
    </row>
    <row r="909" spans="4:5" ht="15.75" customHeight="1" x14ac:dyDescent="0.25">
      <c r="D909" s="42"/>
      <c r="E909" s="42"/>
    </row>
    <row r="910" spans="4:5" ht="15.75" customHeight="1" x14ac:dyDescent="0.25">
      <c r="D910" s="42"/>
      <c r="E910" s="42"/>
    </row>
    <row r="911" spans="4:5" ht="15.75" customHeight="1" x14ac:dyDescent="0.25">
      <c r="D911" s="42"/>
      <c r="E911" s="42"/>
    </row>
    <row r="912" spans="4:5" ht="15.75" customHeight="1" x14ac:dyDescent="0.25">
      <c r="D912" s="42"/>
      <c r="E912" s="42"/>
    </row>
    <row r="913" spans="4:5" ht="15.75" customHeight="1" x14ac:dyDescent="0.25">
      <c r="D913" s="42"/>
      <c r="E913" s="42"/>
    </row>
    <row r="914" spans="4:5" ht="15.75" customHeight="1" x14ac:dyDescent="0.25">
      <c r="D914" s="42"/>
      <c r="E914" s="42"/>
    </row>
    <row r="915" spans="4:5" ht="15.75" customHeight="1" x14ac:dyDescent="0.25">
      <c r="D915" s="42"/>
      <c r="E915" s="42"/>
    </row>
    <row r="916" spans="4:5" ht="15.75" customHeight="1" x14ac:dyDescent="0.25">
      <c r="D916" s="42"/>
      <c r="E916" s="42"/>
    </row>
    <row r="917" spans="4:5" ht="15.75" customHeight="1" x14ac:dyDescent="0.25">
      <c r="D917" s="42"/>
      <c r="E917" s="42"/>
    </row>
    <row r="918" spans="4:5" ht="15.75" customHeight="1" x14ac:dyDescent="0.25">
      <c r="D918" s="42"/>
      <c r="E918" s="42"/>
    </row>
    <row r="919" spans="4:5" ht="15.75" customHeight="1" x14ac:dyDescent="0.25">
      <c r="D919" s="42"/>
      <c r="E919" s="42"/>
    </row>
    <row r="920" spans="4:5" ht="15.75" customHeight="1" x14ac:dyDescent="0.25">
      <c r="D920" s="42"/>
      <c r="E920" s="42"/>
    </row>
    <row r="921" spans="4:5" ht="15.75" customHeight="1" x14ac:dyDescent="0.25">
      <c r="D921" s="42"/>
      <c r="E921" s="42"/>
    </row>
    <row r="922" spans="4:5" ht="15.75" customHeight="1" x14ac:dyDescent="0.25">
      <c r="D922" s="42"/>
      <c r="E922" s="42"/>
    </row>
    <row r="923" spans="4:5" ht="15.75" customHeight="1" x14ac:dyDescent="0.25">
      <c r="D923" s="42"/>
      <c r="E923" s="42"/>
    </row>
    <row r="924" spans="4:5" ht="15.75" customHeight="1" x14ac:dyDescent="0.25">
      <c r="D924" s="42"/>
      <c r="E924" s="42"/>
    </row>
    <row r="925" spans="4:5" ht="15.75" customHeight="1" x14ac:dyDescent="0.25">
      <c r="D925" s="42"/>
      <c r="E925" s="42"/>
    </row>
    <row r="926" spans="4:5" ht="15.75" customHeight="1" x14ac:dyDescent="0.25">
      <c r="D926" s="42"/>
      <c r="E926" s="42"/>
    </row>
    <row r="927" spans="4:5" ht="15.75" customHeight="1" x14ac:dyDescent="0.25">
      <c r="D927" s="42"/>
      <c r="E927" s="42"/>
    </row>
    <row r="928" spans="4:5" ht="15.75" customHeight="1" x14ac:dyDescent="0.25">
      <c r="D928" s="42"/>
      <c r="E928" s="42"/>
    </row>
    <row r="929" spans="4:5" ht="15.75" customHeight="1" x14ac:dyDescent="0.25">
      <c r="D929" s="42"/>
      <c r="E929" s="42"/>
    </row>
    <row r="930" spans="4:5" ht="15.75" customHeight="1" x14ac:dyDescent="0.25">
      <c r="D930" s="42"/>
      <c r="E930" s="42"/>
    </row>
    <row r="931" spans="4:5" ht="15.75" customHeight="1" x14ac:dyDescent="0.25">
      <c r="D931" s="42"/>
      <c r="E931" s="42"/>
    </row>
    <row r="932" spans="4:5" ht="15.75" customHeight="1" x14ac:dyDescent="0.25">
      <c r="D932" s="42"/>
      <c r="E932" s="42"/>
    </row>
    <row r="933" spans="4:5" ht="15.75" customHeight="1" x14ac:dyDescent="0.25">
      <c r="D933" s="42"/>
      <c r="E933" s="42"/>
    </row>
    <row r="934" spans="4:5" ht="15.75" customHeight="1" x14ac:dyDescent="0.25">
      <c r="D934" s="42"/>
      <c r="E934" s="42"/>
    </row>
    <row r="935" spans="4:5" ht="15.75" customHeight="1" x14ac:dyDescent="0.25">
      <c r="D935" s="42"/>
      <c r="E935" s="42"/>
    </row>
    <row r="936" spans="4:5" ht="15.75" customHeight="1" x14ac:dyDescent="0.25">
      <c r="D936" s="42"/>
      <c r="E936" s="42"/>
    </row>
    <row r="937" spans="4:5" ht="15.75" customHeight="1" x14ac:dyDescent="0.25">
      <c r="D937" s="42"/>
      <c r="E937" s="42"/>
    </row>
    <row r="938" spans="4:5" ht="15.75" customHeight="1" x14ac:dyDescent="0.25">
      <c r="D938" s="42"/>
      <c r="E938" s="42"/>
    </row>
    <row r="939" spans="4:5" ht="15.75" customHeight="1" x14ac:dyDescent="0.25">
      <c r="D939" s="42"/>
      <c r="E939" s="42"/>
    </row>
    <row r="940" spans="4:5" ht="15.75" customHeight="1" x14ac:dyDescent="0.25">
      <c r="D940" s="42"/>
      <c r="E940" s="42"/>
    </row>
    <row r="941" spans="4:5" ht="15.75" customHeight="1" x14ac:dyDescent="0.25">
      <c r="D941" s="42"/>
      <c r="E941" s="42"/>
    </row>
    <row r="942" spans="4:5" ht="15.75" customHeight="1" x14ac:dyDescent="0.25">
      <c r="D942" s="42"/>
      <c r="E942" s="42"/>
    </row>
    <row r="943" spans="4:5" ht="15.75" customHeight="1" x14ac:dyDescent="0.25">
      <c r="D943" s="42"/>
      <c r="E943" s="42"/>
    </row>
    <row r="944" spans="4:5" ht="15.75" customHeight="1" x14ac:dyDescent="0.25">
      <c r="D944" s="42"/>
      <c r="E944" s="42"/>
    </row>
    <row r="945" spans="4:5" ht="15.75" customHeight="1" x14ac:dyDescent="0.25">
      <c r="D945" s="42"/>
      <c r="E945" s="42"/>
    </row>
    <row r="946" spans="4:5" ht="15.75" customHeight="1" x14ac:dyDescent="0.25">
      <c r="D946" s="42"/>
      <c r="E946" s="42"/>
    </row>
    <row r="947" spans="4:5" ht="15.75" customHeight="1" x14ac:dyDescent="0.25">
      <c r="D947" s="42"/>
      <c r="E947" s="42"/>
    </row>
    <row r="948" spans="4:5" ht="15.75" customHeight="1" x14ac:dyDescent="0.25">
      <c r="D948" s="42"/>
      <c r="E948" s="42"/>
    </row>
    <row r="949" spans="4:5" ht="15.75" customHeight="1" x14ac:dyDescent="0.25">
      <c r="D949" s="42"/>
      <c r="E949" s="42"/>
    </row>
    <row r="950" spans="4:5" ht="15.75" customHeight="1" x14ac:dyDescent="0.25">
      <c r="D950" s="42"/>
      <c r="E950" s="42"/>
    </row>
    <row r="951" spans="4:5" ht="15.75" customHeight="1" x14ac:dyDescent="0.25">
      <c r="D951" s="42"/>
      <c r="E951" s="42"/>
    </row>
    <row r="952" spans="4:5" ht="15.75" customHeight="1" x14ac:dyDescent="0.25">
      <c r="D952" s="42"/>
      <c r="E952" s="42"/>
    </row>
    <row r="953" spans="4:5" ht="15.75" customHeight="1" x14ac:dyDescent="0.25">
      <c r="D953" s="42"/>
      <c r="E953" s="42"/>
    </row>
    <row r="954" spans="4:5" ht="15.75" customHeight="1" x14ac:dyDescent="0.25">
      <c r="D954" s="42"/>
      <c r="E954" s="42"/>
    </row>
    <row r="955" spans="4:5" ht="15.75" customHeight="1" x14ac:dyDescent="0.25">
      <c r="D955" s="42"/>
      <c r="E955" s="42"/>
    </row>
    <row r="956" spans="4:5" ht="15.75" customHeight="1" x14ac:dyDescent="0.25">
      <c r="D956" s="42"/>
      <c r="E956" s="42"/>
    </row>
    <row r="957" spans="4:5" ht="15.75" customHeight="1" x14ac:dyDescent="0.25">
      <c r="D957" s="42"/>
      <c r="E957" s="42"/>
    </row>
    <row r="958" spans="4:5" ht="15.75" customHeight="1" x14ac:dyDescent="0.25">
      <c r="D958" s="42"/>
      <c r="E958" s="42"/>
    </row>
    <row r="959" spans="4:5" ht="15.75" customHeight="1" x14ac:dyDescent="0.25">
      <c r="D959" s="42"/>
      <c r="E959" s="42"/>
    </row>
    <row r="960" spans="4:5" ht="15.75" customHeight="1" x14ac:dyDescent="0.25">
      <c r="D960" s="42"/>
      <c r="E960" s="42"/>
    </row>
    <row r="961" spans="4:5" ht="15.75" customHeight="1" x14ac:dyDescent="0.25">
      <c r="D961" s="42"/>
      <c r="E961" s="42"/>
    </row>
    <row r="962" spans="4:5" ht="15.75" customHeight="1" x14ac:dyDescent="0.25">
      <c r="D962" s="42"/>
      <c r="E962" s="42"/>
    </row>
    <row r="963" spans="4:5" ht="15.75" customHeight="1" x14ac:dyDescent="0.25">
      <c r="D963" s="42"/>
      <c r="E963" s="42"/>
    </row>
    <row r="964" spans="4:5" ht="15.75" customHeight="1" x14ac:dyDescent="0.25">
      <c r="D964" s="42"/>
      <c r="E964" s="42"/>
    </row>
    <row r="965" spans="4:5" ht="15.75" customHeight="1" x14ac:dyDescent="0.25">
      <c r="D965" s="42"/>
      <c r="E965" s="42"/>
    </row>
    <row r="966" spans="4:5" ht="15.75" customHeight="1" x14ac:dyDescent="0.25">
      <c r="D966" s="42"/>
      <c r="E966" s="42"/>
    </row>
    <row r="967" spans="4:5" ht="15.75" customHeight="1" x14ac:dyDescent="0.25">
      <c r="D967" s="42"/>
      <c r="E967" s="42"/>
    </row>
    <row r="968" spans="4:5" ht="15.75" customHeight="1" x14ac:dyDescent="0.25">
      <c r="D968" s="42"/>
      <c r="E968" s="42"/>
    </row>
    <row r="969" spans="4:5" ht="15.75" customHeight="1" x14ac:dyDescent="0.25">
      <c r="D969" s="42"/>
      <c r="E969" s="42"/>
    </row>
    <row r="970" spans="4:5" ht="15.75" customHeight="1" x14ac:dyDescent="0.25">
      <c r="D970" s="42"/>
      <c r="E970" s="42"/>
    </row>
    <row r="971" spans="4:5" ht="15.75" customHeight="1" x14ac:dyDescent="0.25">
      <c r="D971" s="42"/>
      <c r="E971" s="42"/>
    </row>
    <row r="972" spans="4:5" ht="15.75" customHeight="1" x14ac:dyDescent="0.25">
      <c r="D972" s="42"/>
      <c r="E972" s="42"/>
    </row>
    <row r="973" spans="4:5" ht="15.75" customHeight="1" x14ac:dyDescent="0.25">
      <c r="D973" s="42"/>
      <c r="E973" s="42"/>
    </row>
    <row r="974" spans="4:5" ht="15.75" customHeight="1" x14ac:dyDescent="0.25">
      <c r="D974" s="42"/>
      <c r="E974" s="42"/>
    </row>
    <row r="975" spans="4:5" ht="15.75" customHeight="1" x14ac:dyDescent="0.25">
      <c r="D975" s="42"/>
      <c r="E975" s="42"/>
    </row>
    <row r="976" spans="4:5" ht="15.75" customHeight="1" x14ac:dyDescent="0.25">
      <c r="D976" s="42"/>
      <c r="E976" s="42"/>
    </row>
    <row r="977" spans="4:5" ht="15.75" customHeight="1" x14ac:dyDescent="0.25">
      <c r="D977" s="42"/>
      <c r="E977" s="42"/>
    </row>
    <row r="978" spans="4:5" ht="15.75" customHeight="1" x14ac:dyDescent="0.25">
      <c r="D978" s="42"/>
      <c r="E978" s="42"/>
    </row>
    <row r="979" spans="4:5" ht="15.75" customHeight="1" x14ac:dyDescent="0.25">
      <c r="D979" s="42"/>
      <c r="E979" s="42"/>
    </row>
    <row r="980" spans="4:5" ht="15.75" customHeight="1" x14ac:dyDescent="0.25">
      <c r="D980" s="42"/>
      <c r="E980" s="42"/>
    </row>
    <row r="981" spans="4:5" ht="15.75" customHeight="1" x14ac:dyDescent="0.25">
      <c r="D981" s="42"/>
      <c r="E981" s="42"/>
    </row>
    <row r="982" spans="4:5" ht="15.75" customHeight="1" x14ac:dyDescent="0.25">
      <c r="D982" s="42"/>
      <c r="E982" s="42"/>
    </row>
    <row r="983" spans="4:5" ht="15.75" customHeight="1" x14ac:dyDescent="0.25">
      <c r="D983" s="42"/>
      <c r="E983" s="42"/>
    </row>
    <row r="984" spans="4:5" ht="15.75" customHeight="1" x14ac:dyDescent="0.25">
      <c r="D984" s="42"/>
      <c r="E984" s="42"/>
    </row>
    <row r="985" spans="4:5" ht="15.75" customHeight="1" x14ac:dyDescent="0.25">
      <c r="D985" s="42"/>
      <c r="E985" s="42"/>
    </row>
    <row r="986" spans="4:5" ht="15.75" customHeight="1" x14ac:dyDescent="0.25">
      <c r="D986" s="42"/>
      <c r="E986" s="42"/>
    </row>
    <row r="987" spans="4:5" ht="15.75" customHeight="1" x14ac:dyDescent="0.25">
      <c r="D987" s="42"/>
      <c r="E987" s="42"/>
    </row>
    <row r="988" spans="4:5" ht="15.75" customHeight="1" x14ac:dyDescent="0.25">
      <c r="D988" s="42"/>
      <c r="E988" s="42"/>
    </row>
    <row r="989" spans="4:5" ht="15.75" customHeight="1" x14ac:dyDescent="0.25">
      <c r="D989" s="42"/>
      <c r="E989" s="42"/>
    </row>
    <row r="990" spans="4:5" ht="15.75" customHeight="1" x14ac:dyDescent="0.25">
      <c r="D990" s="42"/>
      <c r="E990" s="42"/>
    </row>
    <row r="991" spans="4:5" ht="15.75" customHeight="1" x14ac:dyDescent="0.25">
      <c r="D991" s="42"/>
      <c r="E991" s="42"/>
    </row>
    <row r="992" spans="4:5" ht="15.75" customHeight="1" x14ac:dyDescent="0.25">
      <c r="D992" s="42"/>
      <c r="E992" s="42"/>
    </row>
    <row r="993" spans="4:5" ht="15.75" customHeight="1" x14ac:dyDescent="0.25">
      <c r="D993" s="42"/>
      <c r="E993" s="42"/>
    </row>
    <row r="994" spans="4:5" ht="15.75" customHeight="1" x14ac:dyDescent="0.25">
      <c r="D994" s="42"/>
      <c r="E994" s="42"/>
    </row>
    <row r="995" spans="4:5" ht="15.75" customHeight="1" x14ac:dyDescent="0.25">
      <c r="D995" s="42"/>
      <c r="E995" s="42"/>
    </row>
    <row r="996" spans="4:5" ht="15.75" customHeight="1" x14ac:dyDescent="0.25">
      <c r="D996" s="42"/>
      <c r="E996" s="42"/>
    </row>
    <row r="997" spans="4:5" ht="15.75" customHeight="1" x14ac:dyDescent="0.25">
      <c r="D997" s="42"/>
      <c r="E997" s="42"/>
    </row>
    <row r="998" spans="4:5" ht="15.75" customHeight="1" x14ac:dyDescent="0.25">
      <c r="D998" s="42"/>
      <c r="E998" s="42"/>
    </row>
    <row r="999" spans="4:5" ht="15.75" customHeight="1" x14ac:dyDescent="0.25">
      <c r="D999" s="42"/>
      <c r="E999" s="42"/>
    </row>
    <row r="1000" spans="4:5" ht="15.75" customHeight="1" x14ac:dyDescent="0.25">
      <c r="D1000" s="42"/>
      <c r="E1000" s="42"/>
    </row>
  </sheetData>
  <mergeCells count="11">
    <mergeCell ref="H51:H59"/>
    <mergeCell ref="H60:H77"/>
    <mergeCell ref="H78:H98"/>
    <mergeCell ref="H99:H114"/>
    <mergeCell ref="H2:H12"/>
    <mergeCell ref="H13:H16"/>
    <mergeCell ref="H17:H24"/>
    <mergeCell ref="H25:H29"/>
    <mergeCell ref="H30:H36"/>
    <mergeCell ref="H37:H41"/>
    <mergeCell ref="H42:H50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000"/>
  <sheetViews>
    <sheetView workbookViewId="0">
      <selection activeCell="B17" sqref="B17"/>
    </sheetView>
  </sheetViews>
  <sheetFormatPr defaultColWidth="14.42578125" defaultRowHeight="15" x14ac:dyDescent="0.25"/>
  <cols>
    <col min="1" max="1" width="31.85546875" customWidth="1"/>
    <col min="2" max="2" width="74.5703125" customWidth="1"/>
    <col min="3" max="3" width="16.7109375" customWidth="1"/>
    <col min="4" max="4" width="20.5703125" customWidth="1"/>
    <col min="5" max="5" width="23.5703125" customWidth="1"/>
    <col min="6" max="6" width="20.7109375" customWidth="1"/>
    <col min="7" max="7" width="18.7109375" customWidth="1"/>
    <col min="8" max="8" width="19.85546875" customWidth="1"/>
    <col min="9" max="9" width="19.140625" customWidth="1"/>
    <col min="10" max="26" width="8.7109375" customWidth="1"/>
  </cols>
  <sheetData>
    <row r="1" spans="1:54" ht="15.75" thickBot="1" x14ac:dyDescent="0.3">
      <c r="A1" s="1" t="s">
        <v>0</v>
      </c>
      <c r="B1" s="2" t="s">
        <v>6</v>
      </c>
      <c r="C1" s="1" t="s">
        <v>7</v>
      </c>
      <c r="D1" s="1" t="s">
        <v>8</v>
      </c>
      <c r="E1" t="s">
        <v>249</v>
      </c>
      <c r="F1" t="s">
        <v>250</v>
      </c>
      <c r="G1" t="s">
        <v>251</v>
      </c>
      <c r="H1" t="s">
        <v>252</v>
      </c>
      <c r="I1" t="s">
        <v>253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260</v>
      </c>
      <c r="Q1" t="s">
        <v>261</v>
      </c>
      <c r="R1" t="s">
        <v>262</v>
      </c>
      <c r="S1" t="s">
        <v>263</v>
      </c>
      <c r="T1" t="s">
        <v>264</v>
      </c>
      <c r="U1" t="s">
        <v>265</v>
      </c>
      <c r="V1" t="s">
        <v>266</v>
      </c>
      <c r="W1" t="s">
        <v>267</v>
      </c>
      <c r="X1" t="s">
        <v>268</v>
      </c>
      <c r="Y1" t="s">
        <v>269</v>
      </c>
      <c r="Z1" t="s">
        <v>270</v>
      </c>
      <c r="AA1" t="s">
        <v>271</v>
      </c>
      <c r="AB1" t="s">
        <v>272</v>
      </c>
      <c r="AC1" t="s">
        <v>273</v>
      </c>
      <c r="AD1" t="s">
        <v>274</v>
      </c>
      <c r="AE1" t="s">
        <v>275</v>
      </c>
      <c r="AF1" t="s">
        <v>276</v>
      </c>
      <c r="AG1" t="s">
        <v>277</v>
      </c>
      <c r="AH1" t="s">
        <v>278</v>
      </c>
      <c r="AI1" t="s">
        <v>279</v>
      </c>
      <c r="AJ1" t="s">
        <v>280</v>
      </c>
      <c r="AK1" t="s">
        <v>281</v>
      </c>
      <c r="AL1" t="s">
        <v>282</v>
      </c>
      <c r="AM1" t="s">
        <v>283</v>
      </c>
      <c r="AN1" t="s">
        <v>284</v>
      </c>
      <c r="AO1" t="s">
        <v>285</v>
      </c>
      <c r="AP1" t="s">
        <v>286</v>
      </c>
      <c r="AQ1" t="s">
        <v>287</v>
      </c>
      <c r="AR1" t="s">
        <v>288</v>
      </c>
      <c r="AS1" t="s">
        <v>289</v>
      </c>
      <c r="AT1" t="s">
        <v>290</v>
      </c>
      <c r="AU1" t="s">
        <v>291</v>
      </c>
      <c r="AV1" t="s">
        <v>292</v>
      </c>
      <c r="AW1" t="s">
        <v>293</v>
      </c>
      <c r="AX1" t="s">
        <v>294</v>
      </c>
      <c r="AY1" t="s">
        <v>295</v>
      </c>
      <c r="AZ1" t="s">
        <v>296</v>
      </c>
      <c r="BA1" t="s">
        <v>297</v>
      </c>
      <c r="BB1" t="s">
        <v>298</v>
      </c>
    </row>
    <row r="2" spans="1:54" x14ac:dyDescent="0.25">
      <c r="A2" s="3" t="s">
        <v>9</v>
      </c>
      <c r="B2" s="5" t="s">
        <v>10</v>
      </c>
      <c r="C2" s="54" t="s">
        <v>11</v>
      </c>
      <c r="D2" s="6" t="s">
        <v>12</v>
      </c>
    </row>
    <row r="3" spans="1:54" x14ac:dyDescent="0.25">
      <c r="A3" s="7" t="s">
        <v>13</v>
      </c>
      <c r="B3" s="9" t="s">
        <v>16</v>
      </c>
      <c r="C3" s="50"/>
      <c r="D3" s="10" t="s">
        <v>17</v>
      </c>
    </row>
    <row r="4" spans="1:54" x14ac:dyDescent="0.25">
      <c r="A4" s="7" t="s">
        <v>18</v>
      </c>
      <c r="B4" s="9" t="s">
        <v>19</v>
      </c>
      <c r="C4" s="50"/>
      <c r="D4" s="11" t="s">
        <v>20</v>
      </c>
      <c r="E4">
        <v>1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54" x14ac:dyDescent="0.25">
      <c r="A5" s="7" t="s">
        <v>21</v>
      </c>
      <c r="B5" s="9" t="s">
        <v>22</v>
      </c>
      <c r="C5" s="50"/>
      <c r="D5" s="13" t="s">
        <v>23</v>
      </c>
      <c r="E5">
        <v>0.3</v>
      </c>
    </row>
    <row r="6" spans="1:54" ht="15.75" thickBot="1" x14ac:dyDescent="0.3">
      <c r="A6" s="7" t="s">
        <v>24</v>
      </c>
      <c r="B6" s="9" t="s">
        <v>25</v>
      </c>
      <c r="C6" s="50"/>
      <c r="D6" s="14" t="s">
        <v>26</v>
      </c>
      <c r="E6">
        <f>79.5*56.8*0.0254*0.0254</f>
        <v>2.9132844959999993</v>
      </c>
    </row>
    <row r="7" spans="1:54" x14ac:dyDescent="0.25">
      <c r="A7" s="7" t="s">
        <v>27</v>
      </c>
      <c r="B7" s="9" t="s">
        <v>28</v>
      </c>
      <c r="C7" s="50"/>
    </row>
    <row r="8" spans="1:54" x14ac:dyDescent="0.25">
      <c r="A8" s="7" t="s">
        <v>29</v>
      </c>
      <c r="B8" s="9" t="s">
        <v>30</v>
      </c>
      <c r="C8" s="50"/>
    </row>
    <row r="9" spans="1:54" x14ac:dyDescent="0.25">
      <c r="A9" s="7" t="s">
        <v>31</v>
      </c>
      <c r="B9" s="43" t="s">
        <v>32</v>
      </c>
      <c r="C9" s="50"/>
      <c r="D9" s="16" t="s">
        <v>33</v>
      </c>
    </row>
    <row r="10" spans="1:54" x14ac:dyDescent="0.25">
      <c r="A10" s="7" t="s">
        <v>34</v>
      </c>
      <c r="B10" s="9" t="s">
        <v>35</v>
      </c>
      <c r="C10" s="50"/>
    </row>
    <row r="11" spans="1:54" x14ac:dyDescent="0.25">
      <c r="A11" s="7" t="s">
        <v>36</v>
      </c>
      <c r="B11" s="9" t="s">
        <v>37</v>
      </c>
      <c r="C11" s="50"/>
    </row>
    <row r="12" spans="1:54" ht="15.75" thickBot="1" x14ac:dyDescent="0.3">
      <c r="A12" s="17" t="s">
        <v>38</v>
      </c>
      <c r="B12" s="20" t="s">
        <v>39</v>
      </c>
      <c r="C12" s="51"/>
    </row>
    <row r="13" spans="1:54" x14ac:dyDescent="0.25">
      <c r="A13" s="21" t="s">
        <v>40</v>
      </c>
      <c r="B13" s="25" t="s">
        <v>41</v>
      </c>
      <c r="C13" s="49" t="s">
        <v>42</v>
      </c>
    </row>
    <row r="14" spans="1:54" x14ac:dyDescent="0.25">
      <c r="A14" s="7" t="s">
        <v>43</v>
      </c>
      <c r="B14" s="9" t="s">
        <v>44</v>
      </c>
      <c r="C14" s="50"/>
    </row>
    <row r="15" spans="1:54" x14ac:dyDescent="0.25">
      <c r="A15" s="7" t="s">
        <v>45</v>
      </c>
      <c r="B15" s="9" t="s">
        <v>46</v>
      </c>
      <c r="C15" s="50"/>
    </row>
    <row r="16" spans="1:54" ht="15.75" thickBot="1" x14ac:dyDescent="0.3">
      <c r="A16" s="17" t="s">
        <v>47</v>
      </c>
      <c r="B16" s="20" t="s">
        <v>48</v>
      </c>
      <c r="C16" s="51"/>
    </row>
    <row r="17" spans="1:4" x14ac:dyDescent="0.25">
      <c r="A17" s="21" t="s">
        <v>49</v>
      </c>
      <c r="B17" s="25" t="s">
        <v>50</v>
      </c>
      <c r="C17" s="49" t="s">
        <v>51</v>
      </c>
    </row>
    <row r="18" spans="1:4" x14ac:dyDescent="0.25">
      <c r="A18" s="7" t="s">
        <v>52</v>
      </c>
      <c r="B18" s="9" t="s">
        <v>53</v>
      </c>
      <c r="C18" s="50"/>
    </row>
    <row r="19" spans="1:4" x14ac:dyDescent="0.25">
      <c r="A19" s="7" t="s">
        <v>54</v>
      </c>
      <c r="B19" s="9" t="s">
        <v>55</v>
      </c>
      <c r="C19" s="50"/>
    </row>
    <row r="20" spans="1:4" x14ac:dyDescent="0.25">
      <c r="A20" s="7" t="s">
        <v>56</v>
      </c>
      <c r="B20" s="9" t="s">
        <v>57</v>
      </c>
      <c r="C20" s="50"/>
    </row>
    <row r="21" spans="1:4" ht="15.75" customHeight="1" x14ac:dyDescent="0.25">
      <c r="A21" s="7" t="s">
        <v>58</v>
      </c>
      <c r="B21" s="9" t="s">
        <v>59</v>
      </c>
      <c r="C21" s="50"/>
    </row>
    <row r="22" spans="1:4" ht="15.75" customHeight="1" x14ac:dyDescent="0.25">
      <c r="A22" s="7" t="s">
        <v>60</v>
      </c>
      <c r="B22" s="9" t="s">
        <v>61</v>
      </c>
      <c r="C22" s="50"/>
    </row>
    <row r="23" spans="1:4" ht="15.75" customHeight="1" x14ac:dyDescent="0.25">
      <c r="A23" s="7" t="s">
        <v>62</v>
      </c>
      <c r="B23" s="9" t="s">
        <v>63</v>
      </c>
      <c r="C23" s="50"/>
    </row>
    <row r="24" spans="1:4" ht="15.75" customHeight="1" thickBot="1" x14ac:dyDescent="0.3">
      <c r="A24" s="17" t="s">
        <v>64</v>
      </c>
      <c r="B24" s="20" t="s">
        <v>65</v>
      </c>
      <c r="C24" s="51"/>
    </row>
    <row r="25" spans="1:4" ht="15.75" customHeight="1" x14ac:dyDescent="0.25">
      <c r="A25" s="21" t="s">
        <v>66</v>
      </c>
      <c r="B25" s="25" t="s">
        <v>67</v>
      </c>
      <c r="C25" s="49" t="s">
        <v>68</v>
      </c>
      <c r="D25" s="16" t="s">
        <v>69</v>
      </c>
    </row>
    <row r="26" spans="1:4" ht="15.75" customHeight="1" x14ac:dyDescent="0.25">
      <c r="A26" s="7" t="s">
        <v>70</v>
      </c>
      <c r="B26" s="9" t="s">
        <v>71</v>
      </c>
      <c r="C26" s="50"/>
    </row>
    <row r="27" spans="1:4" ht="15.75" customHeight="1" x14ac:dyDescent="0.25">
      <c r="A27" s="7" t="s">
        <v>72</v>
      </c>
      <c r="B27" s="9" t="s">
        <v>73</v>
      </c>
      <c r="C27" s="50"/>
    </row>
    <row r="28" spans="1:4" ht="15.75" customHeight="1" x14ac:dyDescent="0.25">
      <c r="A28" s="7" t="s">
        <v>74</v>
      </c>
      <c r="B28" s="9" t="s">
        <v>75</v>
      </c>
      <c r="C28" s="50"/>
    </row>
    <row r="29" spans="1:4" ht="15.75" customHeight="1" thickBot="1" x14ac:dyDescent="0.3">
      <c r="A29" s="17" t="s">
        <v>76</v>
      </c>
      <c r="B29" s="20" t="s">
        <v>77</v>
      </c>
      <c r="C29" s="51"/>
      <c r="D29" s="16" t="s">
        <v>78</v>
      </c>
    </row>
    <row r="30" spans="1:4" ht="15.75" customHeight="1" x14ac:dyDescent="0.25">
      <c r="A30" s="21" t="s">
        <v>79</v>
      </c>
      <c r="B30" s="25" t="s">
        <v>80</v>
      </c>
      <c r="C30" s="49" t="s">
        <v>81</v>
      </c>
      <c r="D30" s="16" t="s">
        <v>82</v>
      </c>
    </row>
    <row r="31" spans="1:4" ht="15.75" customHeight="1" x14ac:dyDescent="0.25">
      <c r="A31" s="7" t="s">
        <v>83</v>
      </c>
      <c r="B31" s="9" t="s">
        <v>84</v>
      </c>
      <c r="C31" s="50"/>
      <c r="D31" s="16" t="s">
        <v>85</v>
      </c>
    </row>
    <row r="32" spans="1:4" ht="15.75" customHeight="1" x14ac:dyDescent="0.25">
      <c r="A32" s="7" t="s">
        <v>86</v>
      </c>
      <c r="B32" s="9" t="s">
        <v>87</v>
      </c>
      <c r="C32" s="50"/>
      <c r="D32" s="16" t="s">
        <v>88</v>
      </c>
    </row>
    <row r="33" spans="1:4" ht="15.75" customHeight="1" x14ac:dyDescent="0.25">
      <c r="A33" s="7" t="s">
        <v>89</v>
      </c>
      <c r="B33" s="9" t="s">
        <v>90</v>
      </c>
      <c r="C33" s="50"/>
      <c r="D33" s="16" t="s">
        <v>91</v>
      </c>
    </row>
    <row r="34" spans="1:4" ht="15.75" customHeight="1" x14ac:dyDescent="0.25">
      <c r="A34" s="7" t="s">
        <v>92</v>
      </c>
      <c r="B34" s="9" t="s">
        <v>93</v>
      </c>
      <c r="C34" s="50"/>
      <c r="D34" s="16" t="s">
        <v>94</v>
      </c>
    </row>
    <row r="35" spans="1:4" ht="15.75" customHeight="1" x14ac:dyDescent="0.25">
      <c r="A35" s="7" t="s">
        <v>95</v>
      </c>
      <c r="B35" s="9" t="s">
        <v>96</v>
      </c>
      <c r="C35" s="50"/>
      <c r="D35" s="16" t="s">
        <v>97</v>
      </c>
    </row>
    <row r="36" spans="1:4" ht="15.75" customHeight="1" thickBot="1" x14ac:dyDescent="0.3">
      <c r="A36" s="17" t="s">
        <v>98</v>
      </c>
      <c r="B36" s="20" t="s">
        <v>99</v>
      </c>
      <c r="C36" s="51"/>
    </row>
    <row r="37" spans="1:4" ht="15.75" customHeight="1" x14ac:dyDescent="0.25">
      <c r="A37" s="21" t="s">
        <v>100</v>
      </c>
      <c r="B37" s="25" t="s">
        <v>101</v>
      </c>
      <c r="C37" s="49" t="s">
        <v>102</v>
      </c>
    </row>
    <row r="38" spans="1:4" ht="15.75" customHeight="1" x14ac:dyDescent="0.25">
      <c r="A38" s="7" t="s">
        <v>103</v>
      </c>
      <c r="B38" s="9" t="s">
        <v>104</v>
      </c>
      <c r="C38" s="50"/>
    </row>
    <row r="39" spans="1:4" ht="15.75" customHeight="1" x14ac:dyDescent="0.25">
      <c r="A39" s="7" t="s">
        <v>105</v>
      </c>
      <c r="B39" s="9" t="s">
        <v>106</v>
      </c>
      <c r="C39" s="50"/>
    </row>
    <row r="40" spans="1:4" ht="15.75" customHeight="1" x14ac:dyDescent="0.25">
      <c r="A40" s="7" t="s">
        <v>107</v>
      </c>
      <c r="B40" s="9" t="s">
        <v>108</v>
      </c>
      <c r="C40" s="50"/>
    </row>
    <row r="41" spans="1:4" ht="15.75" customHeight="1" thickBot="1" x14ac:dyDescent="0.3">
      <c r="A41" s="17" t="s">
        <v>109</v>
      </c>
      <c r="B41" s="20" t="s">
        <v>110</v>
      </c>
      <c r="C41" s="51"/>
    </row>
    <row r="42" spans="1:4" ht="15.75" customHeight="1" x14ac:dyDescent="0.25">
      <c r="A42" s="21" t="s">
        <v>111</v>
      </c>
      <c r="B42" s="25" t="s">
        <v>112</v>
      </c>
      <c r="C42" s="53" t="s">
        <v>113</v>
      </c>
    </row>
    <row r="43" spans="1:4" ht="15.75" customHeight="1" x14ac:dyDescent="0.25">
      <c r="A43" s="7" t="s">
        <v>114</v>
      </c>
      <c r="B43" s="9" t="s">
        <v>115</v>
      </c>
      <c r="C43" s="50"/>
    </row>
    <row r="44" spans="1:4" ht="15.75" customHeight="1" x14ac:dyDescent="0.25">
      <c r="A44" s="7" t="s">
        <v>116</v>
      </c>
      <c r="B44" s="9" t="s">
        <v>117</v>
      </c>
      <c r="C44" s="50"/>
    </row>
    <row r="45" spans="1:4" ht="15.75" customHeight="1" x14ac:dyDescent="0.25">
      <c r="A45" s="7" t="s">
        <v>118</v>
      </c>
      <c r="B45" s="9" t="s">
        <v>119</v>
      </c>
      <c r="C45" s="50"/>
    </row>
    <row r="46" spans="1:4" ht="15.75" customHeight="1" x14ac:dyDescent="0.25">
      <c r="A46" s="7" t="s">
        <v>120</v>
      </c>
      <c r="B46" s="9" t="s">
        <v>121</v>
      </c>
      <c r="C46" s="50"/>
    </row>
    <row r="47" spans="1:4" ht="15.75" customHeight="1" x14ac:dyDescent="0.25">
      <c r="A47" s="7" t="s">
        <v>122</v>
      </c>
      <c r="B47" s="9" t="s">
        <v>123</v>
      </c>
      <c r="C47" s="50"/>
    </row>
    <row r="48" spans="1:4" ht="15.75" customHeight="1" x14ac:dyDescent="0.25">
      <c r="A48" s="7" t="s">
        <v>124</v>
      </c>
      <c r="B48" s="9" t="s">
        <v>125</v>
      </c>
      <c r="C48" s="50"/>
    </row>
    <row r="49" spans="1:4" ht="15.75" customHeight="1" x14ac:dyDescent="0.25">
      <c r="A49" s="7" t="s">
        <v>126</v>
      </c>
      <c r="B49" s="9" t="s">
        <v>127</v>
      </c>
      <c r="C49" s="50"/>
    </row>
    <row r="50" spans="1:4" ht="15.75" customHeight="1" thickBot="1" x14ac:dyDescent="0.3">
      <c r="A50" s="17" t="s">
        <v>128</v>
      </c>
      <c r="B50" s="20" t="s">
        <v>129</v>
      </c>
      <c r="C50" s="51"/>
    </row>
    <row r="51" spans="1:4" ht="15.75" customHeight="1" x14ac:dyDescent="0.25">
      <c r="A51" s="21" t="s">
        <v>130</v>
      </c>
      <c r="B51" s="25" t="s">
        <v>131</v>
      </c>
      <c r="C51" s="49" t="s">
        <v>132</v>
      </c>
    </row>
    <row r="52" spans="1:4" ht="15.75" customHeight="1" x14ac:dyDescent="0.25">
      <c r="A52" s="7" t="s">
        <v>133</v>
      </c>
      <c r="B52" s="9" t="s">
        <v>134</v>
      </c>
      <c r="C52" s="50"/>
    </row>
    <row r="53" spans="1:4" ht="15.75" customHeight="1" x14ac:dyDescent="0.25">
      <c r="A53" s="7" t="s">
        <v>135</v>
      </c>
      <c r="B53" s="9" t="s">
        <v>136</v>
      </c>
      <c r="C53" s="50"/>
    </row>
    <row r="54" spans="1:4" ht="15.75" customHeight="1" x14ac:dyDescent="0.25">
      <c r="A54" s="7" t="s">
        <v>137</v>
      </c>
      <c r="B54" s="9" t="s">
        <v>138</v>
      </c>
      <c r="C54" s="50"/>
    </row>
    <row r="55" spans="1:4" ht="15.75" customHeight="1" x14ac:dyDescent="0.25">
      <c r="A55" s="7" t="s">
        <v>139</v>
      </c>
      <c r="B55" s="9" t="s">
        <v>140</v>
      </c>
      <c r="C55" s="50"/>
    </row>
    <row r="56" spans="1:4" ht="15.75" customHeight="1" x14ac:dyDescent="0.25">
      <c r="A56" s="7" t="s">
        <v>141</v>
      </c>
      <c r="B56" s="9" t="s">
        <v>142</v>
      </c>
      <c r="C56" s="50"/>
      <c r="D56" s="16" t="s">
        <v>143</v>
      </c>
    </row>
    <row r="57" spans="1:4" ht="15.75" customHeight="1" x14ac:dyDescent="0.25">
      <c r="A57" s="7" t="s">
        <v>144</v>
      </c>
      <c r="B57" s="9" t="s">
        <v>145</v>
      </c>
      <c r="C57" s="50"/>
    </row>
    <row r="58" spans="1:4" ht="15.75" customHeight="1" x14ac:dyDescent="0.25">
      <c r="A58" s="7" t="s">
        <v>146</v>
      </c>
      <c r="B58" s="9" t="s">
        <v>147</v>
      </c>
      <c r="C58" s="50"/>
    </row>
    <row r="59" spans="1:4" ht="15.75" customHeight="1" thickBot="1" x14ac:dyDescent="0.3">
      <c r="A59" s="17" t="s">
        <v>148</v>
      </c>
      <c r="B59" s="20" t="s">
        <v>149</v>
      </c>
      <c r="C59" s="51"/>
    </row>
    <row r="60" spans="1:4" ht="15.75" customHeight="1" x14ac:dyDescent="0.25">
      <c r="A60" s="21" t="s">
        <v>150</v>
      </c>
      <c r="B60" s="25" t="s">
        <v>151</v>
      </c>
      <c r="C60" s="49" t="s">
        <v>152</v>
      </c>
    </row>
    <row r="61" spans="1:4" ht="15.75" customHeight="1" x14ac:dyDescent="0.25">
      <c r="A61" s="7" t="s">
        <v>153</v>
      </c>
      <c r="B61" s="9" t="s">
        <v>154</v>
      </c>
      <c r="C61" s="50"/>
    </row>
    <row r="62" spans="1:4" ht="15.75" customHeight="1" x14ac:dyDescent="0.25">
      <c r="A62" s="7" t="s">
        <v>155</v>
      </c>
      <c r="B62" s="9" t="s">
        <v>156</v>
      </c>
      <c r="C62" s="50"/>
    </row>
    <row r="63" spans="1:4" ht="15.75" customHeight="1" x14ac:dyDescent="0.25">
      <c r="A63" s="7" t="s">
        <v>157</v>
      </c>
      <c r="B63" s="9" t="s">
        <v>158</v>
      </c>
      <c r="C63" s="50"/>
    </row>
    <row r="64" spans="1:4" ht="15.75" customHeight="1" x14ac:dyDescent="0.25">
      <c r="A64" s="7" t="s">
        <v>159</v>
      </c>
      <c r="B64" s="9" t="s">
        <v>160</v>
      </c>
      <c r="C64" s="50"/>
    </row>
    <row r="65" spans="1:3" ht="15.75" customHeight="1" x14ac:dyDescent="0.25">
      <c r="A65" s="7" t="s">
        <v>161</v>
      </c>
      <c r="B65" s="9" t="s">
        <v>162</v>
      </c>
      <c r="C65" s="50"/>
    </row>
    <row r="66" spans="1:3" ht="15.75" customHeight="1" x14ac:dyDescent="0.25">
      <c r="A66" s="7" t="s">
        <v>163</v>
      </c>
      <c r="B66" s="9" t="s">
        <v>164</v>
      </c>
      <c r="C66" s="50"/>
    </row>
    <row r="67" spans="1:3" ht="15.75" customHeight="1" x14ac:dyDescent="0.25">
      <c r="A67" s="7" t="s">
        <v>165</v>
      </c>
      <c r="B67" s="9" t="s">
        <v>166</v>
      </c>
      <c r="C67" s="50"/>
    </row>
    <row r="68" spans="1:3" ht="15.75" customHeight="1" x14ac:dyDescent="0.25">
      <c r="A68" s="7" t="s">
        <v>167</v>
      </c>
      <c r="B68" s="9" t="s">
        <v>168</v>
      </c>
      <c r="C68" s="50"/>
    </row>
    <row r="69" spans="1:3" ht="15.75" customHeight="1" x14ac:dyDescent="0.25">
      <c r="A69" s="7" t="s">
        <v>169</v>
      </c>
      <c r="B69" s="9" t="s">
        <v>170</v>
      </c>
      <c r="C69" s="50"/>
    </row>
    <row r="70" spans="1:3" ht="15.75" customHeight="1" x14ac:dyDescent="0.25">
      <c r="A70" s="7" t="s">
        <v>171</v>
      </c>
      <c r="B70" s="9" t="s">
        <v>172</v>
      </c>
      <c r="C70" s="50"/>
    </row>
    <row r="71" spans="1:3" ht="15.75" customHeight="1" x14ac:dyDescent="0.25">
      <c r="A71" s="7" t="s">
        <v>173</v>
      </c>
      <c r="B71" s="9" t="s">
        <v>174</v>
      </c>
      <c r="C71" s="50"/>
    </row>
    <row r="72" spans="1:3" ht="15.75" customHeight="1" x14ac:dyDescent="0.25">
      <c r="A72" s="7" t="s">
        <v>175</v>
      </c>
      <c r="B72" s="9" t="s">
        <v>176</v>
      </c>
      <c r="C72" s="50"/>
    </row>
    <row r="73" spans="1:3" ht="15.75" customHeight="1" x14ac:dyDescent="0.25">
      <c r="A73" s="7" t="s">
        <v>177</v>
      </c>
      <c r="B73" s="9" t="s">
        <v>178</v>
      </c>
      <c r="C73" s="50"/>
    </row>
    <row r="74" spans="1:3" ht="15.75" customHeight="1" x14ac:dyDescent="0.25">
      <c r="A74" s="7" t="s">
        <v>179</v>
      </c>
      <c r="B74" s="9" t="s">
        <v>180</v>
      </c>
      <c r="C74" s="50"/>
    </row>
    <row r="75" spans="1:3" ht="15.75" customHeight="1" x14ac:dyDescent="0.25">
      <c r="A75" s="7" t="s">
        <v>181</v>
      </c>
      <c r="B75" s="9" t="s">
        <v>182</v>
      </c>
      <c r="C75" s="50"/>
    </row>
    <row r="76" spans="1:3" ht="15.75" customHeight="1" x14ac:dyDescent="0.25">
      <c r="A76" s="7" t="s">
        <v>183</v>
      </c>
      <c r="B76" s="9" t="s">
        <v>184</v>
      </c>
      <c r="C76" s="50"/>
    </row>
    <row r="77" spans="1:3" ht="15.75" customHeight="1" thickBot="1" x14ac:dyDescent="0.3">
      <c r="A77" s="38" t="s">
        <v>185</v>
      </c>
      <c r="B77" s="41" t="s">
        <v>186</v>
      </c>
      <c r="C77" s="52"/>
    </row>
    <row r="78" spans="1:3" ht="15.75" customHeight="1" x14ac:dyDescent="0.25">
      <c r="A78" s="21" t="s">
        <v>187</v>
      </c>
      <c r="B78" s="25" t="s">
        <v>188</v>
      </c>
      <c r="C78" s="53" t="s">
        <v>189</v>
      </c>
    </row>
    <row r="79" spans="1:3" ht="15.75" customHeight="1" x14ac:dyDescent="0.25">
      <c r="A79" s="7" t="s">
        <v>190</v>
      </c>
      <c r="B79" s="9" t="s">
        <v>191</v>
      </c>
      <c r="C79" s="50"/>
    </row>
    <row r="80" spans="1:3" ht="15.75" customHeight="1" x14ac:dyDescent="0.25">
      <c r="A80" s="7" t="s">
        <v>192</v>
      </c>
      <c r="B80" s="9" t="s">
        <v>193</v>
      </c>
      <c r="C80" s="50"/>
    </row>
    <row r="81" spans="1:3" ht="15.75" customHeight="1" x14ac:dyDescent="0.25">
      <c r="A81" s="7" t="s">
        <v>194</v>
      </c>
      <c r="B81" s="9" t="s">
        <v>195</v>
      </c>
      <c r="C81" s="50"/>
    </row>
    <row r="82" spans="1:3" ht="15.75" customHeight="1" x14ac:dyDescent="0.25">
      <c r="A82" s="7" t="s">
        <v>196</v>
      </c>
      <c r="B82" s="9" t="s">
        <v>197</v>
      </c>
      <c r="C82" s="50"/>
    </row>
    <row r="83" spans="1:3" ht="15.75" customHeight="1" x14ac:dyDescent="0.25">
      <c r="A83" s="7" t="s">
        <v>198</v>
      </c>
      <c r="B83" s="9" t="s">
        <v>199</v>
      </c>
      <c r="C83" s="50"/>
    </row>
    <row r="84" spans="1:3" ht="15.75" customHeight="1" x14ac:dyDescent="0.25">
      <c r="A84" s="7" t="s">
        <v>200</v>
      </c>
      <c r="B84" s="9" t="s">
        <v>201</v>
      </c>
      <c r="C84" s="50"/>
    </row>
    <row r="85" spans="1:3" ht="15.75" customHeight="1" x14ac:dyDescent="0.25">
      <c r="A85" s="7" t="s">
        <v>202</v>
      </c>
      <c r="B85" s="9" t="s">
        <v>203</v>
      </c>
      <c r="C85" s="50"/>
    </row>
    <row r="86" spans="1:3" ht="15.75" customHeight="1" x14ac:dyDescent="0.25">
      <c r="A86" s="7" t="s">
        <v>79</v>
      </c>
      <c r="B86" s="9" t="s">
        <v>204</v>
      </c>
      <c r="C86" s="50"/>
    </row>
    <row r="87" spans="1:3" ht="15.75" customHeight="1" x14ac:dyDescent="0.25">
      <c r="A87" s="7" t="s">
        <v>83</v>
      </c>
      <c r="B87" s="9" t="s">
        <v>205</v>
      </c>
      <c r="C87" s="50"/>
    </row>
    <row r="88" spans="1:3" ht="15.75" customHeight="1" x14ac:dyDescent="0.25">
      <c r="A88" s="7" t="s">
        <v>86</v>
      </c>
      <c r="B88" s="9" t="s">
        <v>206</v>
      </c>
      <c r="C88" s="50"/>
    </row>
    <row r="89" spans="1:3" ht="15.75" customHeight="1" x14ac:dyDescent="0.25">
      <c r="A89" s="7" t="s">
        <v>89</v>
      </c>
      <c r="B89" s="9" t="s">
        <v>207</v>
      </c>
      <c r="C89" s="50"/>
    </row>
    <row r="90" spans="1:3" ht="15.75" customHeight="1" x14ac:dyDescent="0.25">
      <c r="A90" s="7" t="s">
        <v>208</v>
      </c>
      <c r="B90" s="9" t="s">
        <v>209</v>
      </c>
      <c r="C90" s="50"/>
    </row>
    <row r="91" spans="1:3" ht="15.75" customHeight="1" x14ac:dyDescent="0.25">
      <c r="A91" s="7" t="s">
        <v>210</v>
      </c>
      <c r="B91" s="9" t="s">
        <v>211</v>
      </c>
      <c r="C91" s="50"/>
    </row>
    <row r="92" spans="1:3" ht="15.75" customHeight="1" x14ac:dyDescent="0.25">
      <c r="A92" s="7" t="s">
        <v>47</v>
      </c>
      <c r="B92" s="9" t="s">
        <v>212</v>
      </c>
      <c r="C92" s="50"/>
    </row>
    <row r="93" spans="1:3" ht="15.75" customHeight="1" x14ac:dyDescent="0.25">
      <c r="A93" s="7" t="s">
        <v>58</v>
      </c>
      <c r="B93" s="9" t="s">
        <v>213</v>
      </c>
      <c r="C93" s="50"/>
    </row>
    <row r="94" spans="1:3" ht="15.75" customHeight="1" x14ac:dyDescent="0.25">
      <c r="A94" s="7" t="s">
        <v>60</v>
      </c>
      <c r="B94" s="9" t="s">
        <v>214</v>
      </c>
      <c r="C94" s="50"/>
    </row>
    <row r="95" spans="1:3" ht="15.75" customHeight="1" x14ac:dyDescent="0.25">
      <c r="A95" s="7" t="s">
        <v>58</v>
      </c>
      <c r="B95" s="9" t="s">
        <v>215</v>
      </c>
      <c r="C95" s="50"/>
    </row>
    <row r="96" spans="1:3" ht="15.75" customHeight="1" x14ac:dyDescent="0.25">
      <c r="A96" s="7" t="s">
        <v>60</v>
      </c>
      <c r="B96" s="9" t="s">
        <v>216</v>
      </c>
      <c r="C96" s="50"/>
    </row>
    <row r="97" spans="1:3" ht="15.75" customHeight="1" x14ac:dyDescent="0.25">
      <c r="A97" s="7" t="s">
        <v>217</v>
      </c>
      <c r="B97" s="9" t="s">
        <v>218</v>
      </c>
      <c r="C97" s="50"/>
    </row>
    <row r="98" spans="1:3" ht="15.75" customHeight="1" thickBot="1" x14ac:dyDescent="0.3">
      <c r="A98" s="38" t="s">
        <v>27</v>
      </c>
      <c r="B98" s="41" t="s">
        <v>219</v>
      </c>
      <c r="C98" s="52"/>
    </row>
    <row r="99" spans="1:3" ht="15.75" customHeight="1" x14ac:dyDescent="0.25">
      <c r="A99" s="21" t="s">
        <v>220</v>
      </c>
      <c r="B99" s="25" t="s">
        <v>221</v>
      </c>
      <c r="C99" s="53" t="s">
        <v>222</v>
      </c>
    </row>
    <row r="100" spans="1:3" ht="15.75" customHeight="1" x14ac:dyDescent="0.25">
      <c r="A100" s="7" t="s">
        <v>223</v>
      </c>
      <c r="B100" s="9" t="s">
        <v>224</v>
      </c>
      <c r="C100" s="50"/>
    </row>
    <row r="101" spans="1:3" ht="15.75" customHeight="1" x14ac:dyDescent="0.25">
      <c r="A101" s="7" t="s">
        <v>225</v>
      </c>
      <c r="B101" s="9" t="s">
        <v>226</v>
      </c>
      <c r="C101" s="50"/>
    </row>
    <row r="102" spans="1:3" ht="15.75" customHeight="1" x14ac:dyDescent="0.25">
      <c r="A102" s="7" t="s">
        <v>227</v>
      </c>
      <c r="B102" s="9" t="s">
        <v>228</v>
      </c>
      <c r="C102" s="50"/>
    </row>
    <row r="103" spans="1:3" ht="15.75" customHeight="1" x14ac:dyDescent="0.25">
      <c r="A103" s="7" t="s">
        <v>225</v>
      </c>
      <c r="B103" s="9" t="s">
        <v>229</v>
      </c>
      <c r="C103" s="50"/>
    </row>
    <row r="104" spans="1:3" ht="15.75" customHeight="1" x14ac:dyDescent="0.25">
      <c r="A104" s="7" t="s">
        <v>227</v>
      </c>
      <c r="B104" s="9" t="s">
        <v>230</v>
      </c>
      <c r="C104" s="50"/>
    </row>
    <row r="105" spans="1:3" ht="15.75" customHeight="1" x14ac:dyDescent="0.25">
      <c r="A105" s="7" t="s">
        <v>225</v>
      </c>
      <c r="B105" s="9" t="s">
        <v>231</v>
      </c>
      <c r="C105" s="50"/>
    </row>
    <row r="106" spans="1:3" ht="15.75" customHeight="1" x14ac:dyDescent="0.25">
      <c r="A106" s="7" t="s">
        <v>227</v>
      </c>
      <c r="B106" s="9" t="s">
        <v>232</v>
      </c>
      <c r="C106" s="50"/>
    </row>
    <row r="107" spans="1:3" ht="15.75" customHeight="1" x14ac:dyDescent="0.25">
      <c r="A107" s="7" t="s">
        <v>233</v>
      </c>
      <c r="B107" s="9" t="s">
        <v>234</v>
      </c>
      <c r="C107" s="50"/>
    </row>
    <row r="108" spans="1:3" ht="15.75" customHeight="1" x14ac:dyDescent="0.25">
      <c r="A108" s="7" t="s">
        <v>235</v>
      </c>
      <c r="B108" s="9" t="s">
        <v>236</v>
      </c>
      <c r="C108" s="50"/>
    </row>
    <row r="109" spans="1:3" ht="15.75" customHeight="1" x14ac:dyDescent="0.25">
      <c r="A109" s="7" t="s">
        <v>237</v>
      </c>
      <c r="B109" s="9" t="s">
        <v>238</v>
      </c>
      <c r="C109" s="50"/>
    </row>
    <row r="110" spans="1:3" ht="15.75" customHeight="1" x14ac:dyDescent="0.25">
      <c r="A110" s="7" t="s">
        <v>239</v>
      </c>
      <c r="B110" s="9" t="s">
        <v>240</v>
      </c>
      <c r="C110" s="50"/>
    </row>
    <row r="111" spans="1:3" ht="15.75" customHeight="1" x14ac:dyDescent="0.25">
      <c r="A111" s="7" t="s">
        <v>241</v>
      </c>
      <c r="B111" s="9" t="s">
        <v>242</v>
      </c>
      <c r="C111" s="50"/>
    </row>
    <row r="112" spans="1:3" ht="15.75" customHeight="1" x14ac:dyDescent="0.25">
      <c r="A112" s="7" t="s">
        <v>243</v>
      </c>
      <c r="B112" s="9" t="s">
        <v>244</v>
      </c>
      <c r="C112" s="50"/>
    </row>
    <row r="113" spans="1:3" ht="15.75" customHeight="1" x14ac:dyDescent="0.25">
      <c r="A113" s="7" t="s">
        <v>245</v>
      </c>
      <c r="B113" s="9" t="s">
        <v>246</v>
      </c>
      <c r="C113" s="50"/>
    </row>
    <row r="114" spans="1:3" ht="15.75" customHeight="1" thickBot="1" x14ac:dyDescent="0.3">
      <c r="A114" s="17" t="s">
        <v>247</v>
      </c>
      <c r="B114" s="20" t="s">
        <v>248</v>
      </c>
      <c r="C114" s="51"/>
    </row>
    <row r="115" spans="1:3" ht="15.75" customHeight="1" x14ac:dyDescent="0.25"/>
    <row r="116" spans="1:3" ht="15.75" customHeight="1" x14ac:dyDescent="0.25"/>
    <row r="117" spans="1:3" ht="15.75" customHeight="1" x14ac:dyDescent="0.25"/>
    <row r="118" spans="1:3" ht="15.75" customHeight="1" x14ac:dyDescent="0.25"/>
    <row r="119" spans="1:3" ht="15.75" customHeight="1" x14ac:dyDescent="0.25"/>
    <row r="120" spans="1:3" ht="15.75" customHeight="1" x14ac:dyDescent="0.25"/>
    <row r="121" spans="1:3" ht="15.75" customHeight="1" x14ac:dyDescent="0.25"/>
    <row r="122" spans="1:3" ht="15.75" customHeight="1" x14ac:dyDescent="0.25"/>
    <row r="123" spans="1:3" ht="15.75" customHeight="1" x14ac:dyDescent="0.25"/>
    <row r="124" spans="1:3" ht="15.75" customHeight="1" x14ac:dyDescent="0.25"/>
    <row r="125" spans="1:3" ht="15.75" customHeight="1" x14ac:dyDescent="0.25"/>
    <row r="126" spans="1:3" ht="15.75" customHeight="1" x14ac:dyDescent="0.25"/>
    <row r="127" spans="1:3" ht="15.75" customHeight="1" x14ac:dyDescent="0.25"/>
    <row r="128" spans="1:3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1">
    <mergeCell ref="C37:C41"/>
    <mergeCell ref="C2:C12"/>
    <mergeCell ref="C13:C16"/>
    <mergeCell ref="C17:C24"/>
    <mergeCell ref="C25:C29"/>
    <mergeCell ref="C30:C36"/>
    <mergeCell ref="C42:C50"/>
    <mergeCell ref="C51:C59"/>
    <mergeCell ref="C60:C77"/>
    <mergeCell ref="C78:C98"/>
    <mergeCell ref="C99:C1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143"/>
  <sheetViews>
    <sheetView tabSelected="1" topLeftCell="A58" workbookViewId="0">
      <selection activeCell="B83" sqref="B83"/>
    </sheetView>
  </sheetViews>
  <sheetFormatPr defaultRowHeight="15" x14ac:dyDescent="0.25"/>
  <cols>
    <col min="1" max="1" width="26.85546875" customWidth="1"/>
    <col min="2" max="2" width="18.7109375" customWidth="1"/>
    <col min="3" max="3" width="4.85546875" customWidth="1"/>
    <col min="4" max="4" width="6.140625" customWidth="1"/>
    <col min="5" max="5" width="8" customWidth="1"/>
    <col min="6" max="6" width="9" customWidth="1"/>
    <col min="7" max="7" width="7.140625" customWidth="1"/>
    <col min="8" max="8" width="4.28515625" customWidth="1"/>
    <col min="9" max="9" width="8.7109375" customWidth="1"/>
    <col min="10" max="10" width="8" customWidth="1"/>
    <col min="11" max="11" width="3" customWidth="1"/>
    <col min="12" max="12" width="12.28515625" customWidth="1"/>
    <col min="13" max="13" width="2.7109375" customWidth="1"/>
    <col min="14" max="14" width="7.85546875" customWidth="1"/>
    <col min="15" max="15" width="7.140625" customWidth="1"/>
    <col min="17" max="17" width="13.85546875" customWidth="1"/>
    <col min="18" max="18" width="2.5703125" customWidth="1"/>
    <col min="19" max="19" width="6.85546875" customWidth="1"/>
    <col min="20" max="20" width="10.140625" customWidth="1"/>
    <col min="23" max="23" width="3.28515625" customWidth="1"/>
    <col min="24" max="24" width="3.140625" customWidth="1"/>
    <col min="25" max="25" width="14" customWidth="1"/>
    <col min="26" max="26" width="3.42578125" customWidth="1"/>
    <col min="27" max="27" width="3.5703125" customWidth="1"/>
    <col min="28" max="28" width="3.28515625" customWidth="1"/>
    <col min="29" max="29" width="5.42578125" customWidth="1"/>
    <col min="30" max="30" width="5" customWidth="1"/>
    <col min="31" max="31" width="2.28515625" customWidth="1"/>
    <col min="32" max="32" width="4.140625" customWidth="1"/>
    <col min="33" max="34" width="2.7109375" customWidth="1"/>
    <col min="35" max="35" width="4.7109375" customWidth="1"/>
    <col min="36" max="36" width="8.28515625" customWidth="1"/>
    <col min="37" max="37" width="18" customWidth="1"/>
    <col min="38" max="38" width="4.85546875" customWidth="1"/>
    <col min="39" max="39" width="5.28515625" customWidth="1"/>
    <col min="40" max="40" width="5.42578125" customWidth="1"/>
    <col min="41" max="43" width="4.85546875" customWidth="1"/>
    <col min="44" max="44" width="4.140625" customWidth="1"/>
    <col min="45" max="45" width="5.5703125" customWidth="1"/>
    <col min="46" max="46" width="4.5703125" customWidth="1"/>
    <col min="47" max="47" width="9.140625" hidden="1" customWidth="1"/>
    <col min="48" max="48" width="4.42578125" customWidth="1"/>
    <col min="49" max="49" width="4" customWidth="1"/>
    <col min="50" max="50" width="5" customWidth="1"/>
    <col min="51" max="51" width="1.5703125" customWidth="1"/>
    <col min="52" max="52" width="13.7109375" customWidth="1"/>
    <col min="53" max="53" width="9.42578125" customWidth="1"/>
    <col min="59" max="59" width="17" customWidth="1"/>
  </cols>
  <sheetData>
    <row r="1" spans="1:77" x14ac:dyDescent="0.25"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304</v>
      </c>
      <c r="H1" t="s">
        <v>305</v>
      </c>
      <c r="I1" t="s">
        <v>306</v>
      </c>
      <c r="J1" t="s">
        <v>307</v>
      </c>
      <c r="K1" t="s">
        <v>308</v>
      </c>
      <c r="L1" t="s">
        <v>309</v>
      </c>
      <c r="M1" t="s">
        <v>310</v>
      </c>
      <c r="N1" t="s">
        <v>311</v>
      </c>
      <c r="O1" t="s">
        <v>312</v>
      </c>
      <c r="P1" t="s">
        <v>313</v>
      </c>
      <c r="Q1" t="s">
        <v>314</v>
      </c>
      <c r="R1" t="s">
        <v>315</v>
      </c>
      <c r="S1" t="s">
        <v>316</v>
      </c>
      <c r="T1" t="s">
        <v>317</v>
      </c>
      <c r="U1" t="s">
        <v>318</v>
      </c>
      <c r="V1" t="s">
        <v>319</v>
      </c>
      <c r="W1" t="s">
        <v>320</v>
      </c>
      <c r="X1" t="s">
        <v>321</v>
      </c>
      <c r="Y1" t="s">
        <v>322</v>
      </c>
      <c r="Z1" t="s">
        <v>323</v>
      </c>
      <c r="AA1" t="s">
        <v>324</v>
      </c>
      <c r="AB1" t="s">
        <v>325</v>
      </c>
      <c r="AC1" t="s">
        <v>326</v>
      </c>
      <c r="AD1" t="s">
        <v>327</v>
      </c>
      <c r="AE1" t="s">
        <v>328</v>
      </c>
      <c r="AF1" t="s">
        <v>329</v>
      </c>
      <c r="AG1" t="s">
        <v>330</v>
      </c>
      <c r="AH1" t="s">
        <v>331</v>
      </c>
      <c r="AI1" t="s">
        <v>332</v>
      </c>
      <c r="AJ1" t="s">
        <v>333</v>
      </c>
      <c r="AK1" t="s">
        <v>334</v>
      </c>
      <c r="AL1" t="s">
        <v>335</v>
      </c>
      <c r="AM1" t="s">
        <v>336</v>
      </c>
      <c r="AN1" t="s">
        <v>337</v>
      </c>
      <c r="AO1" t="s">
        <v>338</v>
      </c>
      <c r="AP1" t="s">
        <v>339</v>
      </c>
      <c r="AQ1" t="s">
        <v>340</v>
      </c>
      <c r="AR1" t="s">
        <v>341</v>
      </c>
      <c r="AS1" t="s">
        <v>342</v>
      </c>
      <c r="AT1" t="s">
        <v>343</v>
      </c>
      <c r="AU1" t="s">
        <v>344</v>
      </c>
      <c r="AV1" t="s">
        <v>345</v>
      </c>
      <c r="AW1" t="s">
        <v>346</v>
      </c>
      <c r="AX1" t="s">
        <v>347</v>
      </c>
      <c r="AY1" t="s">
        <v>348</v>
      </c>
      <c r="AZ1" t="s">
        <v>349</v>
      </c>
      <c r="BA1" t="s">
        <v>350</v>
      </c>
      <c r="BB1" s="46" t="s">
        <v>351</v>
      </c>
      <c r="BC1" t="s">
        <v>352</v>
      </c>
      <c r="BD1" t="s">
        <v>353</v>
      </c>
      <c r="BE1" t="s">
        <v>354</v>
      </c>
      <c r="BF1" t="s">
        <v>355</v>
      </c>
      <c r="BG1" t="s">
        <v>356</v>
      </c>
      <c r="BH1" t="s">
        <v>357</v>
      </c>
      <c r="BI1" t="s">
        <v>358</v>
      </c>
      <c r="BJ1" t="s">
        <v>359</v>
      </c>
      <c r="BK1" t="s">
        <v>360</v>
      </c>
      <c r="BL1" t="s">
        <v>361</v>
      </c>
      <c r="BM1" t="s">
        <v>362</v>
      </c>
      <c r="BN1" t="s">
        <v>363</v>
      </c>
      <c r="BO1" t="s">
        <v>364</v>
      </c>
      <c r="BP1" t="s">
        <v>365</v>
      </c>
      <c r="BQ1" t="s">
        <v>366</v>
      </c>
      <c r="BR1" t="s">
        <v>367</v>
      </c>
      <c r="BS1" s="47" t="s">
        <v>368</v>
      </c>
      <c r="BT1" t="s">
        <v>369</v>
      </c>
      <c r="BU1" t="s">
        <v>370</v>
      </c>
      <c r="BV1" t="s">
        <v>371</v>
      </c>
      <c r="BW1" t="s">
        <v>372</v>
      </c>
      <c r="BX1" t="s">
        <v>373</v>
      </c>
      <c r="BY1" t="s">
        <v>374</v>
      </c>
    </row>
    <row r="2" spans="1:77" x14ac:dyDescent="0.25">
      <c r="A2" t="s">
        <v>375</v>
      </c>
      <c r="B2" t="s">
        <v>467</v>
      </c>
      <c r="C2" t="s">
        <v>477</v>
      </c>
      <c r="D2">
        <v>0.35</v>
      </c>
      <c r="E2">
        <f>2.002*1.775</f>
        <v>3.5535499999999995</v>
      </c>
      <c r="F2">
        <v>1533.5</v>
      </c>
      <c r="G2">
        <f>673.3/1000</f>
        <v>0.67330000000000001</v>
      </c>
      <c r="H2">
        <v>0.59</v>
      </c>
      <c r="I2">
        <v>3.0710000000000002</v>
      </c>
      <c r="J2">
        <v>136</v>
      </c>
      <c r="L2">
        <v>2000</v>
      </c>
      <c r="M2">
        <v>1</v>
      </c>
      <c r="N2">
        <v>562.33330000000001</v>
      </c>
      <c r="O2">
        <v>9.89</v>
      </c>
      <c r="P2">
        <v>167.33330000000001</v>
      </c>
      <c r="Q2" t="s">
        <v>479</v>
      </c>
      <c r="R2" t="s">
        <v>480</v>
      </c>
      <c r="S2">
        <v>6</v>
      </c>
      <c r="T2">
        <v>61</v>
      </c>
      <c r="U2">
        <v>2.13</v>
      </c>
      <c r="V2" s="48" t="s">
        <v>481</v>
      </c>
      <c r="W2">
        <v>0</v>
      </c>
      <c r="X2">
        <v>4</v>
      </c>
      <c r="Y2" t="b">
        <v>0</v>
      </c>
      <c r="Z2">
        <v>0.83299999999999996</v>
      </c>
      <c r="AA2">
        <v>21.6</v>
      </c>
      <c r="AB2">
        <v>0</v>
      </c>
      <c r="AC2">
        <v>0</v>
      </c>
      <c r="AD2">
        <v>8</v>
      </c>
      <c r="AE2">
        <v>75</v>
      </c>
      <c r="AF2">
        <v>0.97</v>
      </c>
      <c r="AG2">
        <v>110</v>
      </c>
      <c r="AH2">
        <v>-0.68110000000000004</v>
      </c>
      <c r="AI2">
        <v>0.81499999999999995</v>
      </c>
      <c r="AJ2">
        <v>4</v>
      </c>
      <c r="AK2">
        <v>8.0000000000000002E-3</v>
      </c>
      <c r="AL2">
        <v>0.33600000000000002</v>
      </c>
      <c r="AM2">
        <v>0.7</v>
      </c>
      <c r="AN2">
        <v>0.4</v>
      </c>
      <c r="AO2">
        <v>0.8</v>
      </c>
      <c r="AP2">
        <v>0</v>
      </c>
      <c r="AQ2">
        <v>0</v>
      </c>
      <c r="AR2">
        <v>60</v>
      </c>
      <c r="AS2">
        <v>0.2</v>
      </c>
      <c r="AT2">
        <v>0</v>
      </c>
      <c r="AU2">
        <v>30</v>
      </c>
      <c r="AV2">
        <v>100</v>
      </c>
      <c r="AW2">
        <v>1</v>
      </c>
      <c r="AX2">
        <v>0.86</v>
      </c>
      <c r="AZ2" t="b">
        <v>0</v>
      </c>
      <c r="BA2">
        <v>114</v>
      </c>
      <c r="BB2">
        <v>0.92</v>
      </c>
      <c r="BC2">
        <v>1.4</v>
      </c>
      <c r="BD2">
        <v>5.0000000000000001E-3</v>
      </c>
      <c r="BE2">
        <v>0.98</v>
      </c>
      <c r="BS2">
        <v>6.6</v>
      </c>
      <c r="BX2">
        <v>30</v>
      </c>
    </row>
    <row r="3" spans="1:77" x14ac:dyDescent="0.25">
      <c r="A3" t="s">
        <v>376</v>
      </c>
      <c r="B3" t="s">
        <v>468</v>
      </c>
      <c r="C3" t="s">
        <v>477</v>
      </c>
      <c r="D3">
        <v>0.35</v>
      </c>
      <c r="E3">
        <f>2.002*1.775</f>
        <v>3.5535499999999995</v>
      </c>
      <c r="F3">
        <v>1533.5</v>
      </c>
      <c r="G3">
        <f>673.3/1000</f>
        <v>0.67330000000000001</v>
      </c>
      <c r="H3">
        <v>0.59</v>
      </c>
      <c r="I3">
        <v>3.0710000000000002</v>
      </c>
      <c r="J3">
        <v>136</v>
      </c>
      <c r="L3">
        <v>2000</v>
      </c>
      <c r="M3">
        <v>1</v>
      </c>
      <c r="N3">
        <v>562.33330000000001</v>
      </c>
      <c r="O3">
        <v>9.89</v>
      </c>
      <c r="P3">
        <v>167.33330000000001</v>
      </c>
      <c r="Q3" t="s">
        <v>479</v>
      </c>
      <c r="R3" t="s">
        <v>480</v>
      </c>
      <c r="S3">
        <v>6</v>
      </c>
      <c r="T3">
        <v>61</v>
      </c>
      <c r="U3">
        <v>2.13</v>
      </c>
      <c r="V3" t="s">
        <v>481</v>
      </c>
      <c r="W3">
        <v>0</v>
      </c>
      <c r="X3">
        <v>4</v>
      </c>
      <c r="Y3" t="b">
        <v>0</v>
      </c>
      <c r="Z3">
        <v>0.83299999999999996</v>
      </c>
      <c r="AA3">
        <v>21.6</v>
      </c>
      <c r="AB3">
        <v>0</v>
      </c>
      <c r="AC3">
        <v>0</v>
      </c>
      <c r="AD3">
        <v>8</v>
      </c>
      <c r="AE3">
        <v>75</v>
      </c>
      <c r="AF3">
        <v>0.97</v>
      </c>
      <c r="AG3">
        <v>110</v>
      </c>
      <c r="AH3">
        <v>-0.68110000000000004</v>
      </c>
      <c r="AI3">
        <v>0.81499999999999995</v>
      </c>
      <c r="AJ3">
        <v>4</v>
      </c>
      <c r="AK3">
        <v>8.0000000000000002E-3</v>
      </c>
      <c r="AL3">
        <v>0.33600000000000002</v>
      </c>
      <c r="AM3">
        <v>0.7</v>
      </c>
      <c r="AN3">
        <v>0.4</v>
      </c>
      <c r="AO3">
        <v>0.8</v>
      </c>
      <c r="AP3">
        <v>0</v>
      </c>
      <c r="AQ3">
        <v>0</v>
      </c>
      <c r="AR3">
        <v>60</v>
      </c>
      <c r="AS3">
        <v>0.2</v>
      </c>
      <c r="AT3">
        <v>0</v>
      </c>
      <c r="AU3">
        <v>30</v>
      </c>
      <c r="AV3">
        <v>100</v>
      </c>
      <c r="AW3">
        <v>1</v>
      </c>
      <c r="AX3">
        <v>0.86</v>
      </c>
      <c r="AZ3" t="b">
        <v>0</v>
      </c>
      <c r="BA3">
        <v>114</v>
      </c>
      <c r="BB3">
        <v>0.98</v>
      </c>
      <c r="BC3">
        <v>1.4</v>
      </c>
      <c r="BD3">
        <v>5.0000000000000001E-3</v>
      </c>
      <c r="BE3">
        <v>0.98</v>
      </c>
      <c r="BS3">
        <v>6.6</v>
      </c>
      <c r="BX3">
        <v>30</v>
      </c>
    </row>
    <row r="4" spans="1:77" x14ac:dyDescent="0.25">
      <c r="A4" t="s">
        <v>377</v>
      </c>
      <c r="B4" t="s">
        <v>472</v>
      </c>
      <c r="C4" t="s">
        <v>477</v>
      </c>
      <c r="D4">
        <v>0.36</v>
      </c>
      <c r="E4">
        <f>71*64*25.4*25.4/1000000</f>
        <v>2.9316070399999994</v>
      </c>
      <c r="F4">
        <v>1533.5</v>
      </c>
      <c r="G4">
        <f t="shared" ref="G4:G9" si="0">664.7/1000</f>
        <v>0.66470000000000007</v>
      </c>
      <c r="H4">
        <v>0.59</v>
      </c>
      <c r="I4">
        <v>2.5960000000000001</v>
      </c>
      <c r="J4">
        <v>136</v>
      </c>
      <c r="L4">
        <v>2000</v>
      </c>
      <c r="M4">
        <v>1</v>
      </c>
      <c r="N4">
        <v>562.33330000000001</v>
      </c>
      <c r="O4">
        <v>9.89</v>
      </c>
      <c r="P4">
        <v>167.33330000000001</v>
      </c>
      <c r="Q4" t="s">
        <v>479</v>
      </c>
      <c r="R4" t="s">
        <v>480</v>
      </c>
      <c r="S4">
        <v>6</v>
      </c>
      <c r="T4">
        <v>61</v>
      </c>
      <c r="U4">
        <v>2.13</v>
      </c>
      <c r="V4" t="s">
        <v>481</v>
      </c>
      <c r="W4">
        <v>0</v>
      </c>
      <c r="X4">
        <v>4</v>
      </c>
      <c r="Y4" t="b">
        <v>0</v>
      </c>
      <c r="Z4">
        <v>0.83299999999999996</v>
      </c>
      <c r="AA4">
        <v>21.6</v>
      </c>
      <c r="AB4">
        <v>0</v>
      </c>
      <c r="AC4">
        <v>0</v>
      </c>
      <c r="AD4">
        <v>8</v>
      </c>
      <c r="AE4">
        <v>75</v>
      </c>
      <c r="AF4">
        <v>0.97</v>
      </c>
      <c r="AG4">
        <v>110</v>
      </c>
      <c r="AH4">
        <v>-0.68110000000000004</v>
      </c>
      <c r="AI4">
        <v>0.81499999999999995</v>
      </c>
      <c r="AJ4">
        <v>4</v>
      </c>
      <c r="AK4">
        <v>7.4999999999999997E-3</v>
      </c>
      <c r="AL4">
        <v>0.33600000000000002</v>
      </c>
      <c r="AM4">
        <v>0.7</v>
      </c>
      <c r="AN4">
        <v>0.4</v>
      </c>
      <c r="AO4">
        <v>0.8</v>
      </c>
      <c r="AP4">
        <v>0</v>
      </c>
      <c r="AQ4">
        <v>0</v>
      </c>
      <c r="AR4">
        <v>60</v>
      </c>
      <c r="AS4">
        <v>0.2</v>
      </c>
      <c r="AT4">
        <v>0</v>
      </c>
      <c r="AU4">
        <v>30</v>
      </c>
      <c r="AV4">
        <v>100</v>
      </c>
      <c r="AW4">
        <v>1</v>
      </c>
      <c r="AX4">
        <v>0.86</v>
      </c>
      <c r="AZ4" t="b">
        <v>0</v>
      </c>
      <c r="BA4">
        <v>114</v>
      </c>
      <c r="BB4">
        <v>0.92</v>
      </c>
      <c r="BC4">
        <v>1.4</v>
      </c>
      <c r="BD4">
        <v>5.0000000000000001E-3</v>
      </c>
      <c r="BE4">
        <v>0.98</v>
      </c>
      <c r="BS4">
        <v>9.3000000000000007</v>
      </c>
      <c r="BX4">
        <v>30</v>
      </c>
    </row>
    <row r="5" spans="1:77" x14ac:dyDescent="0.25">
      <c r="A5" t="s">
        <v>378</v>
      </c>
      <c r="B5" t="s">
        <v>473</v>
      </c>
      <c r="C5" t="s">
        <v>477</v>
      </c>
      <c r="D5">
        <v>0.36</v>
      </c>
      <c r="E5">
        <f>71*64*25.4*25.4/1000000</f>
        <v>2.9316070399999994</v>
      </c>
      <c r="F5">
        <v>1533.5</v>
      </c>
      <c r="G5">
        <f t="shared" si="0"/>
        <v>0.66470000000000007</v>
      </c>
      <c r="H5">
        <v>0.59</v>
      </c>
      <c r="I5">
        <v>2.5960000000000001</v>
      </c>
      <c r="J5">
        <v>136</v>
      </c>
      <c r="L5">
        <v>2000</v>
      </c>
      <c r="M5">
        <v>1</v>
      </c>
      <c r="N5">
        <v>562.33330000000001</v>
      </c>
      <c r="O5">
        <v>9.89</v>
      </c>
      <c r="P5">
        <v>167.33330000000001</v>
      </c>
      <c r="Q5" t="s">
        <v>479</v>
      </c>
      <c r="R5" t="s">
        <v>480</v>
      </c>
      <c r="S5">
        <v>6</v>
      </c>
      <c r="T5">
        <v>61</v>
      </c>
      <c r="U5">
        <v>2.13</v>
      </c>
      <c r="V5" t="s">
        <v>481</v>
      </c>
      <c r="W5">
        <v>0</v>
      </c>
      <c r="X5">
        <v>4</v>
      </c>
      <c r="Y5" t="b">
        <v>0</v>
      </c>
      <c r="Z5">
        <v>0.83299999999999996</v>
      </c>
      <c r="AA5">
        <v>21.6</v>
      </c>
      <c r="AB5">
        <v>0</v>
      </c>
      <c r="AC5">
        <v>0</v>
      </c>
      <c r="AD5">
        <v>8</v>
      </c>
      <c r="AE5">
        <v>75</v>
      </c>
      <c r="AF5">
        <v>0.97</v>
      </c>
      <c r="AG5">
        <v>110</v>
      </c>
      <c r="AH5">
        <v>-0.68110000000000004</v>
      </c>
      <c r="AI5">
        <v>0.81499999999999995</v>
      </c>
      <c r="AJ5">
        <v>4</v>
      </c>
      <c r="AK5">
        <v>7.4999999999999997E-3</v>
      </c>
      <c r="AL5">
        <v>0.33600000000000002</v>
      </c>
      <c r="AM5">
        <v>0.7</v>
      </c>
      <c r="AN5">
        <v>0.4</v>
      </c>
      <c r="AO5">
        <v>0.8</v>
      </c>
      <c r="AP5">
        <v>0</v>
      </c>
      <c r="AQ5">
        <v>0</v>
      </c>
      <c r="AR5">
        <v>60</v>
      </c>
      <c r="AS5">
        <v>0.2</v>
      </c>
      <c r="AT5">
        <v>0</v>
      </c>
      <c r="AU5">
        <v>30</v>
      </c>
      <c r="AV5">
        <v>100</v>
      </c>
      <c r="AW5">
        <v>1</v>
      </c>
      <c r="AX5">
        <v>0.86</v>
      </c>
      <c r="AZ5" t="b">
        <v>0</v>
      </c>
      <c r="BA5">
        <v>114</v>
      </c>
      <c r="BB5">
        <v>0.98</v>
      </c>
      <c r="BC5">
        <v>1.4</v>
      </c>
      <c r="BD5">
        <v>5.0000000000000001E-3</v>
      </c>
      <c r="BE5">
        <v>0.98</v>
      </c>
      <c r="BS5">
        <v>9.3000000000000007</v>
      </c>
      <c r="BX5">
        <v>30</v>
      </c>
    </row>
    <row r="6" spans="1:77" x14ac:dyDescent="0.25">
      <c r="A6" t="s">
        <v>379</v>
      </c>
      <c r="B6" t="s">
        <v>472</v>
      </c>
      <c r="C6" t="s">
        <v>477</v>
      </c>
      <c r="D6">
        <v>0.32</v>
      </c>
      <c r="E6">
        <f>1.814*1.628</f>
        <v>2.953192</v>
      </c>
      <c r="F6">
        <v>1533.5</v>
      </c>
      <c r="G6">
        <f t="shared" si="0"/>
        <v>0.66470000000000007</v>
      </c>
      <c r="H6">
        <v>0.59</v>
      </c>
      <c r="I6">
        <v>2.5960000000000001</v>
      </c>
      <c r="J6">
        <v>136</v>
      </c>
      <c r="L6">
        <v>2000</v>
      </c>
      <c r="M6">
        <v>1</v>
      </c>
      <c r="N6">
        <v>562.33330000000001</v>
      </c>
      <c r="O6">
        <v>9.89</v>
      </c>
      <c r="P6">
        <v>167.33330000000001</v>
      </c>
      <c r="Q6" t="s">
        <v>479</v>
      </c>
      <c r="R6" t="s">
        <v>480</v>
      </c>
      <c r="S6">
        <v>6</v>
      </c>
      <c r="T6">
        <v>61</v>
      </c>
      <c r="U6">
        <v>2.13</v>
      </c>
      <c r="V6" t="s">
        <v>481</v>
      </c>
      <c r="W6">
        <v>0</v>
      </c>
      <c r="X6">
        <v>4</v>
      </c>
      <c r="Y6" t="b">
        <v>0</v>
      </c>
      <c r="Z6">
        <v>0.83299999999999996</v>
      </c>
      <c r="AA6">
        <v>21.6</v>
      </c>
      <c r="AB6">
        <v>0</v>
      </c>
      <c r="AC6">
        <v>0</v>
      </c>
      <c r="AD6">
        <v>8</v>
      </c>
      <c r="AE6">
        <v>75</v>
      </c>
      <c r="AF6">
        <v>0.97</v>
      </c>
      <c r="AG6">
        <v>110</v>
      </c>
      <c r="AH6">
        <v>-0.68110000000000004</v>
      </c>
      <c r="AI6">
        <v>0.81499999999999995</v>
      </c>
      <c r="AJ6">
        <v>4</v>
      </c>
      <c r="AK6">
        <v>7.4999999999999997E-3</v>
      </c>
      <c r="AL6">
        <v>0.33600000000000002</v>
      </c>
      <c r="AM6">
        <v>0.7</v>
      </c>
      <c r="AN6">
        <v>0.4</v>
      </c>
      <c r="AO6">
        <v>0.8</v>
      </c>
      <c r="AP6">
        <v>0</v>
      </c>
      <c r="AQ6">
        <v>0</v>
      </c>
      <c r="AR6">
        <v>60</v>
      </c>
      <c r="AS6">
        <v>0.2</v>
      </c>
      <c r="AT6">
        <v>0</v>
      </c>
      <c r="AU6">
        <v>30</v>
      </c>
      <c r="AV6">
        <v>100</v>
      </c>
      <c r="AW6">
        <v>1</v>
      </c>
      <c r="AX6">
        <v>0.86</v>
      </c>
      <c r="AZ6" t="b">
        <v>0</v>
      </c>
      <c r="BA6">
        <v>114</v>
      </c>
      <c r="BB6">
        <v>0.92</v>
      </c>
      <c r="BC6">
        <v>1.4</v>
      </c>
      <c r="BD6">
        <v>5.0000000000000001E-3</v>
      </c>
      <c r="BE6">
        <v>0.98</v>
      </c>
      <c r="BS6">
        <v>8.9</v>
      </c>
      <c r="BX6">
        <v>30</v>
      </c>
    </row>
    <row r="7" spans="1:77" x14ac:dyDescent="0.25">
      <c r="A7" t="s">
        <v>380</v>
      </c>
      <c r="B7" t="s">
        <v>473</v>
      </c>
      <c r="C7" t="s">
        <v>477</v>
      </c>
      <c r="D7">
        <v>0.32</v>
      </c>
      <c r="E7">
        <f>1.814*1.628</f>
        <v>2.953192</v>
      </c>
      <c r="F7">
        <v>1533.5</v>
      </c>
      <c r="G7">
        <f t="shared" si="0"/>
        <v>0.66470000000000007</v>
      </c>
      <c r="H7">
        <v>0.59</v>
      </c>
      <c r="I7">
        <v>2.5960000000000001</v>
      </c>
      <c r="J7">
        <v>136</v>
      </c>
      <c r="L7">
        <v>2000</v>
      </c>
      <c r="M7">
        <v>1</v>
      </c>
      <c r="N7">
        <v>562.33330000000001</v>
      </c>
      <c r="O7">
        <v>9.89</v>
      </c>
      <c r="P7">
        <v>167.33330000000001</v>
      </c>
      <c r="Q7" t="s">
        <v>479</v>
      </c>
      <c r="R7" t="s">
        <v>480</v>
      </c>
      <c r="S7">
        <v>6</v>
      </c>
      <c r="T7">
        <v>61</v>
      </c>
      <c r="U7">
        <v>2.13</v>
      </c>
      <c r="V7" t="s">
        <v>481</v>
      </c>
      <c r="W7">
        <v>0</v>
      </c>
      <c r="X7">
        <v>4</v>
      </c>
      <c r="Y7" t="b">
        <v>0</v>
      </c>
      <c r="Z7">
        <v>0.83299999999999996</v>
      </c>
      <c r="AA7">
        <v>21.6</v>
      </c>
      <c r="AB7">
        <v>0</v>
      </c>
      <c r="AC7">
        <v>0</v>
      </c>
      <c r="AD7">
        <v>8</v>
      </c>
      <c r="AE7">
        <v>75</v>
      </c>
      <c r="AF7">
        <v>0.97</v>
      </c>
      <c r="AG7">
        <v>110</v>
      </c>
      <c r="AH7">
        <v>-0.68110000000000004</v>
      </c>
      <c r="AI7">
        <v>0.81499999999999995</v>
      </c>
      <c r="AJ7">
        <v>4</v>
      </c>
      <c r="AK7">
        <v>7.4999999999999997E-3</v>
      </c>
      <c r="AL7">
        <v>0.33600000000000002</v>
      </c>
      <c r="AM7">
        <v>0.7</v>
      </c>
      <c r="AN7">
        <v>0.4</v>
      </c>
      <c r="AO7">
        <v>0.8</v>
      </c>
      <c r="AP7">
        <v>0</v>
      </c>
      <c r="AQ7">
        <v>0</v>
      </c>
      <c r="AR7">
        <v>60</v>
      </c>
      <c r="AS7">
        <v>0.2</v>
      </c>
      <c r="AT7">
        <v>0</v>
      </c>
      <c r="AU7">
        <v>30</v>
      </c>
      <c r="AV7">
        <v>100</v>
      </c>
      <c r="AW7">
        <v>1</v>
      </c>
      <c r="AX7">
        <v>0.86</v>
      </c>
      <c r="AZ7" t="b">
        <v>0</v>
      </c>
      <c r="BA7">
        <v>114</v>
      </c>
      <c r="BB7">
        <v>0.98</v>
      </c>
      <c r="BC7">
        <v>1.4</v>
      </c>
      <c r="BD7">
        <v>5.0000000000000001E-3</v>
      </c>
      <c r="BE7">
        <v>0.98</v>
      </c>
      <c r="BS7">
        <v>8.9</v>
      </c>
      <c r="BX7">
        <v>30</v>
      </c>
    </row>
    <row r="8" spans="1:77" x14ac:dyDescent="0.25">
      <c r="A8" t="s">
        <v>381</v>
      </c>
      <c r="B8" t="s">
        <v>472</v>
      </c>
      <c r="C8" t="s">
        <v>477</v>
      </c>
      <c r="D8">
        <v>0.35</v>
      </c>
      <c r="E8">
        <f>1.882*1.641</f>
        <v>3.0883620000000001</v>
      </c>
      <c r="F8">
        <v>1533.5</v>
      </c>
      <c r="G8">
        <f t="shared" si="0"/>
        <v>0.66470000000000007</v>
      </c>
      <c r="H8">
        <v>0.59</v>
      </c>
      <c r="I8">
        <v>2.7789999999999999</v>
      </c>
      <c r="J8">
        <v>136</v>
      </c>
      <c r="L8">
        <v>2000</v>
      </c>
      <c r="M8">
        <v>1</v>
      </c>
      <c r="N8">
        <v>562.33330000000001</v>
      </c>
      <c r="O8">
        <v>9.89</v>
      </c>
      <c r="P8">
        <v>167.33330000000001</v>
      </c>
      <c r="Q8" t="s">
        <v>479</v>
      </c>
      <c r="R8" t="s">
        <v>480</v>
      </c>
      <c r="S8">
        <v>6</v>
      </c>
      <c r="T8">
        <v>61</v>
      </c>
      <c r="U8">
        <v>2.13</v>
      </c>
      <c r="V8" t="s">
        <v>481</v>
      </c>
      <c r="W8">
        <v>0</v>
      </c>
      <c r="X8">
        <v>4</v>
      </c>
      <c r="Y8" t="b">
        <v>0</v>
      </c>
      <c r="Z8">
        <v>0.83299999999999996</v>
      </c>
      <c r="AA8">
        <v>21.6</v>
      </c>
      <c r="AB8">
        <v>0</v>
      </c>
      <c r="AC8">
        <v>0</v>
      </c>
      <c r="AD8">
        <v>8</v>
      </c>
      <c r="AE8">
        <v>75</v>
      </c>
      <c r="AF8">
        <v>0.97</v>
      </c>
      <c r="AG8">
        <v>110</v>
      </c>
      <c r="AH8">
        <v>-0.68110000000000004</v>
      </c>
      <c r="AI8">
        <v>0.81499999999999995</v>
      </c>
      <c r="AJ8">
        <v>4</v>
      </c>
      <c r="AK8">
        <v>7.4999999999999997E-3</v>
      </c>
      <c r="AL8">
        <v>0.33600000000000002</v>
      </c>
      <c r="AM8">
        <v>0.7</v>
      </c>
      <c r="AN8">
        <v>0.4</v>
      </c>
      <c r="AO8">
        <v>0.8</v>
      </c>
      <c r="AP8">
        <v>0</v>
      </c>
      <c r="AQ8">
        <v>0</v>
      </c>
      <c r="AR8">
        <v>60</v>
      </c>
      <c r="AS8">
        <v>0.2</v>
      </c>
      <c r="AT8">
        <v>0</v>
      </c>
      <c r="AU8">
        <v>30</v>
      </c>
      <c r="AV8">
        <v>100</v>
      </c>
      <c r="AW8">
        <v>1</v>
      </c>
      <c r="AX8">
        <v>0.86</v>
      </c>
      <c r="AZ8" t="b">
        <v>0</v>
      </c>
      <c r="BA8">
        <v>114</v>
      </c>
      <c r="BB8">
        <v>0.92</v>
      </c>
      <c r="BC8">
        <v>1.4</v>
      </c>
      <c r="BD8">
        <v>5.0000000000000001E-3</v>
      </c>
      <c r="BE8">
        <v>0.98</v>
      </c>
      <c r="BS8">
        <v>7.1</v>
      </c>
      <c r="BX8">
        <v>30</v>
      </c>
    </row>
    <row r="9" spans="1:77" x14ac:dyDescent="0.25">
      <c r="A9" t="s">
        <v>382</v>
      </c>
      <c r="B9" t="s">
        <v>473</v>
      </c>
      <c r="C9" t="s">
        <v>477</v>
      </c>
      <c r="D9">
        <v>0.35</v>
      </c>
      <c r="E9">
        <f>1.882*1.641</f>
        <v>3.0883620000000001</v>
      </c>
      <c r="F9">
        <v>1533.5</v>
      </c>
      <c r="G9">
        <f t="shared" si="0"/>
        <v>0.66470000000000007</v>
      </c>
      <c r="H9">
        <v>0.59</v>
      </c>
      <c r="I9">
        <v>2.7789999999999999</v>
      </c>
      <c r="J9">
        <v>136</v>
      </c>
      <c r="L9">
        <v>2000</v>
      </c>
      <c r="M9">
        <v>1</v>
      </c>
      <c r="N9">
        <v>562.33330000000001</v>
      </c>
      <c r="O9">
        <v>9.89</v>
      </c>
      <c r="P9">
        <v>167.33330000000001</v>
      </c>
      <c r="Q9" t="s">
        <v>479</v>
      </c>
      <c r="R9" t="s">
        <v>480</v>
      </c>
      <c r="S9">
        <v>6</v>
      </c>
      <c r="T9">
        <v>61</v>
      </c>
      <c r="U9">
        <v>2.13</v>
      </c>
      <c r="V9" t="s">
        <v>481</v>
      </c>
      <c r="W9">
        <v>0</v>
      </c>
      <c r="X9">
        <v>4</v>
      </c>
      <c r="Y9" t="b">
        <v>0</v>
      </c>
      <c r="Z9">
        <v>0.83299999999999996</v>
      </c>
      <c r="AA9">
        <v>21.6</v>
      </c>
      <c r="AB9">
        <v>0</v>
      </c>
      <c r="AC9">
        <v>0</v>
      </c>
      <c r="AD9">
        <v>8</v>
      </c>
      <c r="AE9">
        <v>75</v>
      </c>
      <c r="AF9">
        <v>0.97</v>
      </c>
      <c r="AG9">
        <v>110</v>
      </c>
      <c r="AH9">
        <v>-0.68110000000000004</v>
      </c>
      <c r="AI9">
        <v>0.81499999999999995</v>
      </c>
      <c r="AJ9">
        <v>4</v>
      </c>
      <c r="AK9">
        <v>7.4999999999999997E-3</v>
      </c>
      <c r="AL9">
        <v>0.33600000000000002</v>
      </c>
      <c r="AM9">
        <v>0.7</v>
      </c>
      <c r="AN9">
        <v>0.4</v>
      </c>
      <c r="AO9">
        <v>0.8</v>
      </c>
      <c r="AP9">
        <v>0</v>
      </c>
      <c r="AQ9">
        <v>0</v>
      </c>
      <c r="AR9">
        <v>60</v>
      </c>
      <c r="AS9">
        <v>0.2</v>
      </c>
      <c r="AT9">
        <v>0</v>
      </c>
      <c r="AU9">
        <v>30</v>
      </c>
      <c r="AV9">
        <v>100</v>
      </c>
      <c r="AW9">
        <v>1</v>
      </c>
      <c r="AX9">
        <v>0.86</v>
      </c>
      <c r="AZ9" t="b">
        <v>0</v>
      </c>
      <c r="BA9">
        <v>114</v>
      </c>
      <c r="BB9">
        <v>0.98</v>
      </c>
      <c r="BC9">
        <v>1.4</v>
      </c>
      <c r="BD9">
        <v>5.0000000000000001E-3</v>
      </c>
      <c r="BE9">
        <v>0.98</v>
      </c>
      <c r="BS9">
        <v>7.1</v>
      </c>
      <c r="BX9">
        <v>30</v>
      </c>
    </row>
    <row r="10" spans="1:77" x14ac:dyDescent="0.25">
      <c r="A10" s="44" t="s">
        <v>383</v>
      </c>
      <c r="B10" s="45" t="s">
        <v>466</v>
      </c>
      <c r="C10" t="s">
        <v>477</v>
      </c>
      <c r="D10">
        <v>0.3</v>
      </c>
      <c r="E10">
        <f>1.867*1.461</f>
        <v>2.727687</v>
      </c>
      <c r="F10">
        <v>1123.242</v>
      </c>
      <c r="G10">
        <f>554.7/1000</f>
        <v>0.55470000000000008</v>
      </c>
      <c r="H10">
        <f>2523/4647</f>
        <v>0.5429309231762427</v>
      </c>
      <c r="I10">
        <v>2.8119999999999998</v>
      </c>
      <c r="J10">
        <v>136</v>
      </c>
      <c r="L10">
        <v>2000</v>
      </c>
      <c r="M10">
        <v>1</v>
      </c>
      <c r="N10">
        <v>457.8571</v>
      </c>
      <c r="O10">
        <v>9.89</v>
      </c>
      <c r="P10">
        <v>112.71420000000001</v>
      </c>
      <c r="Q10" t="s">
        <v>479</v>
      </c>
      <c r="R10" t="s">
        <v>480</v>
      </c>
      <c r="S10">
        <v>6</v>
      </c>
      <c r="T10">
        <v>61</v>
      </c>
      <c r="U10">
        <v>2.13</v>
      </c>
      <c r="V10" t="s">
        <v>481</v>
      </c>
      <c r="W10">
        <v>0</v>
      </c>
      <c r="X10">
        <v>4</v>
      </c>
      <c r="Y10" t="b">
        <v>0</v>
      </c>
      <c r="Z10">
        <v>0.83299999999999996</v>
      </c>
      <c r="AA10">
        <v>21.6</v>
      </c>
      <c r="AB10">
        <v>0</v>
      </c>
      <c r="AC10">
        <v>0</v>
      </c>
      <c r="AD10">
        <v>8</v>
      </c>
      <c r="AE10">
        <v>75</v>
      </c>
      <c r="AF10">
        <v>0.97</v>
      </c>
      <c r="AG10">
        <v>110</v>
      </c>
      <c r="AH10">
        <v>-0.68110000000000004</v>
      </c>
      <c r="AI10">
        <v>0.81499999999999995</v>
      </c>
      <c r="AJ10">
        <v>4</v>
      </c>
      <c r="AK10">
        <v>7.4999999999999997E-3</v>
      </c>
      <c r="AL10">
        <v>0.33600000000000002</v>
      </c>
      <c r="AM10">
        <v>0.7</v>
      </c>
      <c r="AN10">
        <v>0.4</v>
      </c>
      <c r="AO10">
        <v>0.8</v>
      </c>
      <c r="AP10">
        <v>0</v>
      </c>
      <c r="AQ10">
        <v>0</v>
      </c>
      <c r="AR10">
        <v>60</v>
      </c>
      <c r="AS10">
        <v>0.2</v>
      </c>
      <c r="AT10">
        <v>0</v>
      </c>
      <c r="AU10">
        <v>30</v>
      </c>
      <c r="AV10">
        <v>100</v>
      </c>
      <c r="AW10">
        <v>1</v>
      </c>
      <c r="AX10">
        <v>0.86</v>
      </c>
      <c r="AZ10" t="b">
        <v>0</v>
      </c>
      <c r="BA10">
        <v>114</v>
      </c>
      <c r="BB10">
        <v>0.95</v>
      </c>
      <c r="BC10">
        <v>1.4</v>
      </c>
      <c r="BD10">
        <v>5.0000000000000001E-3</v>
      </c>
      <c r="BE10">
        <v>0.98</v>
      </c>
      <c r="BS10">
        <v>7</v>
      </c>
      <c r="BX10">
        <v>30</v>
      </c>
    </row>
    <row r="11" spans="1:77" x14ac:dyDescent="0.25">
      <c r="A11" t="s">
        <v>384</v>
      </c>
      <c r="B11" s="45" t="s">
        <v>466</v>
      </c>
      <c r="C11" t="s">
        <v>477</v>
      </c>
      <c r="D11">
        <v>0.3</v>
      </c>
      <c r="E11">
        <f>1.867*1.461</f>
        <v>2.727687</v>
      </c>
      <c r="F11">
        <v>1123.242</v>
      </c>
      <c r="G11">
        <f>554.7/1000</f>
        <v>0.55470000000000008</v>
      </c>
      <c r="H11">
        <v>0.59</v>
      </c>
      <c r="I11">
        <v>2.8119999999999998</v>
      </c>
      <c r="J11">
        <v>136</v>
      </c>
      <c r="L11">
        <v>2000</v>
      </c>
      <c r="M11">
        <v>1</v>
      </c>
      <c r="N11">
        <v>457.8571</v>
      </c>
      <c r="O11">
        <v>9.89</v>
      </c>
      <c r="P11">
        <v>112.71420000000001</v>
      </c>
      <c r="Q11" t="s">
        <v>479</v>
      </c>
      <c r="R11" t="s">
        <v>480</v>
      </c>
      <c r="S11">
        <v>6</v>
      </c>
      <c r="T11">
        <v>61</v>
      </c>
      <c r="U11">
        <v>2.13</v>
      </c>
      <c r="V11" t="s">
        <v>481</v>
      </c>
      <c r="W11">
        <v>0</v>
      </c>
      <c r="X11">
        <v>4</v>
      </c>
      <c r="Y11" t="b">
        <v>0</v>
      </c>
      <c r="Z11">
        <v>0.83299999999999996</v>
      </c>
      <c r="AA11">
        <v>21.6</v>
      </c>
      <c r="AB11">
        <v>0</v>
      </c>
      <c r="AC11">
        <v>0</v>
      </c>
      <c r="AD11">
        <v>8</v>
      </c>
      <c r="AE11">
        <v>75</v>
      </c>
      <c r="AF11">
        <v>0.97</v>
      </c>
      <c r="AG11">
        <v>110</v>
      </c>
      <c r="AH11">
        <v>-0.68110000000000004</v>
      </c>
      <c r="AI11">
        <v>0.81499999999999995</v>
      </c>
      <c r="AJ11">
        <v>4</v>
      </c>
      <c r="AK11">
        <v>7.4999999999999997E-3</v>
      </c>
      <c r="AL11">
        <v>0.33600000000000002</v>
      </c>
      <c r="AM11">
        <v>0.7</v>
      </c>
      <c r="AN11">
        <v>0.4</v>
      </c>
      <c r="AO11">
        <v>0.8</v>
      </c>
      <c r="AP11">
        <v>0</v>
      </c>
      <c r="AQ11">
        <v>0</v>
      </c>
      <c r="AR11">
        <v>60</v>
      </c>
      <c r="AS11">
        <v>0.2</v>
      </c>
      <c r="AT11">
        <v>0</v>
      </c>
      <c r="AU11">
        <v>30</v>
      </c>
      <c r="AV11">
        <v>100</v>
      </c>
      <c r="AW11">
        <v>1</v>
      </c>
      <c r="AX11">
        <v>0.86</v>
      </c>
      <c r="AZ11" t="b">
        <v>0</v>
      </c>
      <c r="BA11">
        <v>114</v>
      </c>
      <c r="BB11">
        <v>0.95</v>
      </c>
      <c r="BC11">
        <v>1.4</v>
      </c>
      <c r="BD11">
        <v>5.0000000000000001E-3</v>
      </c>
      <c r="BE11">
        <v>0.98</v>
      </c>
      <c r="BS11">
        <v>7</v>
      </c>
      <c r="BX11">
        <v>30</v>
      </c>
    </row>
    <row r="12" spans="1:77" x14ac:dyDescent="0.25">
      <c r="A12" t="s">
        <v>385</v>
      </c>
      <c r="B12" t="s">
        <v>466</v>
      </c>
      <c r="C12" t="s">
        <v>477</v>
      </c>
      <c r="D12">
        <v>0.3</v>
      </c>
      <c r="E12">
        <f>1.862*1.465</f>
        <v>2.7278300000000004</v>
      </c>
      <c r="F12">
        <v>1123.242</v>
      </c>
      <c r="G12">
        <v>0.53</v>
      </c>
      <c r="H12">
        <v>0.59</v>
      </c>
      <c r="I12">
        <v>2.83</v>
      </c>
      <c r="J12">
        <v>136</v>
      </c>
      <c r="L12">
        <v>2000</v>
      </c>
      <c r="M12">
        <v>1</v>
      </c>
      <c r="N12">
        <v>457.8571</v>
      </c>
      <c r="O12">
        <v>9.89</v>
      </c>
      <c r="P12">
        <v>112.71420000000001</v>
      </c>
      <c r="Q12" t="s">
        <v>479</v>
      </c>
      <c r="R12" t="s">
        <v>480</v>
      </c>
      <c r="S12">
        <v>6</v>
      </c>
      <c r="T12">
        <v>61</v>
      </c>
      <c r="U12">
        <v>2.13</v>
      </c>
      <c r="V12" t="s">
        <v>481</v>
      </c>
      <c r="W12">
        <v>0</v>
      </c>
      <c r="X12">
        <v>4</v>
      </c>
      <c r="Y12" t="b">
        <v>0</v>
      </c>
      <c r="Z12">
        <v>0.83299999999999996</v>
      </c>
      <c r="AA12">
        <v>21.6</v>
      </c>
      <c r="AB12">
        <v>0</v>
      </c>
      <c r="AC12">
        <v>0</v>
      </c>
      <c r="AD12">
        <v>8</v>
      </c>
      <c r="AE12">
        <v>75</v>
      </c>
      <c r="AF12">
        <v>0.97</v>
      </c>
      <c r="AG12">
        <v>110</v>
      </c>
      <c r="AH12">
        <v>-0.68110000000000004</v>
      </c>
      <c r="AI12">
        <v>0.81499999999999995</v>
      </c>
      <c r="AJ12">
        <v>4</v>
      </c>
      <c r="AK12">
        <v>7.4999999999999997E-3</v>
      </c>
      <c r="AL12">
        <v>0.33600000000000002</v>
      </c>
      <c r="AM12">
        <v>0.7</v>
      </c>
      <c r="AN12">
        <v>0.4</v>
      </c>
      <c r="AO12">
        <v>0.8</v>
      </c>
      <c r="AP12">
        <v>0</v>
      </c>
      <c r="AQ12">
        <v>0</v>
      </c>
      <c r="AR12">
        <v>60</v>
      </c>
      <c r="AS12">
        <v>0.2</v>
      </c>
      <c r="AT12">
        <v>0</v>
      </c>
      <c r="AU12">
        <v>30</v>
      </c>
      <c r="AV12">
        <v>100</v>
      </c>
      <c r="AW12">
        <v>1</v>
      </c>
      <c r="AX12">
        <v>0.86</v>
      </c>
      <c r="AZ12" t="b">
        <v>0</v>
      </c>
      <c r="BA12">
        <v>114</v>
      </c>
      <c r="BB12">
        <v>0.95</v>
      </c>
      <c r="BC12">
        <v>1.4</v>
      </c>
      <c r="BD12">
        <v>5.0000000000000001E-3</v>
      </c>
      <c r="BE12">
        <v>0.98</v>
      </c>
      <c r="BS12">
        <v>5.6</v>
      </c>
      <c r="BX12">
        <v>30</v>
      </c>
    </row>
    <row r="13" spans="1:77" x14ac:dyDescent="0.25">
      <c r="A13" t="s">
        <v>386</v>
      </c>
      <c r="B13" t="s">
        <v>466</v>
      </c>
      <c r="C13" t="s">
        <v>477</v>
      </c>
      <c r="D13">
        <v>0.3</v>
      </c>
      <c r="E13">
        <f>1.862*1.465</f>
        <v>2.7278300000000004</v>
      </c>
      <c r="F13">
        <v>1123.242</v>
      </c>
      <c r="G13">
        <v>0.53</v>
      </c>
      <c r="H13">
        <v>0.59</v>
      </c>
      <c r="I13">
        <v>2.83</v>
      </c>
      <c r="J13">
        <v>136</v>
      </c>
      <c r="L13">
        <v>2000</v>
      </c>
      <c r="M13">
        <v>1</v>
      </c>
      <c r="N13">
        <v>457.8571</v>
      </c>
      <c r="O13">
        <v>9.89</v>
      </c>
      <c r="P13">
        <v>112.71420000000001</v>
      </c>
      <c r="Q13" t="s">
        <v>479</v>
      </c>
      <c r="R13" t="s">
        <v>480</v>
      </c>
      <c r="S13">
        <v>6</v>
      </c>
      <c r="T13">
        <v>61</v>
      </c>
      <c r="U13">
        <v>2.13</v>
      </c>
      <c r="V13" t="s">
        <v>481</v>
      </c>
      <c r="W13">
        <v>0</v>
      </c>
      <c r="X13">
        <v>4</v>
      </c>
      <c r="Y13" t="b">
        <v>0</v>
      </c>
      <c r="Z13">
        <v>0.83299999999999996</v>
      </c>
      <c r="AA13">
        <v>21.6</v>
      </c>
      <c r="AB13">
        <v>0</v>
      </c>
      <c r="AC13">
        <v>0</v>
      </c>
      <c r="AD13">
        <v>8</v>
      </c>
      <c r="AE13">
        <v>75</v>
      </c>
      <c r="AF13">
        <v>0.97</v>
      </c>
      <c r="AG13">
        <v>110</v>
      </c>
      <c r="AH13">
        <v>-0.68110000000000004</v>
      </c>
      <c r="AI13">
        <v>0.81499999999999995</v>
      </c>
      <c r="AJ13">
        <v>4</v>
      </c>
      <c r="AK13">
        <v>7.4999999999999997E-3</v>
      </c>
      <c r="AL13">
        <v>0.33600000000000002</v>
      </c>
      <c r="AM13">
        <v>0.7</v>
      </c>
      <c r="AN13">
        <v>0.4</v>
      </c>
      <c r="AO13">
        <v>0.8</v>
      </c>
      <c r="AP13">
        <v>0</v>
      </c>
      <c r="AQ13">
        <v>0</v>
      </c>
      <c r="AR13">
        <v>60</v>
      </c>
      <c r="AS13">
        <v>0.2</v>
      </c>
      <c r="AT13">
        <v>0</v>
      </c>
      <c r="AU13">
        <v>30</v>
      </c>
      <c r="AV13">
        <v>100</v>
      </c>
      <c r="AW13">
        <v>1</v>
      </c>
      <c r="AX13">
        <v>0.86</v>
      </c>
      <c r="AZ13" t="b">
        <v>0</v>
      </c>
      <c r="BA13">
        <v>114</v>
      </c>
      <c r="BB13">
        <v>0.95</v>
      </c>
      <c r="BC13">
        <v>1.4</v>
      </c>
      <c r="BD13">
        <v>5.0000000000000001E-3</v>
      </c>
      <c r="BE13">
        <v>0.98</v>
      </c>
      <c r="BS13">
        <v>5.6</v>
      </c>
      <c r="BX13">
        <v>30</v>
      </c>
    </row>
    <row r="14" spans="1:77" x14ac:dyDescent="0.25">
      <c r="A14" t="s">
        <v>387</v>
      </c>
      <c r="B14" t="s">
        <v>484</v>
      </c>
      <c r="C14" t="s">
        <v>477</v>
      </c>
      <c r="D14">
        <v>0.34</v>
      </c>
      <c r="E14">
        <f>1.862*1.483</f>
        <v>2.7613460000000005</v>
      </c>
      <c r="G14">
        <v>0.53</v>
      </c>
      <c r="H14">
        <v>0.59</v>
      </c>
      <c r="I14">
        <f>111.4*0.0254</f>
        <v>2.8295599999999999</v>
      </c>
      <c r="J14">
        <v>136</v>
      </c>
      <c r="L14">
        <v>2000</v>
      </c>
      <c r="M14">
        <v>1</v>
      </c>
      <c r="O14">
        <v>9.89</v>
      </c>
      <c r="Q14" t="s">
        <v>479</v>
      </c>
      <c r="R14" t="s">
        <v>480</v>
      </c>
      <c r="S14">
        <v>6</v>
      </c>
      <c r="T14">
        <v>61</v>
      </c>
      <c r="U14">
        <v>2.13</v>
      </c>
      <c r="V14" t="s">
        <v>481</v>
      </c>
      <c r="W14">
        <v>0</v>
      </c>
      <c r="X14">
        <v>4</v>
      </c>
      <c r="Y14" t="b">
        <v>0</v>
      </c>
      <c r="Z14">
        <v>0.83299999999999996</v>
      </c>
      <c r="AA14">
        <v>21.6</v>
      </c>
      <c r="AB14">
        <v>0</v>
      </c>
      <c r="AC14">
        <v>0</v>
      </c>
      <c r="AD14">
        <v>8</v>
      </c>
      <c r="AE14">
        <v>75</v>
      </c>
      <c r="AF14">
        <v>0.97</v>
      </c>
      <c r="AG14">
        <v>110</v>
      </c>
      <c r="AH14">
        <v>-0.68110000000000004</v>
      </c>
      <c r="AI14">
        <v>0.81499999999999995</v>
      </c>
      <c r="AJ14">
        <v>4</v>
      </c>
      <c r="AK14">
        <v>7.4999999999999997E-3</v>
      </c>
      <c r="AL14">
        <v>0.33600000000000002</v>
      </c>
      <c r="AM14">
        <v>0.7</v>
      </c>
      <c r="AN14">
        <v>0.4</v>
      </c>
      <c r="AO14">
        <v>0.8</v>
      </c>
      <c r="AP14">
        <v>0</v>
      </c>
      <c r="AQ14">
        <v>0</v>
      </c>
      <c r="AR14">
        <v>60</v>
      </c>
      <c r="AS14">
        <v>0.2</v>
      </c>
      <c r="AT14">
        <v>0</v>
      </c>
      <c r="AU14">
        <v>30</v>
      </c>
      <c r="AV14">
        <v>100</v>
      </c>
      <c r="AW14">
        <v>1</v>
      </c>
      <c r="AX14">
        <v>0.86</v>
      </c>
      <c r="AZ14" t="b">
        <v>0</v>
      </c>
      <c r="BA14">
        <v>114</v>
      </c>
      <c r="BB14">
        <v>0.95</v>
      </c>
      <c r="BC14">
        <v>1.4</v>
      </c>
      <c r="BD14">
        <v>5.0000000000000001E-3</v>
      </c>
      <c r="BE14">
        <v>0.98</v>
      </c>
      <c r="BS14">
        <v>5.6</v>
      </c>
      <c r="BX14">
        <v>30</v>
      </c>
    </row>
    <row r="15" spans="1:77" x14ac:dyDescent="0.25">
      <c r="A15" t="s">
        <v>388</v>
      </c>
      <c r="B15" t="s">
        <v>476</v>
      </c>
      <c r="C15" t="s">
        <v>477</v>
      </c>
      <c r="D15">
        <v>0.29899999999999999</v>
      </c>
      <c r="E15">
        <f>1.841*1.392</f>
        <v>2.5626719999999996</v>
      </c>
      <c r="F15">
        <v>895</v>
      </c>
      <c r="G15">
        <v>0.53</v>
      </c>
      <c r="H15">
        <v>0.59</v>
      </c>
      <c r="I15">
        <f>109.3*0.0254</f>
        <v>2.7762199999999999</v>
      </c>
      <c r="J15">
        <v>136</v>
      </c>
      <c r="L15">
        <v>2000</v>
      </c>
      <c r="M15">
        <v>1</v>
      </c>
      <c r="N15">
        <v>492.33330000000001</v>
      </c>
      <c r="O15">
        <v>9.89</v>
      </c>
      <c r="P15">
        <v>114.33329999999999</v>
      </c>
      <c r="Q15" t="s">
        <v>479</v>
      </c>
      <c r="R15" t="s">
        <v>480</v>
      </c>
      <c r="S15">
        <v>6</v>
      </c>
      <c r="T15">
        <v>61</v>
      </c>
      <c r="U15">
        <v>2.13</v>
      </c>
      <c r="V15" t="s">
        <v>481</v>
      </c>
      <c r="W15">
        <v>0</v>
      </c>
      <c r="X15">
        <v>4</v>
      </c>
      <c r="Y15" t="b">
        <v>0</v>
      </c>
      <c r="Z15">
        <v>0.83299999999999996</v>
      </c>
      <c r="AA15">
        <v>21.6</v>
      </c>
      <c r="AB15">
        <v>0</v>
      </c>
      <c r="AC15">
        <v>0</v>
      </c>
      <c r="AD15">
        <v>8</v>
      </c>
      <c r="AE15">
        <v>75</v>
      </c>
      <c r="AF15">
        <v>0.97</v>
      </c>
      <c r="AG15">
        <v>110</v>
      </c>
      <c r="AH15">
        <v>-0.68110000000000004</v>
      </c>
      <c r="AI15">
        <v>0.81499999999999995</v>
      </c>
      <c r="AJ15">
        <v>4</v>
      </c>
      <c r="AK15">
        <v>7.4999999999999997E-3</v>
      </c>
      <c r="AL15">
        <v>0.33600000000000002</v>
      </c>
      <c r="AM15">
        <v>0.7</v>
      </c>
      <c r="AN15">
        <v>0.4</v>
      </c>
      <c r="AO15">
        <v>0.8</v>
      </c>
      <c r="AP15">
        <v>0</v>
      </c>
      <c r="AQ15">
        <v>0</v>
      </c>
      <c r="AR15">
        <v>60</v>
      </c>
      <c r="AS15">
        <v>0.2</v>
      </c>
      <c r="AT15">
        <v>0</v>
      </c>
      <c r="AU15">
        <v>30</v>
      </c>
      <c r="AV15">
        <v>100</v>
      </c>
      <c r="AW15">
        <v>1</v>
      </c>
      <c r="AX15">
        <v>0.86</v>
      </c>
      <c r="AZ15" t="b">
        <v>0</v>
      </c>
      <c r="BA15">
        <v>114</v>
      </c>
      <c r="BB15">
        <v>0.95</v>
      </c>
      <c r="BC15">
        <v>1.4</v>
      </c>
      <c r="BD15">
        <v>5.0000000000000001E-3</v>
      </c>
      <c r="BE15">
        <v>0.98</v>
      </c>
      <c r="BS15">
        <v>4</v>
      </c>
      <c r="BX15">
        <v>30</v>
      </c>
    </row>
    <row r="16" spans="1:77" x14ac:dyDescent="0.25">
      <c r="A16" t="s">
        <v>389</v>
      </c>
      <c r="B16" t="s">
        <v>476</v>
      </c>
      <c r="C16" t="s">
        <v>477</v>
      </c>
      <c r="D16">
        <v>0.29899999999999999</v>
      </c>
      <c r="E16">
        <f>1.841*1.392</f>
        <v>2.5626719999999996</v>
      </c>
      <c r="F16">
        <v>895</v>
      </c>
      <c r="G16">
        <v>0.53</v>
      </c>
      <c r="H16">
        <v>0.59</v>
      </c>
      <c r="I16">
        <f t="shared" ref="I16:I19" si="1">109.3*0.0254</f>
        <v>2.7762199999999999</v>
      </c>
      <c r="J16">
        <v>136</v>
      </c>
      <c r="L16">
        <v>2000</v>
      </c>
      <c r="M16">
        <v>1</v>
      </c>
      <c r="N16">
        <v>492.33330000000001</v>
      </c>
      <c r="O16">
        <v>9.89</v>
      </c>
      <c r="P16">
        <v>114.33329999999999</v>
      </c>
      <c r="Q16" t="s">
        <v>479</v>
      </c>
      <c r="R16" t="s">
        <v>480</v>
      </c>
      <c r="S16">
        <v>6</v>
      </c>
      <c r="T16">
        <v>61</v>
      </c>
      <c r="U16">
        <v>2.13</v>
      </c>
      <c r="V16" t="s">
        <v>481</v>
      </c>
      <c r="W16">
        <v>0</v>
      </c>
      <c r="X16">
        <v>4</v>
      </c>
      <c r="Y16" t="b">
        <v>0</v>
      </c>
      <c r="Z16">
        <v>0.83299999999999996</v>
      </c>
      <c r="AA16">
        <v>21.6</v>
      </c>
      <c r="AB16">
        <v>0</v>
      </c>
      <c r="AC16">
        <v>0</v>
      </c>
      <c r="AD16">
        <v>8</v>
      </c>
      <c r="AE16">
        <v>75</v>
      </c>
      <c r="AF16">
        <v>0.97</v>
      </c>
      <c r="AG16">
        <v>110</v>
      </c>
      <c r="AH16">
        <v>-0.68110000000000004</v>
      </c>
      <c r="AI16">
        <v>0.81499999999999995</v>
      </c>
      <c r="AJ16">
        <v>4</v>
      </c>
      <c r="AK16">
        <v>7.4999999999999997E-3</v>
      </c>
      <c r="AL16">
        <v>0.33600000000000002</v>
      </c>
      <c r="AM16">
        <v>0.7</v>
      </c>
      <c r="AN16">
        <v>0.4</v>
      </c>
      <c r="AO16">
        <v>0.8</v>
      </c>
      <c r="AP16">
        <v>0</v>
      </c>
      <c r="AQ16">
        <v>0</v>
      </c>
      <c r="AR16">
        <v>60</v>
      </c>
      <c r="AS16">
        <v>0.2</v>
      </c>
      <c r="AT16">
        <v>0</v>
      </c>
      <c r="AU16">
        <v>30</v>
      </c>
      <c r="AV16">
        <v>100</v>
      </c>
      <c r="AW16">
        <v>1</v>
      </c>
      <c r="AX16">
        <v>0.86</v>
      </c>
      <c r="AZ16" t="b">
        <v>0</v>
      </c>
      <c r="BA16">
        <v>114</v>
      </c>
      <c r="BB16">
        <v>0.95</v>
      </c>
      <c r="BC16">
        <v>1.4</v>
      </c>
      <c r="BD16">
        <v>5.0000000000000001E-3</v>
      </c>
      <c r="BE16">
        <v>0.98</v>
      </c>
      <c r="BS16">
        <v>4</v>
      </c>
      <c r="BX16">
        <v>30</v>
      </c>
    </row>
    <row r="17" spans="1:76" x14ac:dyDescent="0.25">
      <c r="A17" t="s">
        <v>390</v>
      </c>
      <c r="B17" t="s">
        <v>476</v>
      </c>
      <c r="C17" t="s">
        <v>477</v>
      </c>
      <c r="D17">
        <v>0.29899999999999999</v>
      </c>
      <c r="E17">
        <f>1.841*1.392</f>
        <v>2.5626719999999996</v>
      </c>
      <c r="F17">
        <v>895</v>
      </c>
      <c r="G17">
        <v>0.53</v>
      </c>
      <c r="H17">
        <v>0.59</v>
      </c>
      <c r="I17">
        <f t="shared" si="1"/>
        <v>2.7762199999999999</v>
      </c>
      <c r="J17">
        <v>136</v>
      </c>
      <c r="L17">
        <v>2000</v>
      </c>
      <c r="M17">
        <v>1</v>
      </c>
      <c r="N17">
        <v>492.33330000000001</v>
      </c>
      <c r="O17">
        <v>9.89</v>
      </c>
      <c r="P17">
        <v>114.33329999999999</v>
      </c>
      <c r="Q17" t="s">
        <v>479</v>
      </c>
      <c r="R17" t="s">
        <v>480</v>
      </c>
      <c r="S17">
        <v>6</v>
      </c>
      <c r="T17">
        <v>61</v>
      </c>
      <c r="U17">
        <v>2.13</v>
      </c>
      <c r="V17" t="s">
        <v>481</v>
      </c>
      <c r="W17">
        <v>0</v>
      </c>
      <c r="X17">
        <v>4</v>
      </c>
      <c r="Y17" t="b">
        <v>0</v>
      </c>
      <c r="Z17">
        <v>0.83299999999999996</v>
      </c>
      <c r="AA17">
        <v>21.6</v>
      </c>
      <c r="AB17">
        <v>0</v>
      </c>
      <c r="AC17">
        <v>0</v>
      </c>
      <c r="AD17">
        <v>8</v>
      </c>
      <c r="AE17">
        <v>75</v>
      </c>
      <c r="AF17">
        <v>0.97</v>
      </c>
      <c r="AG17">
        <v>110</v>
      </c>
      <c r="AH17">
        <v>-0.68110000000000004</v>
      </c>
      <c r="AI17">
        <v>0.81499999999999995</v>
      </c>
      <c r="AJ17">
        <v>4</v>
      </c>
      <c r="AK17">
        <v>7.4999999999999997E-3</v>
      </c>
      <c r="AL17">
        <v>0.33600000000000002</v>
      </c>
      <c r="AM17">
        <v>0.7</v>
      </c>
      <c r="AN17">
        <v>0.4</v>
      </c>
      <c r="AO17">
        <v>0.8</v>
      </c>
      <c r="AP17">
        <v>0</v>
      </c>
      <c r="AQ17">
        <v>0</v>
      </c>
      <c r="AR17">
        <v>60</v>
      </c>
      <c r="AS17">
        <v>0.2</v>
      </c>
      <c r="AT17">
        <v>0</v>
      </c>
      <c r="AU17">
        <v>30</v>
      </c>
      <c r="AV17">
        <v>100</v>
      </c>
      <c r="AW17">
        <v>1</v>
      </c>
      <c r="AX17">
        <v>0.86</v>
      </c>
      <c r="AZ17" t="b">
        <v>0</v>
      </c>
      <c r="BA17">
        <v>114</v>
      </c>
      <c r="BB17">
        <v>0.95</v>
      </c>
      <c r="BC17">
        <v>1.4</v>
      </c>
      <c r="BD17">
        <v>5.0000000000000001E-3</v>
      </c>
      <c r="BE17">
        <v>0.98</v>
      </c>
      <c r="BS17">
        <v>4</v>
      </c>
      <c r="BX17">
        <v>30</v>
      </c>
    </row>
    <row r="18" spans="1:76" x14ac:dyDescent="0.25">
      <c r="A18" t="s">
        <v>391</v>
      </c>
      <c r="B18" t="s">
        <v>476</v>
      </c>
      <c r="C18" t="s">
        <v>477</v>
      </c>
      <c r="D18">
        <v>0.3</v>
      </c>
      <c r="E18">
        <f>1.974*1.423</f>
        <v>2.809002</v>
      </c>
      <c r="F18">
        <v>895</v>
      </c>
      <c r="G18">
        <v>0.53</v>
      </c>
      <c r="H18">
        <v>0.59</v>
      </c>
      <c r="I18">
        <f t="shared" si="1"/>
        <v>2.7762199999999999</v>
      </c>
      <c r="J18">
        <v>136</v>
      </c>
      <c r="L18">
        <v>2000</v>
      </c>
      <c r="M18">
        <v>1</v>
      </c>
      <c r="N18">
        <v>492.33330000000001</v>
      </c>
      <c r="O18">
        <v>9.89</v>
      </c>
      <c r="P18">
        <v>114.33329999999999</v>
      </c>
      <c r="Q18" t="s">
        <v>479</v>
      </c>
      <c r="R18" t="s">
        <v>480</v>
      </c>
      <c r="S18">
        <v>6</v>
      </c>
      <c r="T18">
        <v>61</v>
      </c>
      <c r="U18">
        <v>2.13</v>
      </c>
      <c r="V18" t="s">
        <v>481</v>
      </c>
      <c r="W18">
        <v>0</v>
      </c>
      <c r="X18">
        <v>4</v>
      </c>
      <c r="Y18" t="b">
        <v>0</v>
      </c>
      <c r="Z18">
        <v>0.83299999999999996</v>
      </c>
      <c r="AA18">
        <v>21.6</v>
      </c>
      <c r="AB18">
        <v>0</v>
      </c>
      <c r="AC18">
        <v>0</v>
      </c>
      <c r="AD18">
        <v>8</v>
      </c>
      <c r="AE18">
        <v>75</v>
      </c>
      <c r="AF18">
        <v>0.97</v>
      </c>
      <c r="AG18">
        <v>110</v>
      </c>
      <c r="AH18">
        <v>-0.68110000000000004</v>
      </c>
      <c r="AI18">
        <v>0.81499999999999995</v>
      </c>
      <c r="AJ18">
        <v>4</v>
      </c>
      <c r="AK18">
        <v>7.4999999999999997E-3</v>
      </c>
      <c r="AL18">
        <v>0.33600000000000002</v>
      </c>
      <c r="AM18">
        <v>0.7</v>
      </c>
      <c r="AN18">
        <v>0.4</v>
      </c>
      <c r="AO18">
        <v>0.8</v>
      </c>
      <c r="AP18">
        <v>0</v>
      </c>
      <c r="AQ18">
        <v>0</v>
      </c>
      <c r="AR18">
        <v>60</v>
      </c>
      <c r="AS18">
        <v>0.2</v>
      </c>
      <c r="AT18">
        <v>0</v>
      </c>
      <c r="AU18">
        <v>30</v>
      </c>
      <c r="AV18">
        <v>100</v>
      </c>
      <c r="AW18">
        <v>1</v>
      </c>
      <c r="AX18">
        <v>0.86</v>
      </c>
      <c r="AZ18" t="b">
        <v>0</v>
      </c>
      <c r="BA18">
        <v>114</v>
      </c>
      <c r="BB18">
        <v>0.95</v>
      </c>
      <c r="BC18">
        <v>1.4</v>
      </c>
      <c r="BD18">
        <v>5.0000000000000001E-3</v>
      </c>
      <c r="BE18">
        <v>0.98</v>
      </c>
      <c r="BS18">
        <v>3.9</v>
      </c>
      <c r="BX18">
        <v>30</v>
      </c>
    </row>
    <row r="19" spans="1:76" x14ac:dyDescent="0.25">
      <c r="A19" t="s">
        <v>392</v>
      </c>
      <c r="B19" t="s">
        <v>476</v>
      </c>
      <c r="C19" t="s">
        <v>477</v>
      </c>
      <c r="D19">
        <v>0.3</v>
      </c>
      <c r="E19">
        <f>1.974*1.423</f>
        <v>2.809002</v>
      </c>
      <c r="F19">
        <v>895</v>
      </c>
      <c r="G19">
        <v>0.53</v>
      </c>
      <c r="H19">
        <v>0.59</v>
      </c>
      <c r="I19">
        <f t="shared" si="1"/>
        <v>2.7762199999999999</v>
      </c>
      <c r="J19">
        <v>136</v>
      </c>
      <c r="L19">
        <v>2000</v>
      </c>
      <c r="M19">
        <v>1</v>
      </c>
      <c r="N19">
        <v>492.33330000000001</v>
      </c>
      <c r="O19">
        <v>9.89</v>
      </c>
      <c r="P19">
        <v>114.33329999999999</v>
      </c>
      <c r="Q19" t="s">
        <v>479</v>
      </c>
      <c r="R19" t="s">
        <v>480</v>
      </c>
      <c r="S19">
        <v>6</v>
      </c>
      <c r="T19">
        <v>61</v>
      </c>
      <c r="U19">
        <v>2.13</v>
      </c>
      <c r="V19" t="s">
        <v>481</v>
      </c>
      <c r="W19">
        <v>0</v>
      </c>
      <c r="X19">
        <v>4</v>
      </c>
      <c r="Y19" t="b">
        <v>0</v>
      </c>
      <c r="Z19">
        <v>0.83299999999999996</v>
      </c>
      <c r="AA19">
        <v>21.6</v>
      </c>
      <c r="AB19">
        <v>0</v>
      </c>
      <c r="AC19">
        <v>0</v>
      </c>
      <c r="AD19">
        <v>8</v>
      </c>
      <c r="AE19">
        <v>75</v>
      </c>
      <c r="AF19">
        <v>0.97</v>
      </c>
      <c r="AG19">
        <v>110</v>
      </c>
      <c r="AH19">
        <v>-0.68110000000000004</v>
      </c>
      <c r="AI19">
        <v>0.81499999999999995</v>
      </c>
      <c r="AJ19">
        <v>4</v>
      </c>
      <c r="AK19">
        <v>7.4999999999999997E-3</v>
      </c>
      <c r="AL19">
        <v>0.33600000000000002</v>
      </c>
      <c r="AM19">
        <v>0.7</v>
      </c>
      <c r="AN19">
        <v>0.4</v>
      </c>
      <c r="AO19">
        <v>0.8</v>
      </c>
      <c r="AP19">
        <v>0</v>
      </c>
      <c r="AQ19">
        <v>0</v>
      </c>
      <c r="AR19">
        <v>60</v>
      </c>
      <c r="AS19">
        <v>0.2</v>
      </c>
      <c r="AT19">
        <v>0</v>
      </c>
      <c r="AU19">
        <v>30</v>
      </c>
      <c r="AV19">
        <v>100</v>
      </c>
      <c r="AW19">
        <v>1</v>
      </c>
      <c r="AX19">
        <v>0.86</v>
      </c>
      <c r="AZ19" t="b">
        <v>0</v>
      </c>
      <c r="BA19">
        <v>114</v>
      </c>
      <c r="BB19">
        <v>0.95</v>
      </c>
      <c r="BC19">
        <v>1.4</v>
      </c>
      <c r="BD19">
        <v>5.0000000000000001E-3</v>
      </c>
      <c r="BE19">
        <v>0.98</v>
      </c>
      <c r="BS19">
        <v>3.9</v>
      </c>
      <c r="BX19">
        <v>30</v>
      </c>
    </row>
    <row r="20" spans="1:76" x14ac:dyDescent="0.25">
      <c r="A20" t="s">
        <v>393</v>
      </c>
      <c r="B20" t="s">
        <v>466</v>
      </c>
      <c r="C20" t="s">
        <v>477</v>
      </c>
      <c r="D20">
        <v>0.3</v>
      </c>
      <c r="E20">
        <f>2.04*1.453</f>
        <v>2.9641200000000003</v>
      </c>
      <c r="F20">
        <v>1123.242</v>
      </c>
      <c r="G20">
        <v>0.53</v>
      </c>
      <c r="H20">
        <v>0.59</v>
      </c>
      <c r="I20">
        <f>116*0.0254</f>
        <v>2.9463999999999997</v>
      </c>
      <c r="J20">
        <v>136</v>
      </c>
      <c r="L20">
        <v>2000</v>
      </c>
      <c r="M20">
        <v>1</v>
      </c>
      <c r="N20">
        <v>492.33330000000001</v>
      </c>
      <c r="O20">
        <v>9.89</v>
      </c>
      <c r="P20">
        <v>112.71429999999999</v>
      </c>
      <c r="Q20" t="s">
        <v>479</v>
      </c>
      <c r="R20" t="s">
        <v>480</v>
      </c>
      <c r="S20">
        <v>6</v>
      </c>
      <c r="T20">
        <v>61</v>
      </c>
      <c r="U20">
        <v>2.13</v>
      </c>
      <c r="V20" t="s">
        <v>481</v>
      </c>
      <c r="W20">
        <v>0</v>
      </c>
      <c r="X20">
        <v>4</v>
      </c>
      <c r="Y20" t="b">
        <v>0</v>
      </c>
      <c r="Z20">
        <v>0.83299999999999996</v>
      </c>
      <c r="AA20">
        <v>21.6</v>
      </c>
      <c r="AB20">
        <v>0</v>
      </c>
      <c r="AC20">
        <v>0</v>
      </c>
      <c r="AD20">
        <v>8</v>
      </c>
      <c r="AE20">
        <v>75</v>
      </c>
      <c r="AF20">
        <v>0.97</v>
      </c>
      <c r="AG20">
        <v>110</v>
      </c>
      <c r="AH20">
        <v>-0.68110000000000004</v>
      </c>
      <c r="AI20">
        <v>0.81499999999999995</v>
      </c>
      <c r="AJ20">
        <v>4</v>
      </c>
      <c r="AK20">
        <v>7.4999999999999997E-3</v>
      </c>
      <c r="AL20">
        <v>0.33600000000000002</v>
      </c>
      <c r="AM20">
        <v>0.7</v>
      </c>
      <c r="AN20">
        <v>0.4</v>
      </c>
      <c r="AO20">
        <v>0.8</v>
      </c>
      <c r="AP20">
        <v>0</v>
      </c>
      <c r="AQ20">
        <v>0</v>
      </c>
      <c r="AR20">
        <v>60</v>
      </c>
      <c r="AS20">
        <v>0.2</v>
      </c>
      <c r="AT20">
        <v>0</v>
      </c>
      <c r="AU20">
        <v>30</v>
      </c>
      <c r="AV20">
        <v>100</v>
      </c>
      <c r="AW20">
        <v>1</v>
      </c>
      <c r="AX20">
        <v>0.86</v>
      </c>
      <c r="AZ20" t="b">
        <v>0</v>
      </c>
      <c r="BA20">
        <v>114</v>
      </c>
      <c r="BB20">
        <v>0.95</v>
      </c>
      <c r="BC20">
        <v>1.4</v>
      </c>
      <c r="BD20">
        <v>5.0000000000000001E-3</v>
      </c>
      <c r="BE20">
        <v>0.98</v>
      </c>
      <c r="BS20">
        <v>3.4</v>
      </c>
      <c r="BX20">
        <v>30</v>
      </c>
    </row>
    <row r="21" spans="1:76" x14ac:dyDescent="0.25">
      <c r="A21" t="s">
        <v>394</v>
      </c>
      <c r="B21" t="s">
        <v>466</v>
      </c>
      <c r="C21" t="s">
        <v>477</v>
      </c>
      <c r="D21">
        <v>0.3</v>
      </c>
      <c r="E21">
        <f>2.04*1.453</f>
        <v>2.9641200000000003</v>
      </c>
      <c r="F21">
        <v>1123.242</v>
      </c>
      <c r="G21">
        <v>0.53</v>
      </c>
      <c r="H21">
        <v>0.59</v>
      </c>
      <c r="I21">
        <f>116*0.0254</f>
        <v>2.9463999999999997</v>
      </c>
      <c r="J21">
        <v>136</v>
      </c>
      <c r="L21">
        <v>2000</v>
      </c>
      <c r="M21">
        <v>1</v>
      </c>
      <c r="N21">
        <v>492.33330000000001</v>
      </c>
      <c r="O21">
        <v>9.89</v>
      </c>
      <c r="P21">
        <v>112.71429999999999</v>
      </c>
      <c r="Q21" t="s">
        <v>479</v>
      </c>
      <c r="R21" t="s">
        <v>480</v>
      </c>
      <c r="S21">
        <v>6</v>
      </c>
      <c r="T21">
        <v>61</v>
      </c>
      <c r="U21">
        <v>2.13</v>
      </c>
      <c r="V21" t="s">
        <v>481</v>
      </c>
      <c r="W21">
        <v>0</v>
      </c>
      <c r="X21">
        <v>4</v>
      </c>
      <c r="Y21" t="b">
        <v>0</v>
      </c>
      <c r="Z21">
        <v>0.83299999999999996</v>
      </c>
      <c r="AA21">
        <v>21.6</v>
      </c>
      <c r="AB21">
        <v>0</v>
      </c>
      <c r="AC21">
        <v>0</v>
      </c>
      <c r="AD21">
        <v>8</v>
      </c>
      <c r="AE21">
        <v>75</v>
      </c>
      <c r="AF21">
        <v>0.97</v>
      </c>
      <c r="AG21">
        <v>110</v>
      </c>
      <c r="AH21">
        <v>-0.68110000000000004</v>
      </c>
      <c r="AI21">
        <v>0.81499999999999995</v>
      </c>
      <c r="AJ21">
        <v>4</v>
      </c>
      <c r="AK21">
        <v>7.5000000000000002E-4</v>
      </c>
      <c r="AL21">
        <v>0.33600000000000002</v>
      </c>
      <c r="AM21">
        <v>0.7</v>
      </c>
      <c r="AN21">
        <v>0.4</v>
      </c>
      <c r="AO21">
        <v>0.8</v>
      </c>
      <c r="AP21">
        <v>0</v>
      </c>
      <c r="AQ21">
        <v>0</v>
      </c>
      <c r="AR21">
        <v>60</v>
      </c>
      <c r="AS21">
        <v>0.2</v>
      </c>
      <c r="AT21">
        <v>0</v>
      </c>
      <c r="AU21">
        <v>30</v>
      </c>
      <c r="AV21">
        <v>100</v>
      </c>
      <c r="AW21">
        <v>1</v>
      </c>
      <c r="AX21">
        <v>0.86</v>
      </c>
      <c r="AZ21" t="b">
        <v>0</v>
      </c>
      <c r="BA21">
        <v>114</v>
      </c>
      <c r="BB21">
        <v>0.95</v>
      </c>
      <c r="BC21">
        <v>1.4</v>
      </c>
      <c r="BD21">
        <v>5.0000000000000001E-3</v>
      </c>
      <c r="BE21">
        <v>0.98</v>
      </c>
      <c r="BS21">
        <v>3.4</v>
      </c>
      <c r="BX21">
        <v>30</v>
      </c>
    </row>
    <row r="22" spans="1:76" x14ac:dyDescent="0.25">
      <c r="A22" t="s">
        <v>395</v>
      </c>
      <c r="B22" t="s">
        <v>485</v>
      </c>
      <c r="C22" t="s">
        <v>477</v>
      </c>
      <c r="D22">
        <v>0.3</v>
      </c>
      <c r="E22">
        <f>1.879*1.473</f>
        <v>2.7677670000000001</v>
      </c>
      <c r="F22">
        <v>1123.242</v>
      </c>
      <c r="G22">
        <v>0.53</v>
      </c>
      <c r="H22">
        <v>0.59</v>
      </c>
      <c r="I22">
        <f>122.4*0.0254</f>
        <v>3.1089600000000002</v>
      </c>
      <c r="J22">
        <v>136</v>
      </c>
      <c r="L22">
        <v>2000</v>
      </c>
      <c r="M22">
        <v>1</v>
      </c>
      <c r="N22">
        <v>457.8571</v>
      </c>
      <c r="O22">
        <v>9.89</v>
      </c>
      <c r="P22">
        <v>112.71429999999999</v>
      </c>
      <c r="Q22" t="s">
        <v>479</v>
      </c>
      <c r="R22" t="s">
        <v>480</v>
      </c>
      <c r="S22">
        <v>6</v>
      </c>
      <c r="T22">
        <v>61</v>
      </c>
      <c r="U22">
        <v>2.13</v>
      </c>
      <c r="V22" t="s">
        <v>481</v>
      </c>
      <c r="W22">
        <v>0</v>
      </c>
      <c r="X22">
        <v>4</v>
      </c>
      <c r="Y22" t="b">
        <v>0</v>
      </c>
      <c r="Z22">
        <v>0.83299999999999996</v>
      </c>
      <c r="AA22">
        <v>21.6</v>
      </c>
      <c r="AB22">
        <v>0</v>
      </c>
      <c r="AC22">
        <v>0</v>
      </c>
      <c r="AD22">
        <v>8</v>
      </c>
      <c r="AE22">
        <v>75</v>
      </c>
      <c r="AF22">
        <v>0.97</v>
      </c>
      <c r="AG22">
        <v>110</v>
      </c>
      <c r="AH22">
        <v>-0.68110000000000004</v>
      </c>
      <c r="AI22">
        <v>0.81499999999999995</v>
      </c>
      <c r="AJ22">
        <v>4</v>
      </c>
      <c r="AK22">
        <v>7.4999999999999997E-3</v>
      </c>
      <c r="AL22">
        <v>0.33600000000000002</v>
      </c>
      <c r="AM22">
        <v>0.7</v>
      </c>
      <c r="AN22">
        <v>0.4</v>
      </c>
      <c r="AO22">
        <v>0.8</v>
      </c>
      <c r="AP22">
        <v>0</v>
      </c>
      <c r="AQ22">
        <v>0</v>
      </c>
      <c r="AR22">
        <v>60</v>
      </c>
      <c r="AS22">
        <v>0.2</v>
      </c>
      <c r="AT22">
        <v>0</v>
      </c>
      <c r="AU22">
        <v>30</v>
      </c>
      <c r="AV22">
        <v>100</v>
      </c>
      <c r="AW22">
        <v>1</v>
      </c>
      <c r="AX22">
        <v>0.86</v>
      </c>
      <c r="AZ22" t="b">
        <v>0</v>
      </c>
      <c r="BA22">
        <v>114</v>
      </c>
      <c r="BB22">
        <v>0.95</v>
      </c>
      <c r="BC22">
        <v>1.4</v>
      </c>
      <c r="BD22">
        <v>5.0000000000000001E-3</v>
      </c>
      <c r="BE22">
        <v>0.98</v>
      </c>
      <c r="BS22">
        <v>5.9</v>
      </c>
      <c r="BX22">
        <v>30</v>
      </c>
    </row>
    <row r="23" spans="1:76" x14ac:dyDescent="0.25">
      <c r="A23" s="44" t="s">
        <v>396</v>
      </c>
      <c r="B23" t="s">
        <v>476</v>
      </c>
      <c r="C23" t="s">
        <v>477</v>
      </c>
      <c r="D23">
        <v>0.31</v>
      </c>
      <c r="E23">
        <f>1.833*1.454</f>
        <v>2.6651819999999997</v>
      </c>
      <c r="F23">
        <v>895</v>
      </c>
      <c r="G23">
        <f>560.9/1000</f>
        <v>0.56089999999999995</v>
      </c>
      <c r="H23">
        <f>2175/4569</f>
        <v>0.47603414313854236</v>
      </c>
      <c r="I23">
        <v>2.8740000000000001</v>
      </c>
      <c r="J23">
        <v>136</v>
      </c>
      <c r="L23">
        <v>2000</v>
      </c>
      <c r="M23">
        <v>1</v>
      </c>
      <c r="N23">
        <v>492.33330000000001</v>
      </c>
      <c r="O23">
        <v>9.89</v>
      </c>
      <c r="P23">
        <v>114.33329999999999</v>
      </c>
      <c r="Q23" t="s">
        <v>479</v>
      </c>
      <c r="R23" t="s">
        <v>480</v>
      </c>
      <c r="S23">
        <v>6</v>
      </c>
      <c r="T23">
        <v>61</v>
      </c>
      <c r="U23">
        <v>2.13</v>
      </c>
      <c r="V23" t="s">
        <v>481</v>
      </c>
      <c r="W23">
        <v>0</v>
      </c>
      <c r="X23">
        <v>4</v>
      </c>
      <c r="Y23" t="b">
        <v>0</v>
      </c>
      <c r="Z23">
        <v>0.83299999999999996</v>
      </c>
      <c r="AA23">
        <v>21.6</v>
      </c>
      <c r="AB23">
        <v>0</v>
      </c>
      <c r="AC23">
        <v>0</v>
      </c>
      <c r="AD23">
        <v>8</v>
      </c>
      <c r="AE23">
        <v>75</v>
      </c>
      <c r="AF23">
        <v>0.97</v>
      </c>
      <c r="AG23">
        <v>110</v>
      </c>
      <c r="AH23">
        <v>-0.68110000000000004</v>
      </c>
      <c r="AI23">
        <v>0.81499999999999995</v>
      </c>
      <c r="AJ23">
        <v>4</v>
      </c>
      <c r="AK23">
        <v>7.4999999999999997E-3</v>
      </c>
      <c r="AL23">
        <v>0.33600000000000002</v>
      </c>
      <c r="AM23">
        <v>0.7</v>
      </c>
      <c r="AN23">
        <v>0.4</v>
      </c>
      <c r="AO23">
        <v>0.8</v>
      </c>
      <c r="AP23">
        <v>0</v>
      </c>
      <c r="AQ23">
        <v>0</v>
      </c>
      <c r="AR23">
        <v>60</v>
      </c>
      <c r="AS23">
        <v>0.2</v>
      </c>
      <c r="AT23">
        <v>0</v>
      </c>
      <c r="AU23">
        <v>30</v>
      </c>
      <c r="AV23">
        <v>100</v>
      </c>
      <c r="AW23">
        <v>1</v>
      </c>
      <c r="AX23">
        <v>0.86</v>
      </c>
      <c r="AZ23" t="b">
        <v>0</v>
      </c>
      <c r="BA23">
        <v>114</v>
      </c>
      <c r="BB23">
        <v>0.95</v>
      </c>
      <c r="BC23">
        <v>1.4</v>
      </c>
      <c r="BD23">
        <v>5.0000000000000001E-3</v>
      </c>
      <c r="BE23">
        <v>0.98</v>
      </c>
      <c r="BS23">
        <v>5.6</v>
      </c>
      <c r="BX23">
        <v>30</v>
      </c>
    </row>
    <row r="24" spans="1:76" x14ac:dyDescent="0.25">
      <c r="A24" s="44" t="s">
        <v>397</v>
      </c>
      <c r="B24" t="s">
        <v>476</v>
      </c>
      <c r="C24" t="s">
        <v>477</v>
      </c>
      <c r="D24">
        <v>0.31</v>
      </c>
      <c r="E24">
        <f>1.833*1.454</f>
        <v>2.6651819999999997</v>
      </c>
      <c r="F24">
        <v>895</v>
      </c>
      <c r="G24">
        <f>554.5/1000</f>
        <v>0.55449999999999999</v>
      </c>
      <c r="H24">
        <f>2443/5049</f>
        <v>0.48385818974054268</v>
      </c>
      <c r="I24">
        <v>2.8740000000000001</v>
      </c>
      <c r="J24">
        <v>136</v>
      </c>
      <c r="L24">
        <v>2000</v>
      </c>
      <c r="M24">
        <v>1</v>
      </c>
      <c r="N24">
        <v>492.33330000000001</v>
      </c>
      <c r="O24">
        <v>9.89</v>
      </c>
      <c r="P24">
        <v>114.33329999999999</v>
      </c>
      <c r="Q24" t="s">
        <v>479</v>
      </c>
      <c r="R24" t="s">
        <v>480</v>
      </c>
      <c r="S24">
        <v>6</v>
      </c>
      <c r="T24">
        <v>61</v>
      </c>
      <c r="U24">
        <v>2.13</v>
      </c>
      <c r="V24" t="s">
        <v>481</v>
      </c>
      <c r="W24">
        <v>0</v>
      </c>
      <c r="X24">
        <v>4</v>
      </c>
      <c r="Y24" t="b">
        <v>0</v>
      </c>
      <c r="Z24">
        <v>0.83299999999999996</v>
      </c>
      <c r="AA24">
        <v>21.6</v>
      </c>
      <c r="AB24">
        <v>0</v>
      </c>
      <c r="AC24">
        <v>0</v>
      </c>
      <c r="AD24">
        <v>8</v>
      </c>
      <c r="AE24">
        <v>75</v>
      </c>
      <c r="AF24">
        <v>0.97</v>
      </c>
      <c r="AG24">
        <v>110</v>
      </c>
      <c r="AH24">
        <v>-0.68110000000000004</v>
      </c>
      <c r="AI24">
        <v>0.81499999999999995</v>
      </c>
      <c r="AJ24">
        <v>4</v>
      </c>
      <c r="AK24">
        <v>7.4999999999999997E-3</v>
      </c>
      <c r="AL24">
        <v>0.33600000000000002</v>
      </c>
      <c r="AM24">
        <v>0.7</v>
      </c>
      <c r="AN24">
        <v>0.4</v>
      </c>
      <c r="AO24">
        <v>0.8</v>
      </c>
      <c r="AP24">
        <v>0</v>
      </c>
      <c r="AQ24">
        <v>0</v>
      </c>
      <c r="AR24">
        <v>60</v>
      </c>
      <c r="AS24">
        <v>0.2</v>
      </c>
      <c r="AT24">
        <v>0</v>
      </c>
      <c r="AU24">
        <v>30</v>
      </c>
      <c r="AV24">
        <v>100</v>
      </c>
      <c r="AW24">
        <v>1</v>
      </c>
      <c r="AX24">
        <v>0.86</v>
      </c>
      <c r="AZ24" t="b">
        <v>0</v>
      </c>
      <c r="BA24">
        <v>114</v>
      </c>
      <c r="BB24">
        <v>0.95</v>
      </c>
      <c r="BC24">
        <v>1.4</v>
      </c>
      <c r="BD24">
        <v>5.0000000000000001E-3</v>
      </c>
      <c r="BE24">
        <v>0.98</v>
      </c>
      <c r="BS24">
        <v>5.6</v>
      </c>
      <c r="BX24">
        <v>30</v>
      </c>
    </row>
    <row r="25" spans="1:76" x14ac:dyDescent="0.25">
      <c r="A25" t="s">
        <v>398</v>
      </c>
      <c r="B25" t="s">
        <v>467</v>
      </c>
      <c r="C25" t="s">
        <v>477</v>
      </c>
      <c r="D25">
        <v>0.36</v>
      </c>
      <c r="E25">
        <f>2.044*1.889</f>
        <v>3.861116</v>
      </c>
      <c r="F25">
        <v>1533.5</v>
      </c>
      <c r="G25">
        <f t="shared" ref="G25:G30" si="2">673.3/1000</f>
        <v>0.67330000000000001</v>
      </c>
      <c r="H25">
        <v>0.59</v>
      </c>
      <c r="I25">
        <f>121*0.0254</f>
        <v>3.0733999999999999</v>
      </c>
      <c r="J25">
        <v>136</v>
      </c>
      <c r="L25">
        <v>2000</v>
      </c>
      <c r="M25">
        <v>1</v>
      </c>
      <c r="N25">
        <v>492.33330000000001</v>
      </c>
      <c r="O25">
        <v>9.89</v>
      </c>
      <c r="P25">
        <v>167.33330000000001</v>
      </c>
      <c r="Q25" t="s">
        <v>479</v>
      </c>
      <c r="R25" t="s">
        <v>480</v>
      </c>
      <c r="S25">
        <v>6</v>
      </c>
      <c r="T25">
        <v>61</v>
      </c>
      <c r="U25">
        <v>2.13</v>
      </c>
      <c r="V25" t="s">
        <v>481</v>
      </c>
      <c r="W25">
        <v>0</v>
      </c>
      <c r="X25">
        <v>4</v>
      </c>
      <c r="Y25" t="b">
        <v>0</v>
      </c>
      <c r="Z25">
        <v>0.83299999999999996</v>
      </c>
      <c r="AA25">
        <v>21.6</v>
      </c>
      <c r="AB25">
        <v>0</v>
      </c>
      <c r="AC25">
        <v>0</v>
      </c>
      <c r="AD25">
        <v>8</v>
      </c>
      <c r="AE25">
        <v>75</v>
      </c>
      <c r="AF25">
        <v>0.97</v>
      </c>
      <c r="AG25">
        <v>110</v>
      </c>
      <c r="AH25">
        <v>-0.68110000000000004</v>
      </c>
      <c r="AI25">
        <v>0.81499999999999995</v>
      </c>
      <c r="AJ25">
        <v>4</v>
      </c>
      <c r="AK25">
        <v>8.0000000000000002E-3</v>
      </c>
      <c r="AL25">
        <v>0.33600000000000002</v>
      </c>
      <c r="AM25">
        <v>0.7</v>
      </c>
      <c r="AN25">
        <v>0.4</v>
      </c>
      <c r="AO25">
        <v>0.8</v>
      </c>
      <c r="AP25">
        <v>0</v>
      </c>
      <c r="AQ25">
        <v>0</v>
      </c>
      <c r="AR25">
        <v>60</v>
      </c>
      <c r="AS25">
        <v>0.2</v>
      </c>
      <c r="AT25">
        <v>0</v>
      </c>
      <c r="AU25">
        <v>30</v>
      </c>
      <c r="AV25">
        <v>100</v>
      </c>
      <c r="AW25">
        <v>1</v>
      </c>
      <c r="AX25">
        <v>0.86</v>
      </c>
      <c r="AZ25" t="b">
        <v>0</v>
      </c>
      <c r="BA25">
        <v>114</v>
      </c>
      <c r="BB25">
        <v>0.92</v>
      </c>
      <c r="BC25">
        <v>1.4</v>
      </c>
      <c r="BD25">
        <v>5.0000000000000001E-3</v>
      </c>
      <c r="BE25">
        <v>0.98</v>
      </c>
      <c r="BS25">
        <v>6.1</v>
      </c>
      <c r="BX25">
        <v>30</v>
      </c>
    </row>
    <row r="26" spans="1:76" x14ac:dyDescent="0.25">
      <c r="A26" t="s">
        <v>399</v>
      </c>
      <c r="B26" t="s">
        <v>468</v>
      </c>
      <c r="C26" t="s">
        <v>477</v>
      </c>
      <c r="D26">
        <v>0.36</v>
      </c>
      <c r="E26">
        <f>2.044*1.889</f>
        <v>3.861116</v>
      </c>
      <c r="F26">
        <v>1533.5</v>
      </c>
      <c r="G26">
        <f t="shared" si="2"/>
        <v>0.67330000000000001</v>
      </c>
      <c r="H26">
        <v>0.59</v>
      </c>
      <c r="I26">
        <f t="shared" ref="I26:I28" si="3">121*0.0254</f>
        <v>3.0733999999999999</v>
      </c>
      <c r="J26">
        <v>136</v>
      </c>
      <c r="L26">
        <v>2000</v>
      </c>
      <c r="M26">
        <v>1</v>
      </c>
      <c r="N26">
        <v>562.33330000000001</v>
      </c>
      <c r="O26">
        <v>9.89</v>
      </c>
      <c r="P26">
        <v>167.33330000000001</v>
      </c>
      <c r="Q26" t="s">
        <v>479</v>
      </c>
      <c r="R26" t="s">
        <v>480</v>
      </c>
      <c r="S26">
        <v>6</v>
      </c>
      <c r="T26">
        <v>61</v>
      </c>
      <c r="U26">
        <v>2.13</v>
      </c>
      <c r="V26" t="s">
        <v>481</v>
      </c>
      <c r="W26">
        <v>0</v>
      </c>
      <c r="X26">
        <v>4</v>
      </c>
      <c r="Y26" t="b">
        <v>0</v>
      </c>
      <c r="Z26">
        <v>0.83299999999999996</v>
      </c>
      <c r="AA26">
        <v>21.6</v>
      </c>
      <c r="AB26">
        <v>0</v>
      </c>
      <c r="AC26">
        <v>0</v>
      </c>
      <c r="AD26">
        <v>8</v>
      </c>
      <c r="AE26">
        <v>75</v>
      </c>
      <c r="AF26">
        <v>0.97</v>
      </c>
      <c r="AG26">
        <v>110</v>
      </c>
      <c r="AH26">
        <v>-0.68110000000000004</v>
      </c>
      <c r="AI26">
        <v>0.81499999999999995</v>
      </c>
      <c r="AJ26">
        <v>4</v>
      </c>
      <c r="AK26">
        <v>8.0000000000000002E-3</v>
      </c>
      <c r="AL26">
        <v>0.33600000000000002</v>
      </c>
      <c r="AM26">
        <v>0.7</v>
      </c>
      <c r="AN26">
        <v>0.4</v>
      </c>
      <c r="AO26">
        <v>0.8</v>
      </c>
      <c r="AP26">
        <v>0</v>
      </c>
      <c r="AQ26">
        <v>0</v>
      </c>
      <c r="AR26">
        <v>60</v>
      </c>
      <c r="AS26">
        <v>0.2</v>
      </c>
      <c r="AT26">
        <v>0</v>
      </c>
      <c r="AU26">
        <v>30</v>
      </c>
      <c r="AV26">
        <v>100</v>
      </c>
      <c r="AW26">
        <v>1</v>
      </c>
      <c r="AX26">
        <v>0.86</v>
      </c>
      <c r="AZ26" t="b">
        <v>0</v>
      </c>
      <c r="BA26">
        <v>114</v>
      </c>
      <c r="BB26">
        <v>0.98</v>
      </c>
      <c r="BC26">
        <v>1.4</v>
      </c>
      <c r="BD26">
        <v>5.0000000000000001E-3</v>
      </c>
      <c r="BE26">
        <v>0.98</v>
      </c>
      <c r="BS26">
        <v>6.1</v>
      </c>
      <c r="BX26">
        <v>30</v>
      </c>
    </row>
    <row r="27" spans="1:76" x14ac:dyDescent="0.25">
      <c r="A27" t="s">
        <v>400</v>
      </c>
      <c r="B27" t="s">
        <v>467</v>
      </c>
      <c r="C27" t="s">
        <v>477</v>
      </c>
      <c r="D27">
        <v>0.39</v>
      </c>
      <c r="E27">
        <f>2.044*1.889</f>
        <v>3.861116</v>
      </c>
      <c r="F27">
        <v>1533.5</v>
      </c>
      <c r="G27">
        <f t="shared" si="2"/>
        <v>0.67330000000000001</v>
      </c>
      <c r="H27">
        <v>0.59</v>
      </c>
      <c r="I27">
        <f t="shared" si="3"/>
        <v>3.0733999999999999</v>
      </c>
      <c r="J27">
        <v>136</v>
      </c>
      <c r="L27">
        <v>2000</v>
      </c>
      <c r="M27">
        <v>1</v>
      </c>
      <c r="N27">
        <v>562.33330000000001</v>
      </c>
      <c r="O27">
        <v>9.89</v>
      </c>
      <c r="P27">
        <v>167.33330000000001</v>
      </c>
      <c r="Q27" t="s">
        <v>479</v>
      </c>
      <c r="R27" t="s">
        <v>480</v>
      </c>
      <c r="S27">
        <v>6</v>
      </c>
      <c r="T27">
        <v>61</v>
      </c>
      <c r="U27">
        <v>2.13</v>
      </c>
      <c r="V27" t="s">
        <v>481</v>
      </c>
      <c r="W27">
        <v>0</v>
      </c>
      <c r="X27">
        <v>4</v>
      </c>
      <c r="Y27" t="b">
        <v>0</v>
      </c>
      <c r="Z27">
        <v>0.83299999999999996</v>
      </c>
      <c r="AA27">
        <v>21.6</v>
      </c>
      <c r="AB27">
        <v>0</v>
      </c>
      <c r="AC27">
        <v>0</v>
      </c>
      <c r="AD27">
        <v>8</v>
      </c>
      <c r="AE27">
        <v>75</v>
      </c>
      <c r="AF27">
        <v>0.97</v>
      </c>
      <c r="AG27">
        <v>110</v>
      </c>
      <c r="AH27">
        <v>-0.68110000000000004</v>
      </c>
      <c r="AI27">
        <v>0.81499999999999995</v>
      </c>
      <c r="AJ27">
        <v>4</v>
      </c>
      <c r="AK27">
        <v>8.0000000000000002E-3</v>
      </c>
      <c r="AL27">
        <v>0.33600000000000002</v>
      </c>
      <c r="AM27">
        <v>0.7</v>
      </c>
      <c r="AN27">
        <v>0.4</v>
      </c>
      <c r="AO27">
        <v>0.8</v>
      </c>
      <c r="AP27">
        <v>0</v>
      </c>
      <c r="AQ27">
        <v>0</v>
      </c>
      <c r="AR27">
        <v>60</v>
      </c>
      <c r="AS27">
        <v>0.2</v>
      </c>
      <c r="AT27">
        <v>0</v>
      </c>
      <c r="AU27">
        <v>30</v>
      </c>
      <c r="AV27">
        <v>100</v>
      </c>
      <c r="AW27">
        <v>1</v>
      </c>
      <c r="AX27">
        <v>0.86</v>
      </c>
      <c r="AZ27" t="b">
        <v>0</v>
      </c>
      <c r="BA27">
        <v>114</v>
      </c>
      <c r="BB27">
        <v>0.92</v>
      </c>
      <c r="BC27">
        <v>1.4</v>
      </c>
      <c r="BD27">
        <v>5.0000000000000001E-3</v>
      </c>
      <c r="BE27">
        <v>0.98</v>
      </c>
      <c r="BS27">
        <v>6.1</v>
      </c>
      <c r="BX27">
        <v>30</v>
      </c>
    </row>
    <row r="28" spans="1:76" x14ac:dyDescent="0.25">
      <c r="A28" t="s">
        <v>401</v>
      </c>
      <c r="B28" t="s">
        <v>468</v>
      </c>
      <c r="C28" t="s">
        <v>477</v>
      </c>
      <c r="D28">
        <v>0.39</v>
      </c>
      <c r="E28">
        <f>2.044*1.889</f>
        <v>3.861116</v>
      </c>
      <c r="F28">
        <v>1533.5</v>
      </c>
      <c r="G28">
        <f t="shared" si="2"/>
        <v>0.67330000000000001</v>
      </c>
      <c r="H28">
        <v>0.59</v>
      </c>
      <c r="I28">
        <f t="shared" si="3"/>
        <v>3.0733999999999999</v>
      </c>
      <c r="J28">
        <v>136</v>
      </c>
      <c r="L28">
        <v>2000</v>
      </c>
      <c r="M28">
        <v>1</v>
      </c>
      <c r="N28">
        <v>562.33330000000001</v>
      </c>
      <c r="O28">
        <v>9.89</v>
      </c>
      <c r="P28">
        <v>167.33330000000001</v>
      </c>
      <c r="Q28" t="s">
        <v>479</v>
      </c>
      <c r="R28" t="s">
        <v>480</v>
      </c>
      <c r="S28">
        <v>6</v>
      </c>
      <c r="T28">
        <v>61</v>
      </c>
      <c r="U28">
        <v>2.13</v>
      </c>
      <c r="V28" t="s">
        <v>481</v>
      </c>
      <c r="W28">
        <v>0</v>
      </c>
      <c r="X28">
        <v>4</v>
      </c>
      <c r="Y28" t="b">
        <v>0</v>
      </c>
      <c r="Z28">
        <v>0.83299999999999996</v>
      </c>
      <c r="AA28">
        <v>21.6</v>
      </c>
      <c r="AB28">
        <v>0</v>
      </c>
      <c r="AC28">
        <v>0</v>
      </c>
      <c r="AD28">
        <v>8</v>
      </c>
      <c r="AE28">
        <v>75</v>
      </c>
      <c r="AF28">
        <v>0.97</v>
      </c>
      <c r="AG28">
        <v>110</v>
      </c>
      <c r="AH28">
        <v>-0.68110000000000004</v>
      </c>
      <c r="AI28">
        <v>0.81499999999999995</v>
      </c>
      <c r="AJ28">
        <v>4</v>
      </c>
      <c r="AK28">
        <v>8.0000000000000002E-3</v>
      </c>
      <c r="AL28">
        <v>0.33600000000000002</v>
      </c>
      <c r="AM28">
        <v>0.7</v>
      </c>
      <c r="AN28">
        <v>0.4</v>
      </c>
      <c r="AO28">
        <v>0.8</v>
      </c>
      <c r="AP28">
        <v>0</v>
      </c>
      <c r="AQ28">
        <v>0</v>
      </c>
      <c r="AR28">
        <v>60</v>
      </c>
      <c r="AS28">
        <v>0.2</v>
      </c>
      <c r="AT28">
        <v>0</v>
      </c>
      <c r="AU28">
        <v>30</v>
      </c>
      <c r="AV28">
        <v>100</v>
      </c>
      <c r="AW28">
        <v>1</v>
      </c>
      <c r="AX28">
        <v>0.86</v>
      </c>
      <c r="AZ28" t="b">
        <v>0</v>
      </c>
      <c r="BA28">
        <v>114</v>
      </c>
      <c r="BB28">
        <v>0.98</v>
      </c>
      <c r="BC28">
        <v>1.4</v>
      </c>
      <c r="BD28">
        <v>5.0000000000000001E-3</v>
      </c>
      <c r="BE28">
        <v>0.98</v>
      </c>
      <c r="BS28">
        <v>6.1</v>
      </c>
      <c r="BX28">
        <v>30</v>
      </c>
    </row>
    <row r="29" spans="1:76" x14ac:dyDescent="0.25">
      <c r="A29" s="44" t="s">
        <v>402</v>
      </c>
      <c r="B29" s="45" t="s">
        <v>467</v>
      </c>
      <c r="C29" t="s">
        <v>477</v>
      </c>
      <c r="D29">
        <v>0.39</v>
      </c>
      <c r="E29">
        <f>1.91*1.663</f>
        <v>3.1763300000000001</v>
      </c>
      <c r="F29">
        <v>1533.5</v>
      </c>
      <c r="G29">
        <f t="shared" si="2"/>
        <v>0.67330000000000001</v>
      </c>
      <c r="H29">
        <v>0.59</v>
      </c>
      <c r="I29">
        <f>110.5*0.0254</f>
        <v>2.8066999999999998</v>
      </c>
      <c r="J29">
        <v>136</v>
      </c>
      <c r="L29">
        <v>2000</v>
      </c>
      <c r="M29">
        <v>1</v>
      </c>
      <c r="N29">
        <v>562.33330000000001</v>
      </c>
      <c r="O29">
        <v>9.89</v>
      </c>
      <c r="P29">
        <v>167.33330000000001</v>
      </c>
      <c r="Q29" t="s">
        <v>479</v>
      </c>
      <c r="R29" t="s">
        <v>480</v>
      </c>
      <c r="S29">
        <v>6</v>
      </c>
      <c r="T29">
        <v>61</v>
      </c>
      <c r="U29">
        <v>2.13</v>
      </c>
      <c r="V29" t="s">
        <v>481</v>
      </c>
      <c r="W29">
        <v>0</v>
      </c>
      <c r="X29">
        <v>4</v>
      </c>
      <c r="Y29" t="b">
        <v>0</v>
      </c>
      <c r="Z29">
        <v>0.83299999999999996</v>
      </c>
      <c r="AA29">
        <v>21.6</v>
      </c>
      <c r="AB29">
        <v>0</v>
      </c>
      <c r="AC29">
        <v>0</v>
      </c>
      <c r="AD29">
        <v>8</v>
      </c>
      <c r="AE29">
        <v>75</v>
      </c>
      <c r="AF29">
        <v>0.97</v>
      </c>
      <c r="AG29">
        <v>110</v>
      </c>
      <c r="AH29">
        <v>-0.68110000000000004</v>
      </c>
      <c r="AI29">
        <v>0.81499999999999995</v>
      </c>
      <c r="AJ29">
        <v>4</v>
      </c>
      <c r="AK29">
        <v>8.0000000000000002E-3</v>
      </c>
      <c r="AL29">
        <v>0.33600000000000002</v>
      </c>
      <c r="AM29">
        <v>0.7</v>
      </c>
      <c r="AN29">
        <v>0.4</v>
      </c>
      <c r="AO29">
        <v>0.8</v>
      </c>
      <c r="AP29">
        <v>0</v>
      </c>
      <c r="AQ29">
        <v>0</v>
      </c>
      <c r="AR29">
        <v>60</v>
      </c>
      <c r="AS29">
        <v>0.2</v>
      </c>
      <c r="AT29">
        <v>0</v>
      </c>
      <c r="AU29">
        <v>30</v>
      </c>
      <c r="AV29">
        <v>100</v>
      </c>
      <c r="AW29">
        <v>1</v>
      </c>
      <c r="AX29">
        <v>0.86</v>
      </c>
      <c r="AZ29" t="b">
        <v>0</v>
      </c>
      <c r="BA29">
        <v>114</v>
      </c>
      <c r="BB29">
        <v>0.92</v>
      </c>
      <c r="BC29">
        <v>1.4</v>
      </c>
      <c r="BD29">
        <v>5.0000000000000001E-3</v>
      </c>
      <c r="BE29">
        <v>0.98</v>
      </c>
      <c r="BS29">
        <v>6.7</v>
      </c>
      <c r="BX29">
        <v>30</v>
      </c>
    </row>
    <row r="30" spans="1:76" x14ac:dyDescent="0.25">
      <c r="A30" s="44" t="s">
        <v>403</v>
      </c>
      <c r="B30" s="45" t="s">
        <v>468</v>
      </c>
      <c r="C30" t="s">
        <v>477</v>
      </c>
      <c r="D30">
        <v>0.39</v>
      </c>
      <c r="E30">
        <f>1.91*1.663</f>
        <v>3.1763300000000001</v>
      </c>
      <c r="F30">
        <v>1533.5</v>
      </c>
      <c r="G30">
        <f t="shared" si="2"/>
        <v>0.67330000000000001</v>
      </c>
      <c r="H30">
        <f>2690/6008</f>
        <v>0.4477363515312916</v>
      </c>
      <c r="I30">
        <v>2.9569999999999999</v>
      </c>
      <c r="J30">
        <v>136</v>
      </c>
      <c r="L30">
        <v>2000</v>
      </c>
      <c r="M30">
        <v>1</v>
      </c>
      <c r="N30">
        <v>562.33330000000001</v>
      </c>
      <c r="O30">
        <v>9.89</v>
      </c>
      <c r="P30">
        <v>167.33330000000001</v>
      </c>
      <c r="Q30" t="s">
        <v>479</v>
      </c>
      <c r="R30" t="s">
        <v>480</v>
      </c>
      <c r="S30">
        <v>6</v>
      </c>
      <c r="T30">
        <v>61</v>
      </c>
      <c r="U30">
        <v>2.13</v>
      </c>
      <c r="V30" t="s">
        <v>481</v>
      </c>
      <c r="W30">
        <v>0</v>
      </c>
      <c r="X30">
        <v>4</v>
      </c>
      <c r="Y30" t="b">
        <v>0</v>
      </c>
      <c r="Z30">
        <v>0.83299999999999996</v>
      </c>
      <c r="AA30">
        <v>21.6</v>
      </c>
      <c r="AB30">
        <v>0</v>
      </c>
      <c r="AC30">
        <v>0</v>
      </c>
      <c r="AD30">
        <v>8</v>
      </c>
      <c r="AE30">
        <v>75</v>
      </c>
      <c r="AF30">
        <v>0.97</v>
      </c>
      <c r="AG30">
        <v>110</v>
      </c>
      <c r="AH30">
        <v>-0.68110000000000004</v>
      </c>
      <c r="AI30">
        <v>0.81499999999999995</v>
      </c>
      <c r="AJ30">
        <v>4</v>
      </c>
      <c r="AK30">
        <v>8.0000000000000002E-3</v>
      </c>
      <c r="AL30">
        <v>0.33600000000000002</v>
      </c>
      <c r="AM30">
        <v>0.7</v>
      </c>
      <c r="AN30">
        <v>0.4</v>
      </c>
      <c r="AO30">
        <v>0.8</v>
      </c>
      <c r="AP30">
        <v>0</v>
      </c>
      <c r="AQ30">
        <v>0</v>
      </c>
      <c r="AR30">
        <v>60</v>
      </c>
      <c r="AS30">
        <v>0.2</v>
      </c>
      <c r="AT30">
        <v>0</v>
      </c>
      <c r="AU30">
        <v>30</v>
      </c>
      <c r="AV30">
        <v>100</v>
      </c>
      <c r="AW30">
        <v>1</v>
      </c>
      <c r="AX30">
        <v>0.86</v>
      </c>
      <c r="AZ30" t="b">
        <v>0</v>
      </c>
      <c r="BA30">
        <v>114</v>
      </c>
      <c r="BB30">
        <v>0.98</v>
      </c>
      <c r="BC30">
        <v>1.4</v>
      </c>
      <c r="BD30">
        <v>5.0000000000000001E-3</v>
      </c>
      <c r="BE30">
        <v>0.98</v>
      </c>
      <c r="BS30">
        <v>6.7</v>
      </c>
      <c r="BX30">
        <v>30</v>
      </c>
    </row>
    <row r="31" spans="1:76" x14ac:dyDescent="0.25">
      <c r="A31" t="s">
        <v>404</v>
      </c>
      <c r="B31" t="s">
        <v>472</v>
      </c>
      <c r="C31" t="s">
        <v>477</v>
      </c>
      <c r="D31">
        <v>0.34</v>
      </c>
      <c r="E31">
        <f>2.212*1.628</f>
        <v>3.6011359999999999</v>
      </c>
      <c r="F31">
        <v>1533.5</v>
      </c>
      <c r="G31">
        <f t="shared" ref="G31:G40" si="4">664.7/1000</f>
        <v>0.66470000000000007</v>
      </c>
      <c r="H31">
        <v>0.59</v>
      </c>
      <c r="I31">
        <f>110*0.0254</f>
        <v>2.794</v>
      </c>
      <c r="J31">
        <v>136</v>
      </c>
      <c r="L31">
        <v>2000</v>
      </c>
      <c r="M31">
        <v>1</v>
      </c>
      <c r="N31">
        <v>562.33330000000001</v>
      </c>
      <c r="O31">
        <v>9.89</v>
      </c>
      <c r="P31">
        <v>167.33330000000001</v>
      </c>
      <c r="Q31" t="s">
        <v>479</v>
      </c>
      <c r="R31" t="s">
        <v>480</v>
      </c>
      <c r="S31">
        <v>6</v>
      </c>
      <c r="T31">
        <v>61</v>
      </c>
      <c r="U31">
        <v>2.13</v>
      </c>
      <c r="V31" t="s">
        <v>481</v>
      </c>
      <c r="W31">
        <v>0</v>
      </c>
      <c r="X31">
        <v>4</v>
      </c>
      <c r="Y31" t="b">
        <v>0</v>
      </c>
      <c r="Z31">
        <v>0.83299999999999996</v>
      </c>
      <c r="AA31">
        <v>21.6</v>
      </c>
      <c r="AB31">
        <v>0</v>
      </c>
      <c r="AC31">
        <v>0</v>
      </c>
      <c r="AD31">
        <v>8</v>
      </c>
      <c r="AE31">
        <v>75</v>
      </c>
      <c r="AF31">
        <v>0.97</v>
      </c>
      <c r="AG31">
        <v>110</v>
      </c>
      <c r="AH31">
        <v>-0.68110000000000004</v>
      </c>
      <c r="AI31">
        <v>0.81499999999999995</v>
      </c>
      <c r="AJ31">
        <v>4</v>
      </c>
      <c r="AK31">
        <v>7.4999999999999997E-3</v>
      </c>
      <c r="AL31">
        <v>0.33600000000000002</v>
      </c>
      <c r="AM31">
        <v>0.7</v>
      </c>
      <c r="AN31">
        <v>0.4</v>
      </c>
      <c r="AO31">
        <v>0.8</v>
      </c>
      <c r="AP31">
        <v>0</v>
      </c>
      <c r="AQ31">
        <v>0</v>
      </c>
      <c r="AR31">
        <v>60</v>
      </c>
      <c r="AS31">
        <v>0.2</v>
      </c>
      <c r="AT31">
        <v>0</v>
      </c>
      <c r="AU31">
        <v>30</v>
      </c>
      <c r="AV31">
        <v>100</v>
      </c>
      <c r="AW31">
        <v>1</v>
      </c>
      <c r="AX31">
        <v>0.86</v>
      </c>
      <c r="AZ31" t="b">
        <v>0</v>
      </c>
      <c r="BA31">
        <v>114</v>
      </c>
      <c r="BB31">
        <v>0.92</v>
      </c>
      <c r="BC31">
        <v>1.4</v>
      </c>
      <c r="BD31">
        <v>5.0000000000000001E-3</v>
      </c>
      <c r="BE31">
        <v>0.98</v>
      </c>
      <c r="BS31">
        <v>7.5</v>
      </c>
      <c r="BX31">
        <v>30</v>
      </c>
    </row>
    <row r="32" spans="1:76" x14ac:dyDescent="0.25">
      <c r="A32" t="s">
        <v>405</v>
      </c>
      <c r="B32" t="s">
        <v>473</v>
      </c>
      <c r="C32" t="s">
        <v>477</v>
      </c>
      <c r="D32">
        <v>0.34</v>
      </c>
      <c r="E32">
        <f>2.212*1.628</f>
        <v>3.6011359999999999</v>
      </c>
      <c r="F32">
        <v>1533.5</v>
      </c>
      <c r="G32">
        <f t="shared" si="4"/>
        <v>0.66470000000000007</v>
      </c>
      <c r="H32">
        <v>0.59</v>
      </c>
      <c r="I32">
        <f>110*0.0254</f>
        <v>2.794</v>
      </c>
      <c r="J32">
        <v>136</v>
      </c>
      <c r="L32">
        <v>2000</v>
      </c>
      <c r="M32">
        <v>1</v>
      </c>
      <c r="N32">
        <v>562.33330000000001</v>
      </c>
      <c r="O32">
        <v>9.89</v>
      </c>
      <c r="P32">
        <v>167.33330000000001</v>
      </c>
      <c r="Q32" t="s">
        <v>479</v>
      </c>
      <c r="R32" t="s">
        <v>480</v>
      </c>
      <c r="S32">
        <v>6</v>
      </c>
      <c r="T32">
        <v>61</v>
      </c>
      <c r="U32">
        <v>2.13</v>
      </c>
      <c r="V32" t="s">
        <v>481</v>
      </c>
      <c r="W32">
        <v>0</v>
      </c>
      <c r="X32">
        <v>4</v>
      </c>
      <c r="Y32" t="b">
        <v>0</v>
      </c>
      <c r="Z32">
        <v>0.83299999999999996</v>
      </c>
      <c r="AA32">
        <v>21.6</v>
      </c>
      <c r="AB32">
        <v>0</v>
      </c>
      <c r="AC32">
        <v>0</v>
      </c>
      <c r="AD32">
        <v>8</v>
      </c>
      <c r="AE32">
        <v>75</v>
      </c>
      <c r="AF32">
        <v>0.97</v>
      </c>
      <c r="AG32">
        <v>110</v>
      </c>
      <c r="AH32">
        <v>-0.68110000000000004</v>
      </c>
      <c r="AI32">
        <v>0.81499999999999995</v>
      </c>
      <c r="AJ32">
        <v>4</v>
      </c>
      <c r="AK32">
        <v>7.4999999999999997E-3</v>
      </c>
      <c r="AL32">
        <v>0.33600000000000002</v>
      </c>
      <c r="AM32">
        <v>0.7</v>
      </c>
      <c r="AN32">
        <v>0.4</v>
      </c>
      <c r="AO32">
        <v>0.8</v>
      </c>
      <c r="AP32">
        <v>0</v>
      </c>
      <c r="AQ32">
        <v>0</v>
      </c>
      <c r="AR32">
        <v>60</v>
      </c>
      <c r="AS32">
        <v>0.2</v>
      </c>
      <c r="AT32">
        <v>0</v>
      </c>
      <c r="AU32">
        <v>30</v>
      </c>
      <c r="AV32">
        <v>100</v>
      </c>
      <c r="AW32">
        <v>1</v>
      </c>
      <c r="AX32">
        <v>0.86</v>
      </c>
      <c r="AZ32" t="b">
        <v>0</v>
      </c>
      <c r="BA32">
        <v>114</v>
      </c>
      <c r="BB32">
        <v>0.98</v>
      </c>
      <c r="BC32">
        <v>1.4</v>
      </c>
      <c r="BD32">
        <v>5.0000000000000001E-3</v>
      </c>
      <c r="BE32">
        <v>0.98</v>
      </c>
      <c r="BS32">
        <v>7.5</v>
      </c>
      <c r="BX32">
        <v>30</v>
      </c>
    </row>
    <row r="33" spans="1:76" x14ac:dyDescent="0.25">
      <c r="A33" t="s">
        <v>406</v>
      </c>
      <c r="B33" t="s">
        <v>472</v>
      </c>
      <c r="C33" t="s">
        <v>477</v>
      </c>
      <c r="D33">
        <v>0.32</v>
      </c>
      <c r="E33">
        <f>1.903*1.675</f>
        <v>3.1875249999999999</v>
      </c>
      <c r="F33">
        <v>1533.5</v>
      </c>
      <c r="G33">
        <f t="shared" si="4"/>
        <v>0.66470000000000007</v>
      </c>
      <c r="H33">
        <v>0.59</v>
      </c>
      <c r="I33">
        <f t="shared" ref="I33:I36" si="5">110*0.0254</f>
        <v>2.794</v>
      </c>
      <c r="J33">
        <v>136</v>
      </c>
      <c r="L33">
        <v>2000</v>
      </c>
      <c r="M33">
        <v>1</v>
      </c>
      <c r="N33">
        <v>562.33330000000001</v>
      </c>
      <c r="O33">
        <v>9.89</v>
      </c>
      <c r="P33">
        <v>167.33330000000001</v>
      </c>
      <c r="Q33" t="s">
        <v>479</v>
      </c>
      <c r="R33" t="s">
        <v>480</v>
      </c>
      <c r="S33">
        <v>6</v>
      </c>
      <c r="T33">
        <v>61</v>
      </c>
      <c r="U33">
        <v>2.13</v>
      </c>
      <c r="V33" t="s">
        <v>481</v>
      </c>
      <c r="W33">
        <v>0</v>
      </c>
      <c r="X33">
        <v>4</v>
      </c>
      <c r="Y33" t="b">
        <v>0</v>
      </c>
      <c r="Z33">
        <v>0.83299999999999996</v>
      </c>
      <c r="AA33">
        <v>21.6</v>
      </c>
      <c r="AB33">
        <v>0</v>
      </c>
      <c r="AC33">
        <v>0</v>
      </c>
      <c r="AD33">
        <v>8</v>
      </c>
      <c r="AE33">
        <v>75</v>
      </c>
      <c r="AF33">
        <v>0.97</v>
      </c>
      <c r="AG33">
        <v>110</v>
      </c>
      <c r="AH33">
        <v>-0.68110000000000004</v>
      </c>
      <c r="AI33">
        <v>0.81499999999999995</v>
      </c>
      <c r="AJ33">
        <v>4</v>
      </c>
      <c r="AK33">
        <v>7.4999999999999997E-3</v>
      </c>
      <c r="AL33">
        <v>0.33600000000000002</v>
      </c>
      <c r="AM33">
        <v>0.7</v>
      </c>
      <c r="AN33">
        <v>0.4</v>
      </c>
      <c r="AO33">
        <v>0.8</v>
      </c>
      <c r="AP33">
        <v>0</v>
      </c>
      <c r="AQ33">
        <v>0</v>
      </c>
      <c r="AR33">
        <v>60</v>
      </c>
      <c r="AS33">
        <v>0.2</v>
      </c>
      <c r="AT33">
        <v>0</v>
      </c>
      <c r="AU33">
        <v>30</v>
      </c>
      <c r="AV33">
        <v>100</v>
      </c>
      <c r="AW33">
        <v>1</v>
      </c>
      <c r="AX33">
        <v>0.86</v>
      </c>
      <c r="AZ33" t="b">
        <v>0</v>
      </c>
      <c r="BA33">
        <v>114</v>
      </c>
      <c r="BB33">
        <v>0.92</v>
      </c>
      <c r="BC33">
        <v>1.4</v>
      </c>
      <c r="BD33">
        <v>5.0000000000000001E-3</v>
      </c>
      <c r="BE33">
        <v>0.98</v>
      </c>
      <c r="BS33">
        <v>6.7</v>
      </c>
      <c r="BX33">
        <v>30</v>
      </c>
    </row>
    <row r="34" spans="1:76" x14ac:dyDescent="0.25">
      <c r="A34" t="s">
        <v>407</v>
      </c>
      <c r="B34" t="s">
        <v>473</v>
      </c>
      <c r="C34" t="s">
        <v>477</v>
      </c>
      <c r="D34">
        <v>0.32</v>
      </c>
      <c r="E34">
        <f>1.903*1.675</f>
        <v>3.1875249999999999</v>
      </c>
      <c r="F34">
        <v>1533.5</v>
      </c>
      <c r="G34">
        <f t="shared" si="4"/>
        <v>0.66470000000000007</v>
      </c>
      <c r="H34">
        <v>0.59</v>
      </c>
      <c r="I34">
        <f t="shared" si="5"/>
        <v>2.794</v>
      </c>
      <c r="J34">
        <v>136</v>
      </c>
      <c r="L34">
        <v>2000</v>
      </c>
      <c r="M34">
        <v>1</v>
      </c>
      <c r="N34">
        <v>562.33330000000001</v>
      </c>
      <c r="O34">
        <v>9.89</v>
      </c>
      <c r="P34">
        <v>167.33330000000001</v>
      </c>
      <c r="Q34" t="s">
        <v>479</v>
      </c>
      <c r="R34" t="s">
        <v>480</v>
      </c>
      <c r="S34">
        <v>6</v>
      </c>
      <c r="T34">
        <v>61</v>
      </c>
      <c r="U34">
        <v>2.13</v>
      </c>
      <c r="V34" t="s">
        <v>481</v>
      </c>
      <c r="W34">
        <v>0</v>
      </c>
      <c r="X34">
        <v>4</v>
      </c>
      <c r="Y34" t="b">
        <v>0</v>
      </c>
      <c r="Z34">
        <v>0.83299999999999996</v>
      </c>
      <c r="AA34">
        <v>21.6</v>
      </c>
      <c r="AB34">
        <v>0</v>
      </c>
      <c r="AC34">
        <v>0</v>
      </c>
      <c r="AD34">
        <v>8</v>
      </c>
      <c r="AE34">
        <v>75</v>
      </c>
      <c r="AF34">
        <v>0.97</v>
      </c>
      <c r="AG34">
        <v>110</v>
      </c>
      <c r="AH34">
        <v>-0.68110000000000004</v>
      </c>
      <c r="AI34">
        <v>0.81499999999999995</v>
      </c>
      <c r="AJ34">
        <v>4</v>
      </c>
      <c r="AK34">
        <v>7.4999999999999997E-3</v>
      </c>
      <c r="AL34">
        <v>0.33600000000000002</v>
      </c>
      <c r="AM34">
        <v>0.7</v>
      </c>
      <c r="AN34">
        <v>0.4</v>
      </c>
      <c r="AO34">
        <v>0.8</v>
      </c>
      <c r="AP34">
        <v>0</v>
      </c>
      <c r="AQ34">
        <v>0</v>
      </c>
      <c r="AR34">
        <v>60</v>
      </c>
      <c r="AS34">
        <v>0.2</v>
      </c>
      <c r="AT34">
        <v>0</v>
      </c>
      <c r="AU34">
        <v>30</v>
      </c>
      <c r="AV34">
        <v>100</v>
      </c>
      <c r="AW34">
        <v>1</v>
      </c>
      <c r="AX34">
        <v>0.86</v>
      </c>
      <c r="AZ34" t="b">
        <v>0</v>
      </c>
      <c r="BA34">
        <v>114</v>
      </c>
      <c r="BB34">
        <v>0.98</v>
      </c>
      <c r="BC34">
        <v>1.4</v>
      </c>
      <c r="BD34">
        <v>5.0000000000000001E-3</v>
      </c>
      <c r="BE34">
        <v>0.98</v>
      </c>
      <c r="BS34">
        <v>6.7</v>
      </c>
      <c r="BX34">
        <v>30</v>
      </c>
    </row>
    <row r="35" spans="1:76" x14ac:dyDescent="0.25">
      <c r="A35" t="s">
        <v>408</v>
      </c>
      <c r="B35" t="s">
        <v>472</v>
      </c>
      <c r="C35" t="s">
        <v>477</v>
      </c>
      <c r="D35">
        <v>0.32</v>
      </c>
      <c r="E35">
        <f>1.964*1.775</f>
        <v>3.4861</v>
      </c>
      <c r="F35">
        <v>1533.5</v>
      </c>
      <c r="G35">
        <f t="shared" si="4"/>
        <v>0.66470000000000007</v>
      </c>
      <c r="H35">
        <v>0.59</v>
      </c>
      <c r="I35">
        <f t="shared" si="5"/>
        <v>2.794</v>
      </c>
      <c r="J35">
        <v>136</v>
      </c>
      <c r="L35">
        <v>2000</v>
      </c>
      <c r="M35">
        <v>1</v>
      </c>
      <c r="N35">
        <v>562.33330000000001</v>
      </c>
      <c r="O35">
        <v>9.89</v>
      </c>
      <c r="P35">
        <v>167.33330000000001</v>
      </c>
      <c r="Q35" t="s">
        <v>479</v>
      </c>
      <c r="R35" t="s">
        <v>480</v>
      </c>
      <c r="S35">
        <v>6</v>
      </c>
      <c r="T35">
        <v>61</v>
      </c>
      <c r="U35">
        <v>2.13</v>
      </c>
      <c r="V35" t="s">
        <v>481</v>
      </c>
      <c r="W35">
        <v>0</v>
      </c>
      <c r="X35">
        <v>4</v>
      </c>
      <c r="Y35" t="b">
        <v>0</v>
      </c>
      <c r="Z35">
        <v>0.83299999999999996</v>
      </c>
      <c r="AA35">
        <v>21.6</v>
      </c>
      <c r="AB35">
        <v>0</v>
      </c>
      <c r="AC35">
        <v>0</v>
      </c>
      <c r="AD35">
        <v>8</v>
      </c>
      <c r="AE35">
        <v>75</v>
      </c>
      <c r="AF35">
        <v>0.97</v>
      </c>
      <c r="AG35">
        <v>110</v>
      </c>
      <c r="AH35">
        <v>-0.68110000000000004</v>
      </c>
      <c r="AI35">
        <v>0.81499999999999995</v>
      </c>
      <c r="AJ35">
        <v>4</v>
      </c>
      <c r="AK35">
        <v>7.4999999999999997E-3</v>
      </c>
      <c r="AL35">
        <v>0.33600000000000002</v>
      </c>
      <c r="AM35">
        <v>0.7</v>
      </c>
      <c r="AN35">
        <v>0.4</v>
      </c>
      <c r="AO35">
        <v>0.8</v>
      </c>
      <c r="AP35">
        <v>0</v>
      </c>
      <c r="AQ35">
        <v>0</v>
      </c>
      <c r="AR35">
        <v>60</v>
      </c>
      <c r="AS35">
        <v>0.2</v>
      </c>
      <c r="AT35">
        <v>0</v>
      </c>
      <c r="AU35">
        <v>30</v>
      </c>
      <c r="AV35">
        <v>100</v>
      </c>
      <c r="AW35">
        <v>1</v>
      </c>
      <c r="AX35">
        <v>0.86</v>
      </c>
      <c r="AZ35" t="b">
        <v>0</v>
      </c>
      <c r="BA35">
        <v>114</v>
      </c>
      <c r="BB35">
        <v>0.92</v>
      </c>
      <c r="BC35">
        <v>1.4</v>
      </c>
      <c r="BD35">
        <v>5.0000000000000001E-3</v>
      </c>
      <c r="BE35">
        <v>0.98</v>
      </c>
      <c r="BS35">
        <v>6.8</v>
      </c>
      <c r="BX35">
        <v>30</v>
      </c>
    </row>
    <row r="36" spans="1:76" x14ac:dyDescent="0.25">
      <c r="A36" t="s">
        <v>409</v>
      </c>
      <c r="B36" t="s">
        <v>473</v>
      </c>
      <c r="C36" t="s">
        <v>477</v>
      </c>
      <c r="D36">
        <v>0.32</v>
      </c>
      <c r="E36">
        <f>1.964*1.775</f>
        <v>3.4861</v>
      </c>
      <c r="F36">
        <v>1533.5</v>
      </c>
      <c r="G36">
        <f t="shared" si="4"/>
        <v>0.66470000000000007</v>
      </c>
      <c r="H36">
        <v>0.59</v>
      </c>
      <c r="I36">
        <f t="shared" si="5"/>
        <v>2.794</v>
      </c>
      <c r="J36">
        <v>136</v>
      </c>
      <c r="L36">
        <v>2000</v>
      </c>
      <c r="M36">
        <v>1</v>
      </c>
      <c r="N36">
        <v>562.33330000000001</v>
      </c>
      <c r="O36">
        <v>9.89</v>
      </c>
      <c r="P36">
        <v>167.33330000000001</v>
      </c>
      <c r="Q36" t="s">
        <v>479</v>
      </c>
      <c r="R36" t="s">
        <v>480</v>
      </c>
      <c r="S36">
        <v>6</v>
      </c>
      <c r="T36">
        <v>61</v>
      </c>
      <c r="U36">
        <v>2.13</v>
      </c>
      <c r="V36" t="s">
        <v>481</v>
      </c>
      <c r="W36">
        <v>0</v>
      </c>
      <c r="X36">
        <v>4</v>
      </c>
      <c r="Y36" t="b">
        <v>0</v>
      </c>
      <c r="Z36">
        <v>0.83299999999999996</v>
      </c>
      <c r="AA36">
        <v>21.6</v>
      </c>
      <c r="AB36">
        <v>0</v>
      </c>
      <c r="AC36">
        <v>0</v>
      </c>
      <c r="AD36">
        <v>8</v>
      </c>
      <c r="AE36">
        <v>75</v>
      </c>
      <c r="AF36">
        <v>0.97</v>
      </c>
      <c r="AG36">
        <v>110</v>
      </c>
      <c r="AH36">
        <v>-0.68110000000000004</v>
      </c>
      <c r="AI36">
        <v>0.81499999999999995</v>
      </c>
      <c r="AJ36">
        <v>4</v>
      </c>
      <c r="AK36">
        <v>7.4999999999999997E-3</v>
      </c>
      <c r="AL36">
        <v>0.33600000000000002</v>
      </c>
      <c r="AM36">
        <v>0.7</v>
      </c>
      <c r="AN36">
        <v>0.4</v>
      </c>
      <c r="AO36">
        <v>0.8</v>
      </c>
      <c r="AP36">
        <v>0</v>
      </c>
      <c r="AQ36">
        <v>0</v>
      </c>
      <c r="AR36">
        <v>60</v>
      </c>
      <c r="AS36">
        <v>0.2</v>
      </c>
      <c r="AT36">
        <v>0</v>
      </c>
      <c r="AU36">
        <v>30</v>
      </c>
      <c r="AV36">
        <v>100</v>
      </c>
      <c r="AW36">
        <v>1</v>
      </c>
      <c r="AX36">
        <v>0.86</v>
      </c>
      <c r="AZ36" t="b">
        <v>0</v>
      </c>
      <c r="BA36">
        <v>114</v>
      </c>
      <c r="BB36">
        <v>0.98</v>
      </c>
      <c r="BC36">
        <v>1.4</v>
      </c>
      <c r="BD36">
        <v>5.0000000000000001E-3</v>
      </c>
      <c r="BE36">
        <v>0.98</v>
      </c>
      <c r="BS36">
        <v>6.8</v>
      </c>
      <c r="BX36">
        <v>30</v>
      </c>
    </row>
    <row r="37" spans="1:76" x14ac:dyDescent="0.25">
      <c r="A37" t="s">
        <v>410</v>
      </c>
      <c r="B37" t="s">
        <v>485</v>
      </c>
      <c r="C37" t="s">
        <v>477</v>
      </c>
      <c r="D37">
        <v>0.3</v>
      </c>
      <c r="E37">
        <f>1.852*1.51</f>
        <v>2.7965200000000001</v>
      </c>
      <c r="F37">
        <v>1123.242</v>
      </c>
      <c r="G37">
        <f t="shared" si="4"/>
        <v>0.66470000000000007</v>
      </c>
      <c r="H37">
        <v>0.59</v>
      </c>
      <c r="I37">
        <f>111.7*0.0254</f>
        <v>2.83718</v>
      </c>
      <c r="J37">
        <v>136</v>
      </c>
      <c r="L37">
        <v>2000</v>
      </c>
      <c r="M37">
        <v>1</v>
      </c>
      <c r="N37">
        <v>457.87099999999998</v>
      </c>
      <c r="O37">
        <v>9.89</v>
      </c>
      <c r="P37">
        <v>112.71429999999999</v>
      </c>
      <c r="Q37" t="s">
        <v>479</v>
      </c>
      <c r="R37" t="s">
        <v>480</v>
      </c>
      <c r="S37">
        <v>6</v>
      </c>
      <c r="T37">
        <v>61</v>
      </c>
      <c r="U37">
        <v>2.13</v>
      </c>
      <c r="V37" t="s">
        <v>481</v>
      </c>
      <c r="W37">
        <v>0</v>
      </c>
      <c r="X37">
        <v>4</v>
      </c>
      <c r="Y37" t="b">
        <v>0</v>
      </c>
      <c r="Z37">
        <v>0.83299999999999996</v>
      </c>
      <c r="AA37">
        <v>21.6</v>
      </c>
      <c r="AB37">
        <v>0</v>
      </c>
      <c r="AC37">
        <v>0</v>
      </c>
      <c r="AD37">
        <v>8</v>
      </c>
      <c r="AE37">
        <v>75</v>
      </c>
      <c r="AF37">
        <v>0.97</v>
      </c>
      <c r="AG37">
        <v>110</v>
      </c>
      <c r="AH37">
        <v>-0.68110000000000004</v>
      </c>
      <c r="AI37">
        <v>0.81499999999999995</v>
      </c>
      <c r="AJ37">
        <v>4</v>
      </c>
      <c r="AK37">
        <v>7.4999999999999997E-3</v>
      </c>
      <c r="AL37">
        <v>0.33600000000000002</v>
      </c>
      <c r="AM37">
        <v>0.7</v>
      </c>
      <c r="AN37">
        <v>0.4</v>
      </c>
      <c r="AO37">
        <v>0.8</v>
      </c>
      <c r="AP37">
        <v>0</v>
      </c>
      <c r="AQ37">
        <v>0</v>
      </c>
      <c r="AR37">
        <v>60</v>
      </c>
      <c r="AS37">
        <v>0.2</v>
      </c>
      <c r="AT37">
        <v>0</v>
      </c>
      <c r="AU37">
        <v>30</v>
      </c>
      <c r="AV37">
        <v>100</v>
      </c>
      <c r="AW37">
        <v>1</v>
      </c>
      <c r="AX37">
        <v>0.86</v>
      </c>
      <c r="AZ37" t="b">
        <v>0</v>
      </c>
      <c r="BA37">
        <v>114</v>
      </c>
      <c r="BB37">
        <v>0.95</v>
      </c>
      <c r="BC37">
        <v>1.4</v>
      </c>
      <c r="BD37">
        <v>5.0000000000000001E-3</v>
      </c>
      <c r="BE37">
        <v>0.98</v>
      </c>
      <c r="BS37">
        <v>5.2</v>
      </c>
      <c r="BX37">
        <v>30</v>
      </c>
    </row>
    <row r="38" spans="1:76" x14ac:dyDescent="0.25">
      <c r="A38" t="s">
        <v>411</v>
      </c>
      <c r="B38" t="s">
        <v>485</v>
      </c>
      <c r="C38" t="s">
        <v>477</v>
      </c>
      <c r="D38">
        <v>0.3</v>
      </c>
      <c r="E38">
        <f>1.852*1.51</f>
        <v>2.7965200000000001</v>
      </c>
      <c r="F38">
        <v>1123.242</v>
      </c>
      <c r="G38">
        <f t="shared" si="4"/>
        <v>0.66470000000000007</v>
      </c>
      <c r="H38">
        <v>0.59</v>
      </c>
      <c r="I38">
        <f>111.7*0.0254</f>
        <v>2.83718</v>
      </c>
      <c r="J38">
        <v>136</v>
      </c>
      <c r="L38">
        <v>2000</v>
      </c>
      <c r="M38">
        <v>1</v>
      </c>
      <c r="N38">
        <v>457.87099999999998</v>
      </c>
      <c r="O38">
        <v>9.89</v>
      </c>
      <c r="P38">
        <v>112.71429999999999</v>
      </c>
      <c r="Q38" t="s">
        <v>479</v>
      </c>
      <c r="R38" t="s">
        <v>480</v>
      </c>
      <c r="S38">
        <v>6</v>
      </c>
      <c r="T38">
        <v>61</v>
      </c>
      <c r="U38">
        <v>2.13</v>
      </c>
      <c r="V38" t="s">
        <v>481</v>
      </c>
      <c r="W38">
        <v>0</v>
      </c>
      <c r="X38">
        <v>4</v>
      </c>
      <c r="Y38" t="b">
        <v>0</v>
      </c>
      <c r="Z38">
        <v>0.83299999999999996</v>
      </c>
      <c r="AA38">
        <v>21.6</v>
      </c>
      <c r="AB38">
        <v>0</v>
      </c>
      <c r="AC38">
        <v>0</v>
      </c>
      <c r="AD38">
        <v>8</v>
      </c>
      <c r="AE38">
        <v>75</v>
      </c>
      <c r="AF38">
        <v>0.97</v>
      </c>
      <c r="AG38">
        <v>110</v>
      </c>
      <c r="AH38">
        <v>-0.68110000000000004</v>
      </c>
      <c r="AI38">
        <v>0.81499999999999995</v>
      </c>
      <c r="AJ38">
        <v>4</v>
      </c>
      <c r="AK38">
        <v>7.4999999999999997E-3</v>
      </c>
      <c r="AL38">
        <v>0.33600000000000002</v>
      </c>
      <c r="AM38">
        <v>0.7</v>
      </c>
      <c r="AN38">
        <v>0.4</v>
      </c>
      <c r="AO38">
        <v>0.8</v>
      </c>
      <c r="AP38">
        <v>0</v>
      </c>
      <c r="AQ38">
        <v>0</v>
      </c>
      <c r="AR38">
        <v>60</v>
      </c>
      <c r="AS38">
        <v>0.2</v>
      </c>
      <c r="AT38">
        <v>0</v>
      </c>
      <c r="AU38">
        <v>30</v>
      </c>
      <c r="AV38">
        <v>100</v>
      </c>
      <c r="AW38">
        <v>1</v>
      </c>
      <c r="AX38">
        <v>0.86</v>
      </c>
      <c r="AZ38" t="b">
        <v>0</v>
      </c>
      <c r="BA38">
        <v>114</v>
      </c>
      <c r="BB38">
        <v>0.95</v>
      </c>
      <c r="BC38">
        <v>1.4</v>
      </c>
      <c r="BD38">
        <v>5.0000000000000001E-3</v>
      </c>
      <c r="BE38">
        <v>0.98</v>
      </c>
      <c r="BS38">
        <v>5.2</v>
      </c>
      <c r="BX38">
        <v>30</v>
      </c>
    </row>
    <row r="39" spans="1:76" x14ac:dyDescent="0.25">
      <c r="A39" t="s">
        <v>412</v>
      </c>
      <c r="B39" t="s">
        <v>472</v>
      </c>
      <c r="C39" t="s">
        <v>477</v>
      </c>
      <c r="D39">
        <v>0.39</v>
      </c>
      <c r="E39">
        <f>1.948*1.702</f>
        <v>3.315496</v>
      </c>
      <c r="F39">
        <v>1533.5</v>
      </c>
      <c r="G39">
        <f t="shared" si="4"/>
        <v>0.66470000000000007</v>
      </c>
      <c r="H39">
        <v>0.59</v>
      </c>
      <c r="I39">
        <v>2.718</v>
      </c>
      <c r="J39">
        <v>136</v>
      </c>
      <c r="L39">
        <v>2000</v>
      </c>
      <c r="M39">
        <v>1</v>
      </c>
      <c r="N39">
        <v>562.33330000000001</v>
      </c>
      <c r="O39">
        <v>9.89</v>
      </c>
      <c r="P39">
        <v>167.33330000000001</v>
      </c>
      <c r="Q39" t="s">
        <v>479</v>
      </c>
      <c r="R39" t="s">
        <v>480</v>
      </c>
      <c r="S39">
        <v>6</v>
      </c>
      <c r="T39">
        <v>61</v>
      </c>
      <c r="U39">
        <v>2.13</v>
      </c>
      <c r="V39" t="s">
        <v>481</v>
      </c>
      <c r="W39">
        <v>0</v>
      </c>
      <c r="X39">
        <v>4</v>
      </c>
      <c r="Y39" t="b">
        <v>0</v>
      </c>
      <c r="Z39">
        <v>0.83299999999999996</v>
      </c>
      <c r="AA39">
        <v>21.6</v>
      </c>
      <c r="AB39">
        <v>0</v>
      </c>
      <c r="AC39">
        <v>0</v>
      </c>
      <c r="AD39">
        <v>8</v>
      </c>
      <c r="AE39">
        <v>75</v>
      </c>
      <c r="AF39">
        <v>0.97</v>
      </c>
      <c r="AG39">
        <v>110</v>
      </c>
      <c r="AH39">
        <v>-0.68110000000000004</v>
      </c>
      <c r="AI39">
        <v>0.81499999999999995</v>
      </c>
      <c r="AJ39">
        <v>4</v>
      </c>
      <c r="AK39">
        <v>7.4999999999999997E-3</v>
      </c>
      <c r="AL39">
        <v>0.33600000000000002</v>
      </c>
      <c r="AM39">
        <v>0.7</v>
      </c>
      <c r="AN39">
        <v>0.4</v>
      </c>
      <c r="AO39">
        <v>0.8</v>
      </c>
      <c r="AP39">
        <v>0</v>
      </c>
      <c r="AQ39">
        <v>0</v>
      </c>
      <c r="AR39">
        <v>60</v>
      </c>
      <c r="AS39">
        <v>0.2</v>
      </c>
      <c r="AT39">
        <v>0</v>
      </c>
      <c r="AU39">
        <v>30</v>
      </c>
      <c r="AV39">
        <v>100</v>
      </c>
      <c r="AW39">
        <v>1</v>
      </c>
      <c r="AX39">
        <v>0.86</v>
      </c>
      <c r="AZ39" t="b">
        <v>0</v>
      </c>
      <c r="BA39">
        <v>114</v>
      </c>
      <c r="BB39">
        <v>0.92</v>
      </c>
      <c r="BC39">
        <v>1.4</v>
      </c>
      <c r="BD39">
        <v>5.0000000000000001E-3</v>
      </c>
      <c r="BE39">
        <v>0.98</v>
      </c>
      <c r="BS39">
        <v>6.3</v>
      </c>
      <c r="BX39">
        <v>30</v>
      </c>
    </row>
    <row r="40" spans="1:76" x14ac:dyDescent="0.25">
      <c r="A40" s="44" t="s">
        <v>413</v>
      </c>
      <c r="B40" t="s">
        <v>473</v>
      </c>
      <c r="C40" t="s">
        <v>477</v>
      </c>
      <c r="D40">
        <v>0.39</v>
      </c>
      <c r="E40">
        <f>1.948*1.702</f>
        <v>3.315496</v>
      </c>
      <c r="F40">
        <v>1533.5</v>
      </c>
      <c r="G40">
        <f t="shared" si="4"/>
        <v>0.66470000000000007</v>
      </c>
      <c r="H40">
        <f>2800/5350</f>
        <v>0.52336448598130836</v>
      </c>
      <c r="I40">
        <v>2.718</v>
      </c>
      <c r="J40">
        <v>136</v>
      </c>
      <c r="L40">
        <v>2000</v>
      </c>
      <c r="M40">
        <v>1</v>
      </c>
      <c r="N40">
        <v>562.33330000000001</v>
      </c>
      <c r="O40">
        <v>9.89</v>
      </c>
      <c r="P40">
        <v>167.33330000000001</v>
      </c>
      <c r="Q40" t="s">
        <v>479</v>
      </c>
      <c r="R40" t="s">
        <v>480</v>
      </c>
      <c r="S40">
        <v>6</v>
      </c>
      <c r="T40">
        <v>61</v>
      </c>
      <c r="U40">
        <v>2.13</v>
      </c>
      <c r="V40" t="s">
        <v>481</v>
      </c>
      <c r="W40">
        <v>0</v>
      </c>
      <c r="X40">
        <v>4</v>
      </c>
      <c r="Y40" t="b">
        <v>0</v>
      </c>
      <c r="Z40">
        <v>0.83299999999999996</v>
      </c>
      <c r="AA40">
        <v>21.6</v>
      </c>
      <c r="AB40">
        <v>0</v>
      </c>
      <c r="AC40">
        <v>0</v>
      </c>
      <c r="AD40">
        <v>8</v>
      </c>
      <c r="AE40">
        <v>75</v>
      </c>
      <c r="AF40">
        <v>0.97</v>
      </c>
      <c r="AG40">
        <v>110</v>
      </c>
      <c r="AH40">
        <v>-0.68110000000000004</v>
      </c>
      <c r="AI40">
        <v>0.81499999999999995</v>
      </c>
      <c r="AJ40">
        <v>4</v>
      </c>
      <c r="AK40">
        <v>7.4999999999999997E-3</v>
      </c>
      <c r="AL40">
        <v>0.33600000000000002</v>
      </c>
      <c r="AM40">
        <v>0.7</v>
      </c>
      <c r="AN40">
        <v>0.4</v>
      </c>
      <c r="AO40">
        <v>0.8</v>
      </c>
      <c r="AP40">
        <v>0</v>
      </c>
      <c r="AQ40">
        <v>0</v>
      </c>
      <c r="AR40">
        <v>60</v>
      </c>
      <c r="AS40">
        <v>0.2</v>
      </c>
      <c r="AT40">
        <v>0</v>
      </c>
      <c r="AU40">
        <v>30</v>
      </c>
      <c r="AV40">
        <v>100</v>
      </c>
      <c r="AW40">
        <v>1</v>
      </c>
      <c r="AX40">
        <v>0.86</v>
      </c>
      <c r="AZ40" t="b">
        <v>0</v>
      </c>
      <c r="BA40">
        <v>114</v>
      </c>
      <c r="BB40">
        <v>0.98</v>
      </c>
      <c r="BC40">
        <v>1.4</v>
      </c>
      <c r="BD40">
        <v>5.0000000000000001E-3</v>
      </c>
      <c r="BE40">
        <v>0.98</v>
      </c>
      <c r="BS40">
        <v>6.3</v>
      </c>
      <c r="BX40">
        <v>30</v>
      </c>
    </row>
    <row r="41" spans="1:76" x14ac:dyDescent="0.25">
      <c r="A41" t="s">
        <v>414</v>
      </c>
      <c r="B41" t="s">
        <v>482</v>
      </c>
      <c r="C41" t="s">
        <v>477</v>
      </c>
      <c r="D41">
        <v>0.33800000000000002</v>
      </c>
      <c r="E41">
        <f>1.897*1.349</f>
        <v>2.559053</v>
      </c>
      <c r="F41">
        <v>895</v>
      </c>
      <c r="G41">
        <v>0.53</v>
      </c>
      <c r="H41">
        <v>0.59</v>
      </c>
      <c r="I41">
        <v>2.8119999999999998</v>
      </c>
      <c r="J41">
        <v>136</v>
      </c>
      <c r="L41">
        <v>2000</v>
      </c>
      <c r="M41">
        <v>1</v>
      </c>
      <c r="N41">
        <v>492.33330000000001</v>
      </c>
      <c r="O41">
        <v>9.89</v>
      </c>
      <c r="P41">
        <v>114.33329999999999</v>
      </c>
      <c r="Q41" t="s">
        <v>479</v>
      </c>
      <c r="R41" t="s">
        <v>480</v>
      </c>
      <c r="S41">
        <v>6</v>
      </c>
      <c r="T41">
        <v>61</v>
      </c>
      <c r="U41">
        <v>2.13</v>
      </c>
      <c r="V41" t="s">
        <v>481</v>
      </c>
      <c r="W41">
        <v>0</v>
      </c>
      <c r="X41">
        <v>4</v>
      </c>
      <c r="Y41" t="b">
        <v>0</v>
      </c>
      <c r="Z41">
        <v>0.83299999999999996</v>
      </c>
      <c r="AA41">
        <v>21.6</v>
      </c>
      <c r="AB41">
        <v>0</v>
      </c>
      <c r="AC41">
        <v>0</v>
      </c>
      <c r="AD41">
        <v>8</v>
      </c>
      <c r="AE41">
        <v>75</v>
      </c>
      <c r="AF41">
        <v>0.97</v>
      </c>
      <c r="AG41">
        <v>110</v>
      </c>
      <c r="AH41">
        <v>-0.68110000000000004</v>
      </c>
      <c r="AI41">
        <v>0.81499999999999995</v>
      </c>
      <c r="AJ41">
        <v>4</v>
      </c>
      <c r="AK41">
        <v>7.4999999999999997E-3</v>
      </c>
      <c r="AL41">
        <v>0.33600000000000002</v>
      </c>
      <c r="AM41">
        <v>0.7</v>
      </c>
      <c r="AN41">
        <v>0.4</v>
      </c>
      <c r="AO41">
        <v>0.8</v>
      </c>
      <c r="AP41">
        <v>0</v>
      </c>
      <c r="AQ41">
        <v>0</v>
      </c>
      <c r="AR41">
        <v>60</v>
      </c>
      <c r="AS41">
        <v>0.2</v>
      </c>
      <c r="AT41">
        <v>0</v>
      </c>
      <c r="AU41">
        <v>30</v>
      </c>
      <c r="AV41">
        <v>100</v>
      </c>
      <c r="AW41">
        <v>1</v>
      </c>
      <c r="AX41">
        <v>0.86</v>
      </c>
      <c r="AZ41" t="b">
        <v>0</v>
      </c>
      <c r="BA41">
        <v>114</v>
      </c>
      <c r="BB41">
        <v>0.95</v>
      </c>
      <c r="BC41">
        <v>1.4</v>
      </c>
      <c r="BD41">
        <v>5.0000000000000001E-3</v>
      </c>
      <c r="BE41">
        <v>0.98</v>
      </c>
      <c r="BS41">
        <v>5.4</v>
      </c>
      <c r="BX41">
        <v>30</v>
      </c>
    </row>
    <row r="42" spans="1:76" x14ac:dyDescent="0.25">
      <c r="A42" s="44" t="s">
        <v>415</v>
      </c>
      <c r="B42" t="s">
        <v>474</v>
      </c>
      <c r="C42" t="s">
        <v>477</v>
      </c>
      <c r="D42">
        <v>0.55000000000000004</v>
      </c>
      <c r="E42">
        <f>1.887*1.796</f>
        <v>3.389052</v>
      </c>
      <c r="G42">
        <f>603.8/1000</f>
        <v>0.6038</v>
      </c>
      <c r="H42">
        <f>2533/5000</f>
        <v>0.50660000000000005</v>
      </c>
      <c r="I42">
        <v>3.21</v>
      </c>
      <c r="J42">
        <v>136</v>
      </c>
      <c r="L42">
        <v>2000</v>
      </c>
      <c r="M42">
        <v>1</v>
      </c>
      <c r="O42">
        <v>9.89</v>
      </c>
      <c r="Q42" t="s">
        <v>479</v>
      </c>
      <c r="R42" t="s">
        <v>480</v>
      </c>
      <c r="S42">
        <v>6</v>
      </c>
      <c r="T42">
        <v>61</v>
      </c>
      <c r="U42">
        <v>2.13</v>
      </c>
      <c r="V42" t="s">
        <v>481</v>
      </c>
      <c r="W42">
        <v>0</v>
      </c>
      <c r="X42">
        <v>4</v>
      </c>
      <c r="Y42" t="b">
        <v>0</v>
      </c>
      <c r="Z42">
        <v>0.83299999999999996</v>
      </c>
      <c r="AA42">
        <v>21.6</v>
      </c>
      <c r="AB42">
        <v>0</v>
      </c>
      <c r="AC42">
        <v>0</v>
      </c>
      <c r="AD42">
        <v>8</v>
      </c>
      <c r="AE42">
        <v>75</v>
      </c>
      <c r="AF42">
        <v>0.97</v>
      </c>
      <c r="AG42">
        <v>110</v>
      </c>
      <c r="AH42">
        <v>-0.68110000000000004</v>
      </c>
      <c r="AI42">
        <v>0.81499999999999995</v>
      </c>
      <c r="AJ42">
        <v>4</v>
      </c>
      <c r="AK42">
        <v>8.2000000000000007E-3</v>
      </c>
      <c r="AL42">
        <v>0.33600000000000002</v>
      </c>
      <c r="AM42">
        <v>0.7</v>
      </c>
      <c r="AN42">
        <v>0.4</v>
      </c>
      <c r="AO42">
        <v>0.8</v>
      </c>
      <c r="AP42">
        <v>0</v>
      </c>
      <c r="AQ42">
        <v>0</v>
      </c>
      <c r="AR42">
        <v>60</v>
      </c>
      <c r="AS42">
        <v>0.2</v>
      </c>
      <c r="AT42">
        <v>0</v>
      </c>
      <c r="AU42">
        <v>30</v>
      </c>
      <c r="AV42">
        <v>100</v>
      </c>
      <c r="AW42">
        <v>1</v>
      </c>
      <c r="AX42">
        <v>0.86</v>
      </c>
      <c r="AZ42" t="b">
        <v>0</v>
      </c>
      <c r="BA42">
        <v>114</v>
      </c>
      <c r="BB42">
        <v>0.92</v>
      </c>
      <c r="BC42">
        <v>1.4</v>
      </c>
      <c r="BD42">
        <v>5.0000000000000001E-3</v>
      </c>
      <c r="BE42">
        <v>0.98</v>
      </c>
      <c r="BS42">
        <v>7.5</v>
      </c>
      <c r="BX42">
        <v>30</v>
      </c>
    </row>
    <row r="43" spans="1:76" x14ac:dyDescent="0.25">
      <c r="A43" s="44" t="s">
        <v>416</v>
      </c>
      <c r="B43" s="45" t="s">
        <v>475</v>
      </c>
      <c r="C43" t="s">
        <v>477</v>
      </c>
      <c r="D43">
        <v>0.55000000000000004</v>
      </c>
      <c r="E43">
        <f>1.887*1.796</f>
        <v>3.389052</v>
      </c>
      <c r="G43">
        <f>626.4/1000</f>
        <v>0.62639999999999996</v>
      </c>
      <c r="H43">
        <f>2753/5300</f>
        <v>0.51943396226415095</v>
      </c>
      <c r="I43">
        <v>3.2</v>
      </c>
      <c r="J43">
        <v>136</v>
      </c>
      <c r="L43">
        <v>2000</v>
      </c>
      <c r="M43">
        <v>1</v>
      </c>
      <c r="O43">
        <v>9.89</v>
      </c>
      <c r="Q43" t="s">
        <v>479</v>
      </c>
      <c r="R43" t="s">
        <v>480</v>
      </c>
      <c r="S43">
        <v>6</v>
      </c>
      <c r="T43">
        <v>61</v>
      </c>
      <c r="U43">
        <v>2.13</v>
      </c>
      <c r="V43" t="s">
        <v>481</v>
      </c>
      <c r="W43">
        <v>0</v>
      </c>
      <c r="X43">
        <v>4</v>
      </c>
      <c r="Y43" t="b">
        <v>0</v>
      </c>
      <c r="Z43">
        <v>0.83299999999999996</v>
      </c>
      <c r="AA43">
        <v>21.6</v>
      </c>
      <c r="AB43">
        <v>0</v>
      </c>
      <c r="AC43">
        <v>0</v>
      </c>
      <c r="AD43">
        <v>8</v>
      </c>
      <c r="AE43">
        <v>75</v>
      </c>
      <c r="AF43">
        <v>0.97</v>
      </c>
      <c r="AG43">
        <v>110</v>
      </c>
      <c r="AH43">
        <v>-0.68110000000000004</v>
      </c>
      <c r="AI43">
        <v>0.81499999999999995</v>
      </c>
      <c r="AJ43">
        <v>4</v>
      </c>
      <c r="AK43">
        <v>8.2000000000000007E-3</v>
      </c>
      <c r="AL43">
        <v>0.33600000000000002</v>
      </c>
      <c r="AM43">
        <v>0.7</v>
      </c>
      <c r="AN43">
        <v>0.4</v>
      </c>
      <c r="AO43">
        <v>0.8</v>
      </c>
      <c r="AP43">
        <v>0</v>
      </c>
      <c r="AQ43">
        <v>0</v>
      </c>
      <c r="AR43">
        <v>60</v>
      </c>
      <c r="AS43">
        <v>0.2</v>
      </c>
      <c r="AT43">
        <v>0</v>
      </c>
      <c r="AU43">
        <v>30</v>
      </c>
      <c r="AV43">
        <v>100</v>
      </c>
      <c r="AW43">
        <v>1</v>
      </c>
      <c r="AX43">
        <v>0.86</v>
      </c>
      <c r="AZ43" t="b">
        <v>0</v>
      </c>
      <c r="BA43">
        <v>114</v>
      </c>
      <c r="BB43">
        <v>0.98</v>
      </c>
      <c r="BC43">
        <v>1.4</v>
      </c>
      <c r="BD43">
        <v>5.0000000000000001E-3</v>
      </c>
      <c r="BE43">
        <v>0.98</v>
      </c>
      <c r="BS43">
        <v>7.5</v>
      </c>
      <c r="BX43">
        <v>30</v>
      </c>
    </row>
    <row r="44" spans="1:76" x14ac:dyDescent="0.25">
      <c r="A44" t="s">
        <v>417</v>
      </c>
      <c r="B44" t="s">
        <v>483</v>
      </c>
      <c r="C44" t="s">
        <v>477</v>
      </c>
      <c r="D44">
        <v>0.28999999999999998</v>
      </c>
      <c r="E44">
        <f>1.966*1.234</f>
        <v>2.4260440000000001</v>
      </c>
      <c r="F44">
        <v>895</v>
      </c>
      <c r="G44">
        <v>0.53</v>
      </c>
      <c r="H44">
        <v>0.59</v>
      </c>
      <c r="I44">
        <v>2.71</v>
      </c>
      <c r="J44">
        <v>136</v>
      </c>
      <c r="L44">
        <v>2000</v>
      </c>
      <c r="M44">
        <v>1</v>
      </c>
      <c r="N44">
        <v>492.33330000000001</v>
      </c>
      <c r="O44">
        <v>9.89</v>
      </c>
      <c r="P44">
        <v>114.333</v>
      </c>
      <c r="Q44" t="s">
        <v>479</v>
      </c>
      <c r="R44" t="s">
        <v>480</v>
      </c>
      <c r="S44">
        <v>6</v>
      </c>
      <c r="T44">
        <v>61</v>
      </c>
      <c r="U44">
        <v>2.13</v>
      </c>
      <c r="V44" t="s">
        <v>481</v>
      </c>
      <c r="W44">
        <v>0</v>
      </c>
      <c r="X44">
        <v>4</v>
      </c>
      <c r="Y44" t="b">
        <v>0</v>
      </c>
      <c r="Z44">
        <v>0.83299999999999996</v>
      </c>
      <c r="AA44">
        <v>21.6</v>
      </c>
      <c r="AB44">
        <v>0</v>
      </c>
      <c r="AC44">
        <v>0</v>
      </c>
      <c r="AD44">
        <v>8</v>
      </c>
      <c r="AE44">
        <v>75</v>
      </c>
      <c r="AF44">
        <v>0.97</v>
      </c>
      <c r="AG44">
        <v>110</v>
      </c>
      <c r="AH44">
        <v>-0.68110000000000004</v>
      </c>
      <c r="AI44">
        <v>0.81499999999999995</v>
      </c>
      <c r="AJ44">
        <v>4</v>
      </c>
      <c r="AK44">
        <v>7.4999999999999997E-3</v>
      </c>
      <c r="AL44">
        <v>0.33600000000000002</v>
      </c>
      <c r="AM44">
        <v>0.7</v>
      </c>
      <c r="AN44">
        <v>0.4</v>
      </c>
      <c r="AO44">
        <v>0.8</v>
      </c>
      <c r="AP44">
        <v>0</v>
      </c>
      <c r="AQ44">
        <v>0</v>
      </c>
      <c r="AR44">
        <v>60</v>
      </c>
      <c r="AS44">
        <v>0.2</v>
      </c>
      <c r="AT44">
        <v>0</v>
      </c>
      <c r="AU44">
        <v>30</v>
      </c>
      <c r="AV44">
        <v>100</v>
      </c>
      <c r="AW44">
        <v>1</v>
      </c>
      <c r="AX44">
        <v>0.86</v>
      </c>
      <c r="AZ44" t="b">
        <v>0</v>
      </c>
      <c r="BA44">
        <v>114</v>
      </c>
      <c r="BB44">
        <v>0.95</v>
      </c>
      <c r="BC44">
        <v>1.4</v>
      </c>
      <c r="BD44">
        <v>5.0000000000000001E-3</v>
      </c>
      <c r="BE44">
        <v>0.98</v>
      </c>
      <c r="BS44">
        <v>2.9</v>
      </c>
      <c r="BX44">
        <v>30</v>
      </c>
    </row>
    <row r="45" spans="1:76" x14ac:dyDescent="0.25">
      <c r="A45" t="s">
        <v>418</v>
      </c>
      <c r="B45" t="s">
        <v>476</v>
      </c>
      <c r="C45" t="s">
        <v>477</v>
      </c>
      <c r="D45">
        <v>0.28999999999999998</v>
      </c>
      <c r="E45">
        <f>1.793*1.458</f>
        <v>2.6141939999999999</v>
      </c>
      <c r="F45">
        <v>895</v>
      </c>
      <c r="G45">
        <v>0.53</v>
      </c>
      <c r="H45">
        <v>0.59</v>
      </c>
      <c r="I45">
        <v>2.7</v>
      </c>
      <c r="J45">
        <v>136</v>
      </c>
      <c r="L45">
        <v>2000</v>
      </c>
      <c r="M45">
        <v>1</v>
      </c>
      <c r="N45">
        <v>492.33330000000001</v>
      </c>
      <c r="O45">
        <v>9.89</v>
      </c>
      <c r="P45">
        <v>114.33329999999999</v>
      </c>
      <c r="Q45" t="s">
        <v>479</v>
      </c>
      <c r="R45" t="s">
        <v>480</v>
      </c>
      <c r="S45">
        <v>6</v>
      </c>
      <c r="T45">
        <v>61</v>
      </c>
      <c r="U45">
        <v>2.13</v>
      </c>
      <c r="V45" t="s">
        <v>481</v>
      </c>
      <c r="W45">
        <v>0</v>
      </c>
      <c r="X45">
        <v>4</v>
      </c>
      <c r="Y45" t="b">
        <v>0</v>
      </c>
      <c r="Z45">
        <v>0.83299999999999996</v>
      </c>
      <c r="AA45">
        <v>21.6</v>
      </c>
      <c r="AB45">
        <v>0</v>
      </c>
      <c r="AC45">
        <v>0</v>
      </c>
      <c r="AD45">
        <v>8</v>
      </c>
      <c r="AE45">
        <v>75</v>
      </c>
      <c r="AF45">
        <v>0.97</v>
      </c>
      <c r="AG45">
        <v>110</v>
      </c>
      <c r="AH45">
        <v>-0.68110000000000004</v>
      </c>
      <c r="AI45">
        <v>0.81499999999999995</v>
      </c>
      <c r="AJ45">
        <v>4</v>
      </c>
      <c r="AK45">
        <v>7.4999999999999997E-3</v>
      </c>
      <c r="AL45">
        <v>0.33600000000000002</v>
      </c>
      <c r="AM45">
        <v>0.7</v>
      </c>
      <c r="AN45">
        <v>0.4</v>
      </c>
      <c r="AO45">
        <v>0.8</v>
      </c>
      <c r="AP45">
        <v>0</v>
      </c>
      <c r="AQ45">
        <v>0</v>
      </c>
      <c r="AR45">
        <v>60</v>
      </c>
      <c r="AS45">
        <v>0.2</v>
      </c>
      <c r="AT45">
        <v>0</v>
      </c>
      <c r="AU45">
        <v>30</v>
      </c>
      <c r="AV45">
        <v>100</v>
      </c>
      <c r="AW45">
        <v>1</v>
      </c>
      <c r="AX45">
        <v>0.86</v>
      </c>
      <c r="AZ45" t="b">
        <v>0</v>
      </c>
      <c r="BA45">
        <v>114</v>
      </c>
      <c r="BB45">
        <v>0.95</v>
      </c>
      <c r="BC45">
        <v>1.4</v>
      </c>
      <c r="BD45">
        <v>5.0000000000000001E-3</v>
      </c>
      <c r="BE45">
        <v>0.98</v>
      </c>
      <c r="BS45">
        <v>8.1</v>
      </c>
      <c r="BX45">
        <v>30</v>
      </c>
    </row>
    <row r="46" spans="1:76" x14ac:dyDescent="0.25">
      <c r="A46" s="44" t="s">
        <v>419</v>
      </c>
      <c r="B46" t="s">
        <v>472</v>
      </c>
      <c r="C46" t="s">
        <v>477</v>
      </c>
      <c r="D46">
        <v>0.36</v>
      </c>
      <c r="E46">
        <f>1.842*1.684</f>
        <v>3.101928</v>
      </c>
      <c r="F46">
        <v>1533.5</v>
      </c>
      <c r="G46">
        <f>672.8/1000</f>
        <v>0.67279999999999995</v>
      </c>
      <c r="H46">
        <f>2535/5070</f>
        <v>0.5</v>
      </c>
      <c r="I46">
        <v>2.86</v>
      </c>
      <c r="J46">
        <v>136</v>
      </c>
      <c r="L46">
        <v>2000</v>
      </c>
      <c r="M46">
        <v>1</v>
      </c>
      <c r="N46">
        <v>562.33330000000001</v>
      </c>
      <c r="O46">
        <v>9.89</v>
      </c>
      <c r="P46">
        <v>167.33330000000001</v>
      </c>
      <c r="Q46" t="s">
        <v>479</v>
      </c>
      <c r="R46" t="s">
        <v>480</v>
      </c>
      <c r="S46">
        <v>6</v>
      </c>
      <c r="T46">
        <v>61</v>
      </c>
      <c r="U46">
        <v>2.13</v>
      </c>
      <c r="V46" t="s">
        <v>481</v>
      </c>
      <c r="W46">
        <v>0</v>
      </c>
      <c r="X46">
        <v>4</v>
      </c>
      <c r="Y46" t="b">
        <v>0</v>
      </c>
      <c r="Z46">
        <v>0.83299999999999996</v>
      </c>
      <c r="AA46">
        <v>21.6</v>
      </c>
      <c r="AB46">
        <v>0</v>
      </c>
      <c r="AC46">
        <v>0</v>
      </c>
      <c r="AD46">
        <v>8</v>
      </c>
      <c r="AE46">
        <v>75</v>
      </c>
      <c r="AF46">
        <v>0.97</v>
      </c>
      <c r="AG46">
        <v>110</v>
      </c>
      <c r="AH46">
        <v>-0.68110000000000004</v>
      </c>
      <c r="AI46">
        <v>0.81499999999999995</v>
      </c>
      <c r="AJ46">
        <v>4</v>
      </c>
      <c r="AK46">
        <v>7.4999999999999997E-3</v>
      </c>
      <c r="AL46">
        <v>0.33600000000000002</v>
      </c>
      <c r="AM46">
        <v>0.7</v>
      </c>
      <c r="AN46">
        <v>0.4</v>
      </c>
      <c r="AO46">
        <v>0.8</v>
      </c>
      <c r="AP46">
        <v>0</v>
      </c>
      <c r="AQ46">
        <v>0</v>
      </c>
      <c r="AR46">
        <v>60</v>
      </c>
      <c r="AS46">
        <v>0.2</v>
      </c>
      <c r="AT46">
        <v>0</v>
      </c>
      <c r="AU46">
        <v>30</v>
      </c>
      <c r="AV46">
        <v>100</v>
      </c>
      <c r="AW46">
        <v>1</v>
      </c>
      <c r="AX46">
        <v>0.86</v>
      </c>
      <c r="AZ46" t="b">
        <v>0</v>
      </c>
      <c r="BA46">
        <v>114</v>
      </c>
      <c r="BB46">
        <v>0.92</v>
      </c>
      <c r="BC46">
        <v>1.4</v>
      </c>
      <c r="BD46">
        <v>5.0000000000000001E-3</v>
      </c>
      <c r="BE46">
        <v>0.98</v>
      </c>
      <c r="BS46">
        <v>8.9</v>
      </c>
      <c r="BX46">
        <v>30</v>
      </c>
    </row>
    <row r="47" spans="1:76" x14ac:dyDescent="0.25">
      <c r="A47" s="44" t="s">
        <v>420</v>
      </c>
      <c r="B47" s="45" t="s">
        <v>473</v>
      </c>
      <c r="C47" t="s">
        <v>477</v>
      </c>
      <c r="D47">
        <v>0.36</v>
      </c>
      <c r="E47">
        <f>1.842*1.684</f>
        <v>3.101928</v>
      </c>
      <c r="F47">
        <v>1533.5</v>
      </c>
      <c r="G47">
        <f>651.3/1000</f>
        <v>0.65129999999999999</v>
      </c>
      <c r="H47">
        <f>2535/5070</f>
        <v>0.5</v>
      </c>
      <c r="I47">
        <v>2.86</v>
      </c>
      <c r="J47">
        <v>136</v>
      </c>
      <c r="L47">
        <v>2000</v>
      </c>
      <c r="M47">
        <v>1</v>
      </c>
      <c r="N47">
        <v>562.33330000000001</v>
      </c>
      <c r="O47">
        <v>9.89</v>
      </c>
      <c r="P47">
        <v>167.33330000000001</v>
      </c>
      <c r="Q47" t="s">
        <v>479</v>
      </c>
      <c r="R47" t="s">
        <v>480</v>
      </c>
      <c r="S47">
        <v>6</v>
      </c>
      <c r="T47">
        <v>61</v>
      </c>
      <c r="U47">
        <v>2.13</v>
      </c>
      <c r="V47" t="s">
        <v>481</v>
      </c>
      <c r="W47">
        <v>0</v>
      </c>
      <c r="X47">
        <v>4</v>
      </c>
      <c r="Y47" t="b">
        <v>0</v>
      </c>
      <c r="Z47">
        <v>0.83299999999999996</v>
      </c>
      <c r="AA47">
        <v>21.6</v>
      </c>
      <c r="AB47">
        <v>0</v>
      </c>
      <c r="AC47">
        <v>0</v>
      </c>
      <c r="AD47">
        <v>8</v>
      </c>
      <c r="AE47">
        <v>75</v>
      </c>
      <c r="AF47">
        <v>0.97</v>
      </c>
      <c r="AG47">
        <v>110</v>
      </c>
      <c r="AH47">
        <v>-0.68110000000000004</v>
      </c>
      <c r="AI47">
        <v>0.81499999999999995</v>
      </c>
      <c r="AJ47">
        <v>4</v>
      </c>
      <c r="AK47">
        <v>7.4999999999999997E-3</v>
      </c>
      <c r="AL47">
        <v>0.33600000000000002</v>
      </c>
      <c r="AM47">
        <v>0.7</v>
      </c>
      <c r="AN47">
        <v>0.4</v>
      </c>
      <c r="AO47">
        <v>0.8</v>
      </c>
      <c r="AP47">
        <v>0</v>
      </c>
      <c r="AQ47">
        <v>0</v>
      </c>
      <c r="AR47">
        <v>60</v>
      </c>
      <c r="AS47">
        <v>0.2</v>
      </c>
      <c r="AT47">
        <v>0</v>
      </c>
      <c r="AU47">
        <v>30</v>
      </c>
      <c r="AV47">
        <v>100</v>
      </c>
      <c r="AW47">
        <v>1</v>
      </c>
      <c r="AX47">
        <v>0.86</v>
      </c>
      <c r="AZ47" t="b">
        <v>0</v>
      </c>
      <c r="BA47">
        <v>114</v>
      </c>
      <c r="BB47">
        <v>0.98</v>
      </c>
      <c r="BC47">
        <v>1.4</v>
      </c>
      <c r="BD47">
        <v>5.0000000000000001E-3</v>
      </c>
      <c r="BE47">
        <v>0.98</v>
      </c>
      <c r="BS47">
        <v>8.9</v>
      </c>
      <c r="BX47">
        <v>30</v>
      </c>
    </row>
    <row r="48" spans="1:76" x14ac:dyDescent="0.25">
      <c r="A48" s="44" t="s">
        <v>421</v>
      </c>
      <c r="B48" t="s">
        <v>471</v>
      </c>
      <c r="C48" t="s">
        <v>477</v>
      </c>
      <c r="D48">
        <v>0.52</v>
      </c>
      <c r="E48">
        <f>2.016*2.072</f>
        <v>4.1771520000000004</v>
      </c>
      <c r="G48">
        <f>815.2/1000</f>
        <v>0.81520000000000004</v>
      </c>
      <c r="H48">
        <v>0.5</v>
      </c>
      <c r="I48">
        <v>3.5</v>
      </c>
      <c r="J48">
        <v>136</v>
      </c>
      <c r="L48">
        <v>2000</v>
      </c>
      <c r="M48">
        <v>1</v>
      </c>
      <c r="O48">
        <v>9.89</v>
      </c>
      <c r="Q48" t="s">
        <v>479</v>
      </c>
      <c r="R48" t="s">
        <v>480</v>
      </c>
      <c r="S48">
        <v>6</v>
      </c>
      <c r="T48">
        <v>61</v>
      </c>
      <c r="U48">
        <v>2.13</v>
      </c>
      <c r="V48" t="s">
        <v>481</v>
      </c>
      <c r="W48">
        <v>0</v>
      </c>
      <c r="X48">
        <v>4</v>
      </c>
      <c r="Y48" t="b">
        <v>0</v>
      </c>
      <c r="Z48">
        <v>0.83299999999999996</v>
      </c>
      <c r="AA48">
        <v>21.6</v>
      </c>
      <c r="AB48">
        <v>0</v>
      </c>
      <c r="AC48">
        <v>0</v>
      </c>
      <c r="AD48">
        <v>8</v>
      </c>
      <c r="AE48">
        <v>75</v>
      </c>
      <c r="AF48">
        <v>0.97</v>
      </c>
      <c r="AG48">
        <v>110</v>
      </c>
      <c r="AH48">
        <v>-0.68110000000000004</v>
      </c>
      <c r="AI48">
        <v>0.81499999999999995</v>
      </c>
      <c r="AJ48">
        <v>4</v>
      </c>
      <c r="AK48">
        <v>8.2000000000000007E-3</v>
      </c>
      <c r="AL48">
        <v>0.33600000000000002</v>
      </c>
      <c r="AM48">
        <v>0.7</v>
      </c>
      <c r="AN48">
        <v>0.4</v>
      </c>
      <c r="AO48">
        <v>0.8</v>
      </c>
      <c r="AP48">
        <v>0</v>
      </c>
      <c r="AQ48">
        <v>0</v>
      </c>
      <c r="AR48">
        <v>60</v>
      </c>
      <c r="AS48">
        <v>0.2</v>
      </c>
      <c r="AT48">
        <v>0</v>
      </c>
      <c r="AU48">
        <v>30</v>
      </c>
      <c r="AV48">
        <v>100</v>
      </c>
      <c r="AW48">
        <v>1</v>
      </c>
      <c r="AX48">
        <v>0.86</v>
      </c>
      <c r="AZ48" t="b">
        <v>0</v>
      </c>
      <c r="BA48">
        <v>114</v>
      </c>
      <c r="BB48">
        <v>0.92</v>
      </c>
      <c r="BC48">
        <v>1.4</v>
      </c>
      <c r="BD48">
        <v>5.0000000000000001E-3</v>
      </c>
      <c r="BE48">
        <v>0.98</v>
      </c>
      <c r="BS48">
        <v>8.4</v>
      </c>
      <c r="BX48">
        <v>30</v>
      </c>
    </row>
    <row r="49" spans="1:76" x14ac:dyDescent="0.25">
      <c r="A49" s="44" t="s">
        <v>422</v>
      </c>
      <c r="B49" s="45" t="s">
        <v>466</v>
      </c>
      <c r="C49" t="s">
        <v>477</v>
      </c>
      <c r="D49">
        <v>0.29599999999999999</v>
      </c>
      <c r="E49">
        <f>1.854*1.496</f>
        <v>2.773584</v>
      </c>
      <c r="F49">
        <v>1123.242</v>
      </c>
      <c r="G49">
        <f>562.1/1000</f>
        <v>0.56210000000000004</v>
      </c>
      <c r="H49">
        <f>2439/5409</f>
        <v>0.45091514143094841</v>
      </c>
      <c r="I49">
        <v>2.8039999999999998</v>
      </c>
      <c r="J49">
        <v>136</v>
      </c>
      <c r="L49">
        <v>2000</v>
      </c>
      <c r="M49">
        <v>1</v>
      </c>
      <c r="N49">
        <v>457.8571</v>
      </c>
      <c r="O49">
        <v>9.89</v>
      </c>
      <c r="P49">
        <v>112.71429999999999</v>
      </c>
      <c r="Q49" t="s">
        <v>479</v>
      </c>
      <c r="R49" t="s">
        <v>480</v>
      </c>
      <c r="S49">
        <v>6</v>
      </c>
      <c r="T49">
        <v>61</v>
      </c>
      <c r="U49">
        <v>2.13</v>
      </c>
      <c r="V49" t="s">
        <v>481</v>
      </c>
      <c r="W49">
        <v>0</v>
      </c>
      <c r="X49">
        <v>4</v>
      </c>
      <c r="Y49" t="b">
        <v>0</v>
      </c>
      <c r="Z49">
        <v>0.83299999999999996</v>
      </c>
      <c r="AA49">
        <v>21.6</v>
      </c>
      <c r="AB49">
        <v>0</v>
      </c>
      <c r="AC49">
        <v>0</v>
      </c>
      <c r="AD49">
        <v>8</v>
      </c>
      <c r="AE49">
        <v>75</v>
      </c>
      <c r="AF49">
        <v>0.97</v>
      </c>
      <c r="AG49">
        <v>110</v>
      </c>
      <c r="AH49">
        <v>-0.68110000000000004</v>
      </c>
      <c r="AI49">
        <v>0.81499999999999995</v>
      </c>
      <c r="AJ49">
        <v>4</v>
      </c>
      <c r="AK49">
        <v>7.5000000000000002E-4</v>
      </c>
      <c r="AL49">
        <v>0.33600000000000002</v>
      </c>
      <c r="AM49">
        <v>0.7</v>
      </c>
      <c r="AN49">
        <v>0.4</v>
      </c>
      <c r="AO49">
        <v>0.8</v>
      </c>
      <c r="AP49">
        <v>0</v>
      </c>
      <c r="AQ49">
        <v>0</v>
      </c>
      <c r="AR49">
        <v>60</v>
      </c>
      <c r="AS49">
        <v>0.2</v>
      </c>
      <c r="AT49">
        <v>0</v>
      </c>
      <c r="AU49">
        <v>30</v>
      </c>
      <c r="AV49">
        <v>100</v>
      </c>
      <c r="AW49">
        <v>1</v>
      </c>
      <c r="AX49">
        <v>0.86</v>
      </c>
      <c r="AZ49" t="b">
        <v>0</v>
      </c>
      <c r="BA49">
        <v>114</v>
      </c>
      <c r="BB49">
        <v>0.95</v>
      </c>
      <c r="BC49">
        <v>1.4</v>
      </c>
      <c r="BD49">
        <v>5.0000000000000001E-3</v>
      </c>
      <c r="BE49">
        <v>0.98</v>
      </c>
      <c r="BS49">
        <v>6.1</v>
      </c>
      <c r="BX49">
        <v>30</v>
      </c>
    </row>
    <row r="50" spans="1:76" x14ac:dyDescent="0.25">
      <c r="A50" s="44" t="s">
        <v>423</v>
      </c>
      <c r="B50" s="45" t="s">
        <v>466</v>
      </c>
      <c r="C50" t="s">
        <v>477</v>
      </c>
      <c r="D50">
        <v>0.3</v>
      </c>
      <c r="E50">
        <v>2.7320000000000002</v>
      </c>
      <c r="F50">
        <v>1123.242</v>
      </c>
      <c r="G50">
        <f>544.6/1000</f>
        <v>0.54459999999999997</v>
      </c>
      <c r="H50">
        <f>2243/4419</f>
        <v>0.50758090065625705</v>
      </c>
      <c r="I50">
        <v>2.8490000000000002</v>
      </c>
      <c r="J50">
        <v>136</v>
      </c>
      <c r="L50">
        <v>2000</v>
      </c>
      <c r="M50">
        <v>1</v>
      </c>
      <c r="N50">
        <v>457.8571</v>
      </c>
      <c r="O50">
        <v>9.89</v>
      </c>
      <c r="P50">
        <v>112.71429999999999</v>
      </c>
      <c r="Q50" t="s">
        <v>479</v>
      </c>
      <c r="R50" t="s">
        <v>480</v>
      </c>
      <c r="S50">
        <v>6</v>
      </c>
      <c r="T50">
        <v>61</v>
      </c>
      <c r="U50">
        <v>2.13</v>
      </c>
      <c r="V50" t="s">
        <v>481</v>
      </c>
      <c r="W50">
        <v>0</v>
      </c>
      <c r="X50">
        <v>4</v>
      </c>
      <c r="Y50" t="b">
        <v>0</v>
      </c>
      <c r="Z50">
        <v>0.83299999999999996</v>
      </c>
      <c r="AA50">
        <v>21.6</v>
      </c>
      <c r="AB50">
        <v>0</v>
      </c>
      <c r="AC50">
        <v>0</v>
      </c>
      <c r="AD50">
        <v>8</v>
      </c>
      <c r="AE50">
        <v>75</v>
      </c>
      <c r="AF50">
        <v>0.97</v>
      </c>
      <c r="AG50">
        <v>110</v>
      </c>
      <c r="AH50">
        <v>-0.68110000000000004</v>
      </c>
      <c r="AI50">
        <v>0.81499999999999995</v>
      </c>
      <c r="AJ50">
        <v>4</v>
      </c>
      <c r="AK50">
        <v>7.4999999999999997E-3</v>
      </c>
      <c r="AL50">
        <v>0.33600000000000002</v>
      </c>
      <c r="AM50">
        <v>0.7</v>
      </c>
      <c r="AN50">
        <v>0.4</v>
      </c>
      <c r="AO50">
        <v>0.8</v>
      </c>
      <c r="AP50">
        <v>0</v>
      </c>
      <c r="AQ50">
        <v>0</v>
      </c>
      <c r="AR50">
        <v>60</v>
      </c>
      <c r="AS50">
        <v>0.2</v>
      </c>
      <c r="AT50">
        <v>0</v>
      </c>
      <c r="AU50">
        <v>30</v>
      </c>
      <c r="AV50">
        <v>100</v>
      </c>
      <c r="AW50">
        <v>1</v>
      </c>
      <c r="AX50">
        <v>0.86</v>
      </c>
      <c r="AZ50" t="b">
        <v>0</v>
      </c>
      <c r="BA50">
        <v>114</v>
      </c>
      <c r="BB50">
        <v>0.95</v>
      </c>
      <c r="BC50">
        <v>1.4</v>
      </c>
      <c r="BD50">
        <v>5.0000000000000001E-3</v>
      </c>
      <c r="BE50">
        <v>0.98</v>
      </c>
      <c r="BS50">
        <v>8.1999999999999993</v>
      </c>
      <c r="BX50">
        <v>30</v>
      </c>
    </row>
    <row r="51" spans="1:76" x14ac:dyDescent="0.25">
      <c r="A51" t="s">
        <v>424</v>
      </c>
      <c r="B51" t="s">
        <v>469</v>
      </c>
      <c r="C51" t="s">
        <v>477</v>
      </c>
      <c r="D51">
        <v>0.55000000000000004</v>
      </c>
      <c r="E51">
        <f>2.063*1.917</f>
        <v>3.9547710000000005</v>
      </c>
      <c r="F51">
        <v>1533.5</v>
      </c>
      <c r="G51">
        <f>744.5/1000</f>
        <v>0.74450000000000005</v>
      </c>
      <c r="H51">
        <f>3650/6800</f>
        <v>0.53676470588235292</v>
      </c>
      <c r="I51">
        <v>3.653</v>
      </c>
      <c r="J51">
        <v>136</v>
      </c>
      <c r="L51">
        <v>2000</v>
      </c>
      <c r="M51">
        <v>1</v>
      </c>
      <c r="N51">
        <v>562.33330000000001</v>
      </c>
      <c r="O51">
        <v>9.89</v>
      </c>
      <c r="Q51" t="s">
        <v>479</v>
      </c>
      <c r="R51" t="s">
        <v>480</v>
      </c>
      <c r="S51">
        <v>6</v>
      </c>
      <c r="T51">
        <v>61</v>
      </c>
      <c r="U51">
        <v>2.13</v>
      </c>
      <c r="V51" t="s">
        <v>481</v>
      </c>
      <c r="W51">
        <v>0</v>
      </c>
      <c r="X51">
        <v>4</v>
      </c>
      <c r="Y51" t="b">
        <v>0</v>
      </c>
      <c r="Z51">
        <v>0.83299999999999996</v>
      </c>
      <c r="AA51">
        <v>21.6</v>
      </c>
      <c r="AB51">
        <v>0</v>
      </c>
      <c r="AC51">
        <v>0</v>
      </c>
      <c r="AD51">
        <v>8</v>
      </c>
      <c r="AE51">
        <v>75</v>
      </c>
      <c r="AF51">
        <v>0.97</v>
      </c>
      <c r="AG51">
        <v>110</v>
      </c>
      <c r="AH51">
        <v>-0.68110000000000004</v>
      </c>
      <c r="AI51">
        <v>0.81499999999999995</v>
      </c>
      <c r="AJ51">
        <v>4</v>
      </c>
      <c r="AK51">
        <v>8.2000000000000007E-3</v>
      </c>
      <c r="AL51">
        <v>0.33600000000000002</v>
      </c>
      <c r="AM51">
        <v>0.7</v>
      </c>
      <c r="AN51">
        <v>0.4</v>
      </c>
      <c r="AO51">
        <v>0.8</v>
      </c>
      <c r="AP51">
        <v>0</v>
      </c>
      <c r="AQ51">
        <v>0</v>
      </c>
      <c r="AR51">
        <v>60</v>
      </c>
      <c r="AS51">
        <v>0.2</v>
      </c>
      <c r="AT51">
        <v>0</v>
      </c>
      <c r="AU51">
        <v>30</v>
      </c>
      <c r="AV51">
        <v>100</v>
      </c>
      <c r="AW51">
        <v>1</v>
      </c>
      <c r="AX51">
        <v>0.86</v>
      </c>
      <c r="AZ51" t="b">
        <v>0</v>
      </c>
      <c r="BA51">
        <v>114</v>
      </c>
      <c r="BB51">
        <v>0.92</v>
      </c>
      <c r="BC51">
        <v>1.4</v>
      </c>
      <c r="BD51">
        <v>5.0000000000000001E-3</v>
      </c>
      <c r="BE51">
        <v>0.98</v>
      </c>
      <c r="BS51">
        <v>7.1</v>
      </c>
      <c r="BX51">
        <v>30</v>
      </c>
    </row>
    <row r="52" spans="1:76" x14ac:dyDescent="0.25">
      <c r="A52" s="44" t="s">
        <v>425</v>
      </c>
      <c r="B52" t="s">
        <v>469</v>
      </c>
      <c r="C52" t="s">
        <v>477</v>
      </c>
      <c r="D52">
        <v>0.55000000000000004</v>
      </c>
      <c r="E52">
        <f>2.063*1.917</f>
        <v>3.9547710000000005</v>
      </c>
      <c r="F52">
        <v>1533.5</v>
      </c>
      <c r="G52">
        <f>744.5/1000</f>
        <v>0.74450000000000005</v>
      </c>
      <c r="H52">
        <f>3650/6800</f>
        <v>0.53676470588235292</v>
      </c>
      <c r="I52">
        <v>3.653</v>
      </c>
      <c r="J52">
        <v>136</v>
      </c>
      <c r="L52">
        <v>2000</v>
      </c>
      <c r="M52">
        <v>1</v>
      </c>
      <c r="N52">
        <v>562.33330000000001</v>
      </c>
      <c r="O52">
        <v>9.89</v>
      </c>
      <c r="Q52" t="s">
        <v>479</v>
      </c>
      <c r="R52" t="s">
        <v>480</v>
      </c>
      <c r="S52">
        <v>6</v>
      </c>
      <c r="T52">
        <v>61</v>
      </c>
      <c r="U52">
        <v>2.13</v>
      </c>
      <c r="V52" t="s">
        <v>481</v>
      </c>
      <c r="W52">
        <v>0</v>
      </c>
      <c r="X52">
        <v>4</v>
      </c>
      <c r="Y52" t="b">
        <v>0</v>
      </c>
      <c r="Z52">
        <v>0.83299999999999996</v>
      </c>
      <c r="AA52">
        <v>21.6</v>
      </c>
      <c r="AB52">
        <v>0</v>
      </c>
      <c r="AC52">
        <v>0</v>
      </c>
      <c r="AD52">
        <v>8</v>
      </c>
      <c r="AE52">
        <v>75</v>
      </c>
      <c r="AF52">
        <v>0.97</v>
      </c>
      <c r="AG52">
        <v>110</v>
      </c>
      <c r="AH52">
        <v>-0.68110000000000004</v>
      </c>
      <c r="AI52">
        <v>0.81499999999999995</v>
      </c>
      <c r="AJ52">
        <v>4</v>
      </c>
      <c r="AK52">
        <v>8.2000000000000007E-3</v>
      </c>
      <c r="AL52">
        <v>0.33600000000000002</v>
      </c>
      <c r="AM52">
        <v>0.7</v>
      </c>
      <c r="AN52">
        <v>0.4</v>
      </c>
      <c r="AO52">
        <v>0.8</v>
      </c>
      <c r="AP52">
        <v>0</v>
      </c>
      <c r="AQ52">
        <v>0</v>
      </c>
      <c r="AR52">
        <v>60</v>
      </c>
      <c r="AS52">
        <v>0.2</v>
      </c>
      <c r="AT52">
        <v>0</v>
      </c>
      <c r="AU52">
        <v>30</v>
      </c>
      <c r="AV52">
        <v>100</v>
      </c>
      <c r="AW52">
        <v>1</v>
      </c>
      <c r="AX52">
        <v>0.86</v>
      </c>
      <c r="AZ52" t="b">
        <v>0</v>
      </c>
      <c r="BA52">
        <v>114</v>
      </c>
      <c r="BB52">
        <v>0.92</v>
      </c>
      <c r="BC52">
        <v>1.4</v>
      </c>
      <c r="BD52">
        <v>5.0000000000000001E-3</v>
      </c>
      <c r="BE52">
        <v>0.98</v>
      </c>
      <c r="BS52">
        <v>7.1</v>
      </c>
      <c r="BX52">
        <v>30</v>
      </c>
    </row>
    <row r="53" spans="1:76" x14ac:dyDescent="0.25">
      <c r="A53" s="44" t="s">
        <v>426</v>
      </c>
      <c r="B53" t="s">
        <v>470</v>
      </c>
      <c r="C53" t="s">
        <v>477</v>
      </c>
      <c r="D53">
        <v>0.55000000000000004</v>
      </c>
      <c r="E53">
        <f>2.063*1.917</f>
        <v>3.9547710000000005</v>
      </c>
      <c r="F53">
        <v>1533.5</v>
      </c>
      <c r="G53">
        <f>737.6/1000</f>
        <v>0.73760000000000003</v>
      </c>
      <c r="H53">
        <f>3950/7000</f>
        <v>0.56428571428571428</v>
      </c>
      <c r="I53">
        <f>3653/1000</f>
        <v>3.653</v>
      </c>
      <c r="J53">
        <v>136</v>
      </c>
      <c r="L53">
        <v>2000</v>
      </c>
      <c r="M53">
        <v>1</v>
      </c>
      <c r="N53">
        <v>562.33330000000001</v>
      </c>
      <c r="O53">
        <v>9.89</v>
      </c>
      <c r="Q53" t="s">
        <v>479</v>
      </c>
      <c r="R53" t="s">
        <v>480</v>
      </c>
      <c r="S53">
        <v>6</v>
      </c>
      <c r="T53">
        <v>61</v>
      </c>
      <c r="U53">
        <v>2.13</v>
      </c>
      <c r="V53" t="s">
        <v>481</v>
      </c>
      <c r="W53">
        <v>0</v>
      </c>
      <c r="X53">
        <v>4</v>
      </c>
      <c r="Y53" t="b">
        <v>0</v>
      </c>
      <c r="Z53">
        <v>0.83299999999999996</v>
      </c>
      <c r="AA53">
        <v>21.6</v>
      </c>
      <c r="AB53">
        <v>0</v>
      </c>
      <c r="AC53">
        <v>0</v>
      </c>
      <c r="AD53">
        <v>8</v>
      </c>
      <c r="AE53">
        <v>75</v>
      </c>
      <c r="AF53">
        <v>0.97</v>
      </c>
      <c r="AG53">
        <v>110</v>
      </c>
      <c r="AH53">
        <v>-0.68110000000000004</v>
      </c>
      <c r="AI53">
        <v>0.81499999999999995</v>
      </c>
      <c r="AJ53">
        <v>4</v>
      </c>
      <c r="AK53">
        <v>8.2000000000000007E-3</v>
      </c>
      <c r="AL53">
        <v>0.33600000000000002</v>
      </c>
      <c r="AM53">
        <v>0.7</v>
      </c>
      <c r="AN53">
        <v>0.4</v>
      </c>
      <c r="AO53">
        <v>0.8</v>
      </c>
      <c r="AP53">
        <v>0</v>
      </c>
      <c r="AQ53">
        <v>0</v>
      </c>
      <c r="AR53">
        <v>60</v>
      </c>
      <c r="AS53">
        <v>0.2</v>
      </c>
      <c r="AT53">
        <v>0</v>
      </c>
      <c r="AU53">
        <v>30</v>
      </c>
      <c r="AV53">
        <v>100</v>
      </c>
      <c r="AW53">
        <v>1</v>
      </c>
      <c r="AX53">
        <v>0.86</v>
      </c>
      <c r="AZ53" t="b">
        <v>0</v>
      </c>
      <c r="BA53">
        <v>114</v>
      </c>
      <c r="BB53">
        <v>0.98</v>
      </c>
      <c r="BC53">
        <v>1.4</v>
      </c>
      <c r="BD53">
        <v>5.0000000000000001E-3</v>
      </c>
      <c r="BE53">
        <v>0.98</v>
      </c>
      <c r="BS53">
        <v>7.1</v>
      </c>
      <c r="BX53">
        <v>30</v>
      </c>
    </row>
    <row r="54" spans="1:76" x14ac:dyDescent="0.25">
      <c r="A54" t="s">
        <v>427</v>
      </c>
      <c r="B54" t="s">
        <v>469</v>
      </c>
      <c r="C54" t="s">
        <v>477</v>
      </c>
      <c r="D54">
        <v>0.6</v>
      </c>
      <c r="E54">
        <f>2.045*1.891</f>
        <v>3.8670949999999999</v>
      </c>
      <c r="F54">
        <v>1533.5</v>
      </c>
      <c r="G54">
        <f t="shared" ref="G54:G57" si="6">737.6/1000</f>
        <v>0.73760000000000003</v>
      </c>
      <c r="H54">
        <v>0.59</v>
      </c>
      <c r="I54">
        <f t="shared" ref="I54:I57" si="7">3653/1000</f>
        <v>3.653</v>
      </c>
      <c r="J54">
        <v>136</v>
      </c>
      <c r="L54">
        <v>2000</v>
      </c>
      <c r="M54">
        <v>1</v>
      </c>
      <c r="N54">
        <v>562.33330000000001</v>
      </c>
      <c r="O54">
        <v>9.89</v>
      </c>
      <c r="Q54" t="s">
        <v>479</v>
      </c>
      <c r="R54" t="s">
        <v>480</v>
      </c>
      <c r="S54">
        <v>6</v>
      </c>
      <c r="T54">
        <v>61</v>
      </c>
      <c r="U54">
        <v>2.13</v>
      </c>
      <c r="V54" t="s">
        <v>481</v>
      </c>
      <c r="W54">
        <v>0</v>
      </c>
      <c r="X54">
        <v>4</v>
      </c>
      <c r="Y54" t="b">
        <v>0</v>
      </c>
      <c r="Z54">
        <v>0.83299999999999996</v>
      </c>
      <c r="AA54">
        <v>21.6</v>
      </c>
      <c r="AB54">
        <v>0</v>
      </c>
      <c r="AC54">
        <v>0</v>
      </c>
      <c r="AD54">
        <v>8</v>
      </c>
      <c r="AE54">
        <v>75</v>
      </c>
      <c r="AF54">
        <v>0.97</v>
      </c>
      <c r="AG54">
        <v>110</v>
      </c>
      <c r="AH54">
        <v>-0.68110000000000004</v>
      </c>
      <c r="AI54">
        <v>0.81499999999999995</v>
      </c>
      <c r="AJ54">
        <v>4</v>
      </c>
      <c r="AK54">
        <v>8.2000000000000007E-3</v>
      </c>
      <c r="AL54">
        <v>0.33600000000000002</v>
      </c>
      <c r="AM54">
        <v>0.7</v>
      </c>
      <c r="AN54">
        <v>0.4</v>
      </c>
      <c r="AO54">
        <v>0.8</v>
      </c>
      <c r="AP54">
        <v>0</v>
      </c>
      <c r="AQ54">
        <v>0</v>
      </c>
      <c r="AR54">
        <v>60</v>
      </c>
      <c r="AS54">
        <v>0.2</v>
      </c>
      <c r="AT54">
        <v>0</v>
      </c>
      <c r="AU54">
        <v>30</v>
      </c>
      <c r="AV54">
        <v>100</v>
      </c>
      <c r="AW54">
        <v>1</v>
      </c>
      <c r="AX54">
        <v>0.86</v>
      </c>
      <c r="AZ54" t="b">
        <v>0</v>
      </c>
      <c r="BA54">
        <v>114</v>
      </c>
      <c r="BB54">
        <v>0.92</v>
      </c>
      <c r="BC54">
        <v>1.4</v>
      </c>
      <c r="BD54">
        <v>5.0000000000000001E-3</v>
      </c>
      <c r="BE54">
        <v>0.98</v>
      </c>
      <c r="BS54">
        <v>7.1</v>
      </c>
      <c r="BX54">
        <v>30</v>
      </c>
    </row>
    <row r="55" spans="1:76" x14ac:dyDescent="0.25">
      <c r="A55" t="s">
        <v>428</v>
      </c>
      <c r="B55" t="s">
        <v>470</v>
      </c>
      <c r="C55" t="s">
        <v>477</v>
      </c>
      <c r="D55">
        <v>0.6</v>
      </c>
      <c r="E55">
        <f>2.045*1.891</f>
        <v>3.8670949999999999</v>
      </c>
      <c r="F55">
        <v>1533.5</v>
      </c>
      <c r="G55">
        <f t="shared" si="6"/>
        <v>0.73760000000000003</v>
      </c>
      <c r="H55">
        <v>0.59</v>
      </c>
      <c r="I55">
        <f t="shared" si="7"/>
        <v>3.653</v>
      </c>
      <c r="J55">
        <v>136</v>
      </c>
      <c r="L55">
        <v>2000</v>
      </c>
      <c r="M55">
        <v>1</v>
      </c>
      <c r="N55">
        <v>562.33330000000001</v>
      </c>
      <c r="O55">
        <v>9.89</v>
      </c>
      <c r="Q55" t="s">
        <v>479</v>
      </c>
      <c r="R55" t="s">
        <v>480</v>
      </c>
      <c r="S55">
        <v>6</v>
      </c>
      <c r="T55">
        <v>61</v>
      </c>
      <c r="U55">
        <v>2.13</v>
      </c>
      <c r="V55" t="s">
        <v>481</v>
      </c>
      <c r="W55">
        <v>0</v>
      </c>
      <c r="X55">
        <v>4</v>
      </c>
      <c r="Y55" t="b">
        <v>0</v>
      </c>
      <c r="Z55">
        <v>0.83299999999999996</v>
      </c>
      <c r="AA55">
        <v>21.6</v>
      </c>
      <c r="AB55">
        <v>0</v>
      </c>
      <c r="AC55">
        <v>0</v>
      </c>
      <c r="AD55">
        <v>8</v>
      </c>
      <c r="AE55">
        <v>75</v>
      </c>
      <c r="AF55">
        <v>0.97</v>
      </c>
      <c r="AG55">
        <v>110</v>
      </c>
      <c r="AH55">
        <v>-0.68110000000000004</v>
      </c>
      <c r="AI55">
        <v>0.81499999999999995</v>
      </c>
      <c r="AJ55">
        <v>4</v>
      </c>
      <c r="AK55">
        <v>8.2000000000000007E-3</v>
      </c>
      <c r="AL55">
        <v>0.33600000000000002</v>
      </c>
      <c r="AM55">
        <v>0.7</v>
      </c>
      <c r="AN55">
        <v>0.4</v>
      </c>
      <c r="AO55">
        <v>0.8</v>
      </c>
      <c r="AP55">
        <v>0</v>
      </c>
      <c r="AQ55">
        <v>0</v>
      </c>
      <c r="AR55">
        <v>60</v>
      </c>
      <c r="AS55">
        <v>0.2</v>
      </c>
      <c r="AT55">
        <v>0</v>
      </c>
      <c r="AU55">
        <v>30</v>
      </c>
      <c r="AV55">
        <v>100</v>
      </c>
      <c r="AW55">
        <v>1</v>
      </c>
      <c r="AX55">
        <v>0.86</v>
      </c>
      <c r="AZ55" t="b">
        <v>0</v>
      </c>
      <c r="BA55">
        <v>114</v>
      </c>
      <c r="BB55">
        <v>0.98</v>
      </c>
      <c r="BC55">
        <v>1.4</v>
      </c>
      <c r="BD55">
        <v>5.0000000000000001E-3</v>
      </c>
      <c r="BE55">
        <v>0.98</v>
      </c>
      <c r="BS55">
        <v>7.1</v>
      </c>
      <c r="BX55">
        <v>30</v>
      </c>
    </row>
    <row r="56" spans="1:76" x14ac:dyDescent="0.25">
      <c r="A56" t="s">
        <v>429</v>
      </c>
      <c r="B56" t="s">
        <v>469</v>
      </c>
      <c r="C56" t="s">
        <v>477</v>
      </c>
      <c r="D56">
        <v>0.6</v>
      </c>
      <c r="E56">
        <f>2.045*1.891</f>
        <v>3.8670949999999999</v>
      </c>
      <c r="F56">
        <v>1533.5</v>
      </c>
      <c r="G56">
        <f t="shared" si="6"/>
        <v>0.73760000000000003</v>
      </c>
      <c r="H56">
        <v>0.59</v>
      </c>
      <c r="I56">
        <f t="shared" si="7"/>
        <v>3.653</v>
      </c>
      <c r="J56">
        <v>136</v>
      </c>
      <c r="L56">
        <v>2000</v>
      </c>
      <c r="M56">
        <v>1</v>
      </c>
      <c r="N56">
        <v>562.33330000000001</v>
      </c>
      <c r="O56">
        <v>9.89</v>
      </c>
      <c r="Q56" t="s">
        <v>479</v>
      </c>
      <c r="R56" t="s">
        <v>480</v>
      </c>
      <c r="S56">
        <v>6</v>
      </c>
      <c r="T56">
        <v>61</v>
      </c>
      <c r="U56">
        <v>2.13</v>
      </c>
      <c r="V56" t="s">
        <v>481</v>
      </c>
      <c r="W56">
        <v>0</v>
      </c>
      <c r="X56">
        <v>4</v>
      </c>
      <c r="Y56" t="b">
        <v>0</v>
      </c>
      <c r="Z56">
        <v>0.83299999999999996</v>
      </c>
      <c r="AA56">
        <v>21.6</v>
      </c>
      <c r="AB56">
        <v>0</v>
      </c>
      <c r="AC56">
        <v>0</v>
      </c>
      <c r="AD56">
        <v>8</v>
      </c>
      <c r="AE56">
        <v>75</v>
      </c>
      <c r="AF56">
        <v>0.97</v>
      </c>
      <c r="AG56">
        <v>110</v>
      </c>
      <c r="AH56">
        <v>-0.68110000000000004</v>
      </c>
      <c r="AI56">
        <v>0.81499999999999995</v>
      </c>
      <c r="AJ56">
        <v>4</v>
      </c>
      <c r="AK56">
        <v>8.2000000000000007E-3</v>
      </c>
      <c r="AL56">
        <v>0.33600000000000002</v>
      </c>
      <c r="AM56">
        <v>0.7</v>
      </c>
      <c r="AN56">
        <v>0.4</v>
      </c>
      <c r="AO56">
        <v>0.8</v>
      </c>
      <c r="AP56">
        <v>0</v>
      </c>
      <c r="AQ56">
        <v>0</v>
      </c>
      <c r="AR56">
        <v>60</v>
      </c>
      <c r="AS56">
        <v>0.2</v>
      </c>
      <c r="AT56">
        <v>0</v>
      </c>
      <c r="AU56">
        <v>30</v>
      </c>
      <c r="AV56">
        <v>100</v>
      </c>
      <c r="AW56">
        <v>1</v>
      </c>
      <c r="AX56">
        <v>0.86</v>
      </c>
      <c r="AZ56" t="b">
        <v>0</v>
      </c>
      <c r="BA56">
        <v>114</v>
      </c>
      <c r="BB56">
        <v>0.92</v>
      </c>
      <c r="BC56">
        <v>1.4</v>
      </c>
      <c r="BD56">
        <v>5.0000000000000001E-3</v>
      </c>
      <c r="BE56">
        <v>0.98</v>
      </c>
      <c r="BS56">
        <v>7.1</v>
      </c>
      <c r="BX56">
        <v>30</v>
      </c>
    </row>
    <row r="57" spans="1:76" x14ac:dyDescent="0.25">
      <c r="A57" t="s">
        <v>430</v>
      </c>
      <c r="B57" t="s">
        <v>470</v>
      </c>
      <c r="C57" t="s">
        <v>477</v>
      </c>
      <c r="D57">
        <v>0.6</v>
      </c>
      <c r="E57">
        <f>2.045*1.891</f>
        <v>3.8670949999999999</v>
      </c>
      <c r="F57">
        <v>1533.5</v>
      </c>
      <c r="G57">
        <f t="shared" si="6"/>
        <v>0.73760000000000003</v>
      </c>
      <c r="H57">
        <v>0.59</v>
      </c>
      <c r="I57">
        <f t="shared" si="7"/>
        <v>3.653</v>
      </c>
      <c r="J57">
        <v>136</v>
      </c>
      <c r="L57">
        <v>2000</v>
      </c>
      <c r="M57">
        <v>1</v>
      </c>
      <c r="N57">
        <v>562.33330000000001</v>
      </c>
      <c r="O57">
        <v>9.89</v>
      </c>
      <c r="Q57" t="s">
        <v>479</v>
      </c>
      <c r="R57" t="s">
        <v>480</v>
      </c>
      <c r="S57">
        <v>6</v>
      </c>
      <c r="T57">
        <v>61</v>
      </c>
      <c r="U57">
        <v>2.13</v>
      </c>
      <c r="V57" t="s">
        <v>481</v>
      </c>
      <c r="W57">
        <v>0</v>
      </c>
      <c r="X57">
        <v>4</v>
      </c>
      <c r="Y57" t="b">
        <v>0</v>
      </c>
      <c r="Z57">
        <v>0.83299999999999996</v>
      </c>
      <c r="AA57">
        <v>21.6</v>
      </c>
      <c r="AB57">
        <v>0</v>
      </c>
      <c r="AC57">
        <v>0</v>
      </c>
      <c r="AD57">
        <v>8</v>
      </c>
      <c r="AE57">
        <v>75</v>
      </c>
      <c r="AF57">
        <v>0.97</v>
      </c>
      <c r="AG57">
        <v>110</v>
      </c>
      <c r="AH57">
        <v>-0.68110000000000004</v>
      </c>
      <c r="AI57">
        <v>0.81499999999999995</v>
      </c>
      <c r="AJ57">
        <v>4</v>
      </c>
      <c r="AK57">
        <v>8.2000000000000007E-3</v>
      </c>
      <c r="AL57">
        <v>0.33600000000000002</v>
      </c>
      <c r="AM57">
        <v>0.7</v>
      </c>
      <c r="AN57">
        <v>0.4</v>
      </c>
      <c r="AO57">
        <v>0.8</v>
      </c>
      <c r="AP57">
        <v>0</v>
      </c>
      <c r="AQ57">
        <v>0</v>
      </c>
      <c r="AR57">
        <v>60</v>
      </c>
      <c r="AS57">
        <v>0.2</v>
      </c>
      <c r="AT57">
        <v>0</v>
      </c>
      <c r="AU57">
        <v>30</v>
      </c>
      <c r="AV57">
        <v>100</v>
      </c>
      <c r="AW57">
        <v>1</v>
      </c>
      <c r="AX57">
        <v>0.86</v>
      </c>
      <c r="AZ57" t="b">
        <v>0</v>
      </c>
      <c r="BA57">
        <v>114</v>
      </c>
      <c r="BB57">
        <v>0.98</v>
      </c>
      <c r="BC57">
        <v>1.4</v>
      </c>
      <c r="BD57">
        <v>5.0000000000000001E-3</v>
      </c>
      <c r="BE57">
        <v>0.98</v>
      </c>
      <c r="BS57">
        <v>7.1</v>
      </c>
      <c r="BX57">
        <v>30</v>
      </c>
    </row>
    <row r="58" spans="1:76" x14ac:dyDescent="0.25">
      <c r="A58" t="s">
        <v>431</v>
      </c>
      <c r="B58" t="s">
        <v>476</v>
      </c>
      <c r="C58" t="s">
        <v>477</v>
      </c>
      <c r="D58">
        <v>0.34</v>
      </c>
      <c r="E58">
        <f>1.735*1.516</f>
        <v>2.6302600000000003</v>
      </c>
      <c r="G58">
        <v>0.53</v>
      </c>
      <c r="H58">
        <v>0.59</v>
      </c>
      <c r="I58">
        <v>2.5249999999999999</v>
      </c>
      <c r="J58">
        <v>136</v>
      </c>
      <c r="L58">
        <v>2000</v>
      </c>
      <c r="M58">
        <v>1</v>
      </c>
      <c r="N58">
        <v>492.33330000000001</v>
      </c>
      <c r="O58">
        <v>9.89</v>
      </c>
      <c r="P58">
        <v>114.33329999999999</v>
      </c>
      <c r="Q58" t="s">
        <v>479</v>
      </c>
      <c r="R58" t="s">
        <v>480</v>
      </c>
      <c r="S58">
        <v>6</v>
      </c>
      <c r="T58">
        <v>61</v>
      </c>
      <c r="U58">
        <v>2.13</v>
      </c>
      <c r="V58" t="s">
        <v>481</v>
      </c>
      <c r="W58">
        <v>0</v>
      </c>
      <c r="X58">
        <v>4</v>
      </c>
      <c r="Y58" t="b">
        <v>0</v>
      </c>
      <c r="Z58">
        <v>0.83299999999999996</v>
      </c>
      <c r="AA58">
        <v>21.6</v>
      </c>
      <c r="AB58">
        <v>0</v>
      </c>
      <c r="AC58">
        <v>0</v>
      </c>
      <c r="AD58">
        <v>8</v>
      </c>
      <c r="AE58">
        <v>75</v>
      </c>
      <c r="AF58">
        <v>0.97</v>
      </c>
      <c r="AG58">
        <v>110</v>
      </c>
      <c r="AH58">
        <v>-0.68110000000000004</v>
      </c>
      <c r="AI58">
        <v>0.81499999999999995</v>
      </c>
      <c r="AJ58">
        <v>4</v>
      </c>
      <c r="AK58">
        <v>7.4999999999999997E-3</v>
      </c>
      <c r="AL58">
        <v>0.33600000000000002</v>
      </c>
      <c r="AM58">
        <v>0.7</v>
      </c>
      <c r="AN58">
        <v>0.4</v>
      </c>
      <c r="AO58">
        <v>0.8</v>
      </c>
      <c r="AP58">
        <v>0</v>
      </c>
      <c r="AQ58">
        <v>0</v>
      </c>
      <c r="AR58">
        <v>60</v>
      </c>
      <c r="AS58">
        <v>0.2</v>
      </c>
      <c r="AT58">
        <v>0</v>
      </c>
      <c r="AU58">
        <v>30</v>
      </c>
      <c r="AV58">
        <v>100</v>
      </c>
      <c r="AW58">
        <v>1</v>
      </c>
      <c r="AX58">
        <v>0.86</v>
      </c>
      <c r="AZ58" t="b">
        <v>0</v>
      </c>
      <c r="BA58">
        <v>114</v>
      </c>
      <c r="BB58">
        <v>0.95</v>
      </c>
      <c r="BC58">
        <v>1.4</v>
      </c>
      <c r="BD58">
        <v>5.0000000000000001E-3</v>
      </c>
      <c r="BE58">
        <v>0.98</v>
      </c>
      <c r="BS58">
        <v>8.5</v>
      </c>
      <c r="BX58">
        <v>30</v>
      </c>
    </row>
    <row r="59" spans="1:76" x14ac:dyDescent="0.25">
      <c r="A59" t="s">
        <v>432</v>
      </c>
      <c r="B59" t="s">
        <v>482</v>
      </c>
      <c r="C59" t="s">
        <v>477</v>
      </c>
      <c r="D59">
        <v>0.32</v>
      </c>
      <c r="E59">
        <f>1.595*1.483</f>
        <v>2.3653850000000003</v>
      </c>
      <c r="G59">
        <v>0.53</v>
      </c>
      <c r="H59">
        <v>0.59</v>
      </c>
      <c r="I59">
        <v>2.3849999999999998</v>
      </c>
      <c r="J59">
        <v>136</v>
      </c>
      <c r="L59">
        <v>2000</v>
      </c>
      <c r="M59">
        <v>1</v>
      </c>
      <c r="N59">
        <v>492.33330000000001</v>
      </c>
      <c r="O59">
        <v>9.89</v>
      </c>
      <c r="P59">
        <v>114.33329999999999</v>
      </c>
      <c r="Q59" t="s">
        <v>479</v>
      </c>
      <c r="R59" t="s">
        <v>480</v>
      </c>
      <c r="S59">
        <v>6</v>
      </c>
      <c r="T59">
        <v>61</v>
      </c>
      <c r="U59">
        <v>2.13</v>
      </c>
      <c r="V59" t="s">
        <v>481</v>
      </c>
      <c r="W59">
        <v>0</v>
      </c>
      <c r="X59">
        <v>4</v>
      </c>
      <c r="Y59" t="b">
        <v>0</v>
      </c>
      <c r="Z59">
        <v>0.83299999999999996</v>
      </c>
      <c r="AA59">
        <v>21.6</v>
      </c>
      <c r="AB59">
        <v>0</v>
      </c>
      <c r="AC59">
        <v>0</v>
      </c>
      <c r="AD59">
        <v>8</v>
      </c>
      <c r="AE59">
        <v>75</v>
      </c>
      <c r="AF59">
        <v>0.97</v>
      </c>
      <c r="AG59">
        <v>110</v>
      </c>
      <c r="AH59">
        <v>-0.68110000000000004</v>
      </c>
      <c r="AI59">
        <v>0.81499999999999995</v>
      </c>
      <c r="AJ59">
        <v>4</v>
      </c>
      <c r="AK59">
        <v>7.4999999999999997E-3</v>
      </c>
      <c r="AL59">
        <v>0.33600000000000002</v>
      </c>
      <c r="AM59">
        <v>0.7</v>
      </c>
      <c r="AN59">
        <v>0.4</v>
      </c>
      <c r="AO59">
        <v>0.8</v>
      </c>
      <c r="AP59">
        <v>0</v>
      </c>
      <c r="AQ59">
        <v>0</v>
      </c>
      <c r="AR59">
        <v>60</v>
      </c>
      <c r="AS59">
        <v>0.2</v>
      </c>
      <c r="AT59">
        <v>0</v>
      </c>
      <c r="AU59">
        <v>30</v>
      </c>
      <c r="AV59">
        <v>100</v>
      </c>
      <c r="AW59">
        <v>1</v>
      </c>
      <c r="AX59">
        <v>0.86</v>
      </c>
      <c r="AZ59" t="b">
        <v>0</v>
      </c>
      <c r="BA59">
        <v>114</v>
      </c>
      <c r="BB59">
        <v>0.95</v>
      </c>
      <c r="BC59">
        <v>1.4</v>
      </c>
      <c r="BD59">
        <v>5.0000000000000001E-3</v>
      </c>
      <c r="BE59">
        <v>0.98</v>
      </c>
      <c r="BS59">
        <v>10.7</v>
      </c>
      <c r="BX59">
        <v>30</v>
      </c>
    </row>
    <row r="60" spans="1:76" x14ac:dyDescent="0.25">
      <c r="A60" t="s">
        <v>433</v>
      </c>
      <c r="B60" t="s">
        <v>467</v>
      </c>
      <c r="C60" t="s">
        <v>477</v>
      </c>
      <c r="D60">
        <v>0.39</v>
      </c>
      <c r="E60">
        <f>2.044*1.889</f>
        <v>3.861116</v>
      </c>
      <c r="F60">
        <v>1533.5</v>
      </c>
      <c r="G60">
        <f>776.2/1000</f>
        <v>0.7762</v>
      </c>
      <c r="H60">
        <f>3300/7200</f>
        <v>0.45833333333333331</v>
      </c>
      <c r="I60">
        <v>3.302</v>
      </c>
      <c r="J60">
        <v>136</v>
      </c>
      <c r="L60">
        <v>2000</v>
      </c>
      <c r="M60">
        <v>1</v>
      </c>
      <c r="N60">
        <v>562.33330000000001</v>
      </c>
      <c r="O60">
        <v>9.89</v>
      </c>
      <c r="P60">
        <v>167.33330000000001</v>
      </c>
      <c r="Q60" t="s">
        <v>479</v>
      </c>
      <c r="R60" t="s">
        <v>480</v>
      </c>
      <c r="S60">
        <v>6</v>
      </c>
      <c r="T60">
        <v>61</v>
      </c>
      <c r="U60">
        <v>2.13</v>
      </c>
      <c r="V60" t="s">
        <v>481</v>
      </c>
      <c r="W60">
        <v>0</v>
      </c>
      <c r="X60">
        <v>4</v>
      </c>
      <c r="Y60" t="b">
        <v>0</v>
      </c>
      <c r="Z60">
        <v>0.83299999999999996</v>
      </c>
      <c r="AA60">
        <v>21.6</v>
      </c>
      <c r="AB60">
        <v>0</v>
      </c>
      <c r="AC60">
        <v>0</v>
      </c>
      <c r="AD60">
        <v>8</v>
      </c>
      <c r="AE60">
        <v>75</v>
      </c>
      <c r="AF60">
        <v>0.97</v>
      </c>
      <c r="AG60">
        <v>110</v>
      </c>
      <c r="AH60">
        <v>-0.68110000000000004</v>
      </c>
      <c r="AI60">
        <v>0.81499999999999995</v>
      </c>
      <c r="AJ60">
        <v>4</v>
      </c>
      <c r="AK60">
        <v>8.0000000000000002E-3</v>
      </c>
      <c r="AL60">
        <v>0.33600000000000002</v>
      </c>
      <c r="AM60">
        <v>0.7</v>
      </c>
      <c r="AN60">
        <v>0.4</v>
      </c>
      <c r="AO60">
        <v>0.8</v>
      </c>
      <c r="AP60">
        <v>0</v>
      </c>
      <c r="AQ60">
        <v>0</v>
      </c>
      <c r="AR60">
        <v>60</v>
      </c>
      <c r="AS60">
        <v>0.2</v>
      </c>
      <c r="AT60">
        <v>0</v>
      </c>
      <c r="AU60">
        <v>30</v>
      </c>
      <c r="AV60">
        <v>100</v>
      </c>
      <c r="AW60">
        <v>1</v>
      </c>
      <c r="AX60">
        <v>0.86</v>
      </c>
      <c r="AZ60" t="b">
        <v>0</v>
      </c>
      <c r="BA60">
        <v>114</v>
      </c>
      <c r="BB60">
        <v>0.92</v>
      </c>
      <c r="BC60">
        <v>1.4</v>
      </c>
      <c r="BD60">
        <v>5.0000000000000001E-3</v>
      </c>
      <c r="BE60">
        <v>0.98</v>
      </c>
      <c r="BS60">
        <v>7.3</v>
      </c>
      <c r="BX60">
        <v>30</v>
      </c>
    </row>
    <row r="61" spans="1:76" x14ac:dyDescent="0.25">
      <c r="A61" s="44" t="s">
        <v>434</v>
      </c>
      <c r="B61" t="s">
        <v>467</v>
      </c>
      <c r="C61" t="s">
        <v>477</v>
      </c>
      <c r="D61">
        <v>0.39</v>
      </c>
      <c r="E61">
        <f>2.044*1.889</f>
        <v>3.861116</v>
      </c>
      <c r="F61">
        <v>1533.5</v>
      </c>
      <c r="G61">
        <f>778.8/1000</f>
        <v>0.77879999999999994</v>
      </c>
      <c r="H61">
        <f>36/74</f>
        <v>0.48648648648648651</v>
      </c>
      <c r="I61">
        <f>3302/1000</f>
        <v>3.302</v>
      </c>
      <c r="J61">
        <v>136</v>
      </c>
      <c r="L61">
        <v>2000</v>
      </c>
      <c r="M61">
        <v>1</v>
      </c>
      <c r="N61">
        <v>562.33330000000001</v>
      </c>
      <c r="O61">
        <v>9.89</v>
      </c>
      <c r="P61">
        <v>167.33330000000001</v>
      </c>
      <c r="Q61" t="s">
        <v>479</v>
      </c>
      <c r="R61" t="s">
        <v>480</v>
      </c>
      <c r="S61">
        <v>6</v>
      </c>
      <c r="T61">
        <v>61</v>
      </c>
      <c r="U61">
        <v>2.13</v>
      </c>
      <c r="V61" t="s">
        <v>481</v>
      </c>
      <c r="W61">
        <v>0</v>
      </c>
      <c r="X61">
        <v>4</v>
      </c>
      <c r="Y61" t="b">
        <v>0</v>
      </c>
      <c r="Z61">
        <v>0.83299999999999996</v>
      </c>
      <c r="AA61">
        <v>21.6</v>
      </c>
      <c r="AB61">
        <v>0</v>
      </c>
      <c r="AC61">
        <v>0</v>
      </c>
      <c r="AD61">
        <v>8</v>
      </c>
      <c r="AE61">
        <v>75</v>
      </c>
      <c r="AF61">
        <v>0.97</v>
      </c>
      <c r="AG61">
        <v>110</v>
      </c>
      <c r="AH61">
        <v>-0.68110000000000004</v>
      </c>
      <c r="AI61">
        <v>0.81499999999999995</v>
      </c>
      <c r="AJ61">
        <v>4</v>
      </c>
      <c r="AK61">
        <v>8.0000000000000002E-3</v>
      </c>
      <c r="AL61">
        <v>0.33600000000000002</v>
      </c>
      <c r="AM61">
        <v>0.7</v>
      </c>
      <c r="AN61">
        <v>0.4</v>
      </c>
      <c r="AO61">
        <v>0.8</v>
      </c>
      <c r="AP61">
        <v>0</v>
      </c>
      <c r="AQ61">
        <v>0</v>
      </c>
      <c r="AR61">
        <v>60</v>
      </c>
      <c r="AS61">
        <v>0.2</v>
      </c>
      <c r="AT61">
        <v>0</v>
      </c>
      <c r="AU61">
        <v>30</v>
      </c>
      <c r="AV61">
        <v>100</v>
      </c>
      <c r="AW61">
        <v>1</v>
      </c>
      <c r="AX61">
        <v>0.86</v>
      </c>
      <c r="AZ61" t="b">
        <v>0</v>
      </c>
      <c r="BA61">
        <v>114</v>
      </c>
      <c r="BB61">
        <v>0.92</v>
      </c>
      <c r="BC61">
        <v>1.4</v>
      </c>
      <c r="BD61">
        <v>5.0000000000000001E-3</v>
      </c>
      <c r="BE61">
        <v>0.98</v>
      </c>
      <c r="BS61">
        <v>7.3</v>
      </c>
      <c r="BX61">
        <v>30</v>
      </c>
    </row>
    <row r="62" spans="1:76" x14ac:dyDescent="0.25">
      <c r="A62" s="44" t="s">
        <v>435</v>
      </c>
      <c r="B62" t="s">
        <v>468</v>
      </c>
      <c r="C62" t="s">
        <v>477</v>
      </c>
      <c r="D62">
        <v>0.39</v>
      </c>
      <c r="E62">
        <f>2.044*1.889</f>
        <v>3.861116</v>
      </c>
      <c r="F62">
        <v>1533.5</v>
      </c>
      <c r="G62">
        <f>761.9/1000</f>
        <v>0.76190000000000002</v>
      </c>
      <c r="H62">
        <f>34/71</f>
        <v>0.47887323943661969</v>
      </c>
      <c r="I62">
        <f>2948/1000</f>
        <v>2.948</v>
      </c>
      <c r="J62">
        <v>136</v>
      </c>
      <c r="L62">
        <v>2000</v>
      </c>
      <c r="M62">
        <v>1</v>
      </c>
      <c r="N62">
        <v>562.33330000000001</v>
      </c>
      <c r="O62">
        <v>9.89</v>
      </c>
      <c r="P62">
        <v>167.33330000000001</v>
      </c>
      <c r="Q62" t="s">
        <v>479</v>
      </c>
      <c r="R62" t="s">
        <v>480</v>
      </c>
      <c r="S62">
        <v>6</v>
      </c>
      <c r="T62">
        <v>61</v>
      </c>
      <c r="U62">
        <v>2.13</v>
      </c>
      <c r="V62" t="s">
        <v>481</v>
      </c>
      <c r="W62">
        <v>0</v>
      </c>
      <c r="X62">
        <v>4</v>
      </c>
      <c r="Y62" t="b">
        <v>0</v>
      </c>
      <c r="Z62">
        <v>0.83299999999999996</v>
      </c>
      <c r="AA62">
        <v>21.6</v>
      </c>
      <c r="AB62">
        <v>0</v>
      </c>
      <c r="AC62">
        <v>0</v>
      </c>
      <c r="AD62">
        <v>8</v>
      </c>
      <c r="AE62">
        <v>75</v>
      </c>
      <c r="AF62">
        <v>0.97</v>
      </c>
      <c r="AG62">
        <v>110</v>
      </c>
      <c r="AH62">
        <v>-0.68110000000000004</v>
      </c>
      <c r="AI62">
        <v>0.81499999999999995</v>
      </c>
      <c r="AJ62">
        <v>4</v>
      </c>
      <c r="AK62">
        <v>8.0000000000000002E-3</v>
      </c>
      <c r="AL62">
        <v>0.33600000000000002</v>
      </c>
      <c r="AM62">
        <v>0.7</v>
      </c>
      <c r="AN62">
        <v>0.4</v>
      </c>
      <c r="AO62">
        <v>0.8</v>
      </c>
      <c r="AP62">
        <v>0</v>
      </c>
      <c r="AQ62">
        <v>0</v>
      </c>
      <c r="AR62">
        <v>60</v>
      </c>
      <c r="AS62">
        <v>0.2</v>
      </c>
      <c r="AT62">
        <v>0</v>
      </c>
      <c r="AU62">
        <v>30</v>
      </c>
      <c r="AV62">
        <v>100</v>
      </c>
      <c r="AW62">
        <v>1</v>
      </c>
      <c r="AX62">
        <v>0.86</v>
      </c>
      <c r="AZ62" t="b">
        <v>0</v>
      </c>
      <c r="BA62">
        <v>114</v>
      </c>
      <c r="BB62">
        <v>0.98</v>
      </c>
      <c r="BC62">
        <v>1.4</v>
      </c>
      <c r="BD62">
        <v>5.0000000000000001E-3</v>
      </c>
      <c r="BE62">
        <v>0.98</v>
      </c>
      <c r="BS62">
        <v>7.3</v>
      </c>
      <c r="BX62">
        <v>30</v>
      </c>
    </row>
    <row r="63" spans="1:76" x14ac:dyDescent="0.25">
      <c r="A63" s="44" t="s">
        <v>436</v>
      </c>
      <c r="B63" t="s">
        <v>467</v>
      </c>
      <c r="C63" t="s">
        <v>477</v>
      </c>
      <c r="D63">
        <v>0.36299999999999999</v>
      </c>
      <c r="E63">
        <f>2.044*1.889</f>
        <v>3.861116</v>
      </c>
      <c r="F63">
        <v>1533.5</v>
      </c>
      <c r="G63">
        <f>772.1/1000</f>
        <v>0.77210000000000001</v>
      </c>
      <c r="H63">
        <f>36/73</f>
        <v>0.49315068493150682</v>
      </c>
      <c r="I63">
        <f>2948/1000</f>
        <v>2.948</v>
      </c>
      <c r="J63">
        <v>136</v>
      </c>
      <c r="L63">
        <v>2000</v>
      </c>
      <c r="M63">
        <v>1</v>
      </c>
      <c r="N63">
        <v>562.33330000000001</v>
      </c>
      <c r="O63">
        <v>9.89</v>
      </c>
      <c r="P63">
        <v>167.33330000000001</v>
      </c>
      <c r="Q63" t="s">
        <v>479</v>
      </c>
      <c r="R63" t="s">
        <v>480</v>
      </c>
      <c r="S63">
        <v>6</v>
      </c>
      <c r="T63">
        <v>61</v>
      </c>
      <c r="U63">
        <v>2.13</v>
      </c>
      <c r="V63" t="s">
        <v>481</v>
      </c>
      <c r="W63">
        <v>0</v>
      </c>
      <c r="X63">
        <v>4</v>
      </c>
      <c r="Y63" t="b">
        <v>0</v>
      </c>
      <c r="Z63">
        <v>0.83299999999999996</v>
      </c>
      <c r="AA63">
        <v>21.6</v>
      </c>
      <c r="AB63">
        <v>0</v>
      </c>
      <c r="AC63">
        <v>0</v>
      </c>
      <c r="AD63">
        <v>8</v>
      </c>
      <c r="AE63">
        <v>75</v>
      </c>
      <c r="AF63">
        <v>0.97</v>
      </c>
      <c r="AG63">
        <v>110</v>
      </c>
      <c r="AH63">
        <v>-0.68110000000000004</v>
      </c>
      <c r="AI63">
        <v>0.81499999999999995</v>
      </c>
      <c r="AJ63">
        <v>4</v>
      </c>
      <c r="AK63">
        <v>8.0000000000000002E-3</v>
      </c>
      <c r="AL63">
        <v>0.33600000000000002</v>
      </c>
      <c r="AM63">
        <v>0.7</v>
      </c>
      <c r="AN63">
        <v>0.4</v>
      </c>
      <c r="AO63">
        <v>0.8</v>
      </c>
      <c r="AP63">
        <v>0</v>
      </c>
      <c r="AQ63">
        <v>0</v>
      </c>
      <c r="AR63">
        <v>60</v>
      </c>
      <c r="AS63">
        <v>0.2</v>
      </c>
      <c r="AT63">
        <v>0</v>
      </c>
      <c r="AU63">
        <v>30</v>
      </c>
      <c r="AV63">
        <v>100</v>
      </c>
      <c r="AW63">
        <v>1</v>
      </c>
      <c r="AX63">
        <v>0.86</v>
      </c>
      <c r="AZ63" t="b">
        <v>0</v>
      </c>
      <c r="BA63">
        <v>114</v>
      </c>
      <c r="BB63">
        <v>0.92</v>
      </c>
      <c r="BC63">
        <v>1.4</v>
      </c>
      <c r="BD63">
        <v>5.0000000000000001E-3</v>
      </c>
      <c r="BE63">
        <v>0.98</v>
      </c>
      <c r="BS63">
        <v>5.9</v>
      </c>
      <c r="BX63">
        <v>30</v>
      </c>
    </row>
    <row r="64" spans="1:76" x14ac:dyDescent="0.25">
      <c r="A64" s="44" t="s">
        <v>437</v>
      </c>
      <c r="B64" t="s">
        <v>468</v>
      </c>
      <c r="C64" t="s">
        <v>477</v>
      </c>
      <c r="D64">
        <v>0.36299999999999999</v>
      </c>
      <c r="E64">
        <f>2.044*1.889</f>
        <v>3.861116</v>
      </c>
      <c r="F64">
        <v>1533.5</v>
      </c>
      <c r="G64">
        <f>772.1/1000</f>
        <v>0.77210000000000001</v>
      </c>
      <c r="H64">
        <v>0.59</v>
      </c>
      <c r="I64">
        <f>2948/1000</f>
        <v>2.948</v>
      </c>
      <c r="J64">
        <v>136</v>
      </c>
      <c r="L64">
        <v>2000</v>
      </c>
      <c r="M64">
        <v>1</v>
      </c>
      <c r="N64">
        <v>562.33330000000001</v>
      </c>
      <c r="O64">
        <v>9.89</v>
      </c>
      <c r="P64">
        <v>167.33330000000001</v>
      </c>
      <c r="Q64" t="s">
        <v>479</v>
      </c>
      <c r="R64" t="s">
        <v>480</v>
      </c>
      <c r="S64">
        <v>6</v>
      </c>
      <c r="T64">
        <v>61</v>
      </c>
      <c r="U64">
        <v>2.13</v>
      </c>
      <c r="V64" t="s">
        <v>481</v>
      </c>
      <c r="W64">
        <v>0</v>
      </c>
      <c r="X64">
        <v>4</v>
      </c>
      <c r="Y64" t="b">
        <v>0</v>
      </c>
      <c r="Z64">
        <v>0.83299999999999996</v>
      </c>
      <c r="AA64">
        <v>21.6</v>
      </c>
      <c r="AB64">
        <v>0</v>
      </c>
      <c r="AC64">
        <v>0</v>
      </c>
      <c r="AD64">
        <v>8</v>
      </c>
      <c r="AE64">
        <v>75</v>
      </c>
      <c r="AF64">
        <v>0.97</v>
      </c>
      <c r="AG64">
        <v>110</v>
      </c>
      <c r="AH64">
        <v>-0.68110000000000004</v>
      </c>
      <c r="AI64">
        <v>0.81499999999999995</v>
      </c>
      <c r="AJ64">
        <v>4</v>
      </c>
      <c r="AK64">
        <v>8.0000000000000002E-3</v>
      </c>
      <c r="AL64">
        <v>0.33600000000000002</v>
      </c>
      <c r="AM64">
        <v>0.7</v>
      </c>
      <c r="AN64">
        <v>0.4</v>
      </c>
      <c r="AO64">
        <v>0.8</v>
      </c>
      <c r="AP64">
        <v>0</v>
      </c>
      <c r="AQ64">
        <v>0</v>
      </c>
      <c r="AR64">
        <v>60</v>
      </c>
      <c r="AS64">
        <v>0.2</v>
      </c>
      <c r="AT64">
        <v>0</v>
      </c>
      <c r="AU64">
        <v>30</v>
      </c>
      <c r="AV64">
        <v>100</v>
      </c>
      <c r="AW64">
        <v>1</v>
      </c>
      <c r="AX64">
        <v>0.86</v>
      </c>
      <c r="AZ64" t="b">
        <v>0</v>
      </c>
      <c r="BA64">
        <v>114</v>
      </c>
      <c r="BB64">
        <v>0.98</v>
      </c>
      <c r="BC64">
        <v>1.4</v>
      </c>
      <c r="BD64">
        <v>5.0000000000000001E-3</v>
      </c>
      <c r="BE64">
        <v>0.98</v>
      </c>
      <c r="BS64">
        <v>5.9</v>
      </c>
      <c r="BX64">
        <v>30</v>
      </c>
    </row>
    <row r="65" spans="1:76" x14ac:dyDescent="0.25">
      <c r="A65" t="s">
        <v>438</v>
      </c>
      <c r="B65" t="s">
        <v>472</v>
      </c>
      <c r="C65" t="s">
        <v>477</v>
      </c>
      <c r="D65">
        <v>0.36</v>
      </c>
      <c r="E65">
        <f>1.808*1.656</f>
        <v>2.9940479999999998</v>
      </c>
      <c r="F65">
        <v>1533.5</v>
      </c>
      <c r="G65">
        <f>772.1/1000</f>
        <v>0.77210000000000001</v>
      </c>
      <c r="H65">
        <v>0.59</v>
      </c>
      <c r="I65">
        <v>2.6389999999999998</v>
      </c>
      <c r="J65">
        <v>136</v>
      </c>
      <c r="L65">
        <v>2000</v>
      </c>
      <c r="M65">
        <v>1</v>
      </c>
      <c r="N65">
        <v>562.33330000000001</v>
      </c>
      <c r="O65">
        <v>9.89</v>
      </c>
      <c r="P65">
        <v>167.33330000000001</v>
      </c>
      <c r="Q65" t="s">
        <v>479</v>
      </c>
      <c r="R65" t="s">
        <v>480</v>
      </c>
      <c r="S65">
        <v>6</v>
      </c>
      <c r="T65">
        <v>61</v>
      </c>
      <c r="U65">
        <v>2.13</v>
      </c>
      <c r="V65" t="s">
        <v>481</v>
      </c>
      <c r="W65">
        <v>0</v>
      </c>
      <c r="X65">
        <v>4</v>
      </c>
      <c r="Y65" t="b">
        <v>0</v>
      </c>
      <c r="Z65">
        <v>0.83299999999999996</v>
      </c>
      <c r="AA65">
        <v>21.6</v>
      </c>
      <c r="AB65">
        <v>0</v>
      </c>
      <c r="AC65">
        <v>0</v>
      </c>
      <c r="AD65">
        <v>8</v>
      </c>
      <c r="AE65">
        <v>75</v>
      </c>
      <c r="AF65">
        <v>0.97</v>
      </c>
      <c r="AG65">
        <v>110</v>
      </c>
      <c r="AH65">
        <v>-0.68110000000000004</v>
      </c>
      <c r="AI65">
        <v>0.81499999999999995</v>
      </c>
      <c r="AJ65">
        <v>4</v>
      </c>
      <c r="AK65">
        <v>7.4999999999999997E-3</v>
      </c>
      <c r="AL65">
        <v>0.33600000000000002</v>
      </c>
      <c r="AM65">
        <v>0.7</v>
      </c>
      <c r="AN65">
        <v>0.4</v>
      </c>
      <c r="AO65">
        <v>0.8</v>
      </c>
      <c r="AP65">
        <v>0</v>
      </c>
      <c r="AQ65">
        <v>0</v>
      </c>
      <c r="AR65">
        <v>60</v>
      </c>
      <c r="AS65">
        <v>0.2</v>
      </c>
      <c r="AT65">
        <v>0</v>
      </c>
      <c r="AU65">
        <v>30</v>
      </c>
      <c r="AV65">
        <v>100</v>
      </c>
      <c r="AW65">
        <v>1</v>
      </c>
      <c r="AX65">
        <v>0.86</v>
      </c>
      <c r="AZ65" t="b">
        <v>0</v>
      </c>
      <c r="BA65">
        <v>114</v>
      </c>
      <c r="BB65">
        <v>0.92</v>
      </c>
      <c r="BC65">
        <v>1.4</v>
      </c>
      <c r="BD65">
        <v>5.0000000000000001E-3</v>
      </c>
      <c r="BE65">
        <v>0.98</v>
      </c>
      <c r="BS65">
        <v>9.4</v>
      </c>
      <c r="BX65">
        <v>30</v>
      </c>
    </row>
    <row r="66" spans="1:76" x14ac:dyDescent="0.25">
      <c r="A66" s="44" t="s">
        <v>439</v>
      </c>
      <c r="B66" t="s">
        <v>473</v>
      </c>
      <c r="C66" t="s">
        <v>477</v>
      </c>
      <c r="D66">
        <v>0.36</v>
      </c>
      <c r="E66">
        <f>1.808*1.656</f>
        <v>2.9940479999999998</v>
      </c>
      <c r="F66">
        <v>1533.5</v>
      </c>
      <c r="G66">
        <f>686.3/1000</f>
        <v>0.68629999999999991</v>
      </c>
      <c r="H66">
        <f>2950/5750</f>
        <v>0.5130434782608696</v>
      </c>
      <c r="I66">
        <f>2870/1000</f>
        <v>2.87</v>
      </c>
      <c r="J66">
        <v>136</v>
      </c>
      <c r="L66">
        <v>2000</v>
      </c>
      <c r="M66">
        <v>1</v>
      </c>
      <c r="N66">
        <v>562.33330000000001</v>
      </c>
      <c r="O66">
        <v>9.89</v>
      </c>
      <c r="P66">
        <v>167.33330000000001</v>
      </c>
      <c r="Q66" t="s">
        <v>479</v>
      </c>
      <c r="R66" t="s">
        <v>480</v>
      </c>
      <c r="S66">
        <v>6</v>
      </c>
      <c r="T66">
        <v>61</v>
      </c>
      <c r="U66">
        <v>2.13</v>
      </c>
      <c r="V66" t="s">
        <v>481</v>
      </c>
      <c r="W66">
        <v>0</v>
      </c>
      <c r="X66">
        <v>4</v>
      </c>
      <c r="Y66" t="b">
        <v>0</v>
      </c>
      <c r="Z66">
        <v>0.83299999999999996</v>
      </c>
      <c r="AA66">
        <v>21.6</v>
      </c>
      <c r="AB66">
        <v>0</v>
      </c>
      <c r="AC66">
        <v>0</v>
      </c>
      <c r="AD66">
        <v>8</v>
      </c>
      <c r="AE66">
        <v>75</v>
      </c>
      <c r="AF66">
        <v>0.97</v>
      </c>
      <c r="AG66">
        <v>110</v>
      </c>
      <c r="AH66">
        <v>-0.68110000000000004</v>
      </c>
      <c r="AI66">
        <v>0.81499999999999995</v>
      </c>
      <c r="AJ66">
        <v>4</v>
      </c>
      <c r="AK66">
        <v>7.4999999999999997E-3</v>
      </c>
      <c r="AL66">
        <v>0.33600000000000002</v>
      </c>
      <c r="AM66">
        <v>0.7</v>
      </c>
      <c r="AN66">
        <v>0.4</v>
      </c>
      <c r="AO66">
        <v>0.8</v>
      </c>
      <c r="AP66">
        <v>0</v>
      </c>
      <c r="AQ66">
        <v>0</v>
      </c>
      <c r="AR66">
        <v>60</v>
      </c>
      <c r="AS66">
        <v>0.2</v>
      </c>
      <c r="AT66">
        <v>0</v>
      </c>
      <c r="AU66">
        <v>30</v>
      </c>
      <c r="AV66">
        <v>100</v>
      </c>
      <c r="AW66">
        <v>1</v>
      </c>
      <c r="AX66">
        <v>0.86</v>
      </c>
      <c r="AZ66" t="b">
        <v>0</v>
      </c>
      <c r="BA66">
        <v>114</v>
      </c>
      <c r="BB66">
        <v>0.98</v>
      </c>
      <c r="BC66">
        <v>1.4</v>
      </c>
      <c r="BD66">
        <v>5.0000000000000001E-3</v>
      </c>
      <c r="BE66">
        <v>0.98</v>
      </c>
      <c r="BS66">
        <v>9.4</v>
      </c>
      <c r="BX66">
        <v>30</v>
      </c>
    </row>
    <row r="67" spans="1:76" x14ac:dyDescent="0.25">
      <c r="A67" t="s">
        <v>440</v>
      </c>
      <c r="B67" t="s">
        <v>467</v>
      </c>
      <c r="C67" t="s">
        <v>477</v>
      </c>
      <c r="D67">
        <v>0.39</v>
      </c>
      <c r="E67">
        <f>1.994*1.775</f>
        <v>3.5393499999999998</v>
      </c>
      <c r="F67">
        <v>1533.5</v>
      </c>
      <c r="G67">
        <f t="shared" ref="G67:G72" si="8">772.1/1000</f>
        <v>0.77210000000000001</v>
      </c>
      <c r="H67">
        <v>0.59</v>
      </c>
      <c r="I67">
        <v>3.02</v>
      </c>
      <c r="J67">
        <v>136</v>
      </c>
      <c r="L67">
        <v>2000</v>
      </c>
      <c r="M67">
        <v>1</v>
      </c>
      <c r="N67">
        <v>562.33330000000001</v>
      </c>
      <c r="O67">
        <v>9.89</v>
      </c>
      <c r="P67">
        <v>167.33330000000001</v>
      </c>
      <c r="Q67" t="s">
        <v>479</v>
      </c>
      <c r="R67" t="s">
        <v>480</v>
      </c>
      <c r="S67">
        <v>6</v>
      </c>
      <c r="T67">
        <v>61</v>
      </c>
      <c r="U67">
        <v>2.13</v>
      </c>
      <c r="V67" t="s">
        <v>481</v>
      </c>
      <c r="W67">
        <v>0</v>
      </c>
      <c r="X67">
        <v>4</v>
      </c>
      <c r="Y67" t="b">
        <v>0</v>
      </c>
      <c r="Z67">
        <v>0.83299999999999996</v>
      </c>
      <c r="AA67">
        <v>21.6</v>
      </c>
      <c r="AB67">
        <v>0</v>
      </c>
      <c r="AC67">
        <v>0</v>
      </c>
      <c r="AD67">
        <v>8</v>
      </c>
      <c r="AE67">
        <v>75</v>
      </c>
      <c r="AF67">
        <v>0.97</v>
      </c>
      <c r="AG67">
        <v>110</v>
      </c>
      <c r="AH67">
        <v>-0.68110000000000004</v>
      </c>
      <c r="AI67">
        <v>0.81499999999999995</v>
      </c>
      <c r="AJ67">
        <v>4</v>
      </c>
      <c r="AK67">
        <v>8.0000000000000002E-3</v>
      </c>
      <c r="AL67">
        <v>0.33600000000000002</v>
      </c>
      <c r="AM67">
        <v>0.7</v>
      </c>
      <c r="AN67">
        <v>0.4</v>
      </c>
      <c r="AO67">
        <v>0.8</v>
      </c>
      <c r="AP67">
        <v>0</v>
      </c>
      <c r="AQ67">
        <v>0</v>
      </c>
      <c r="AR67">
        <v>60</v>
      </c>
      <c r="AS67">
        <v>0.2</v>
      </c>
      <c r="AT67">
        <v>0</v>
      </c>
      <c r="AU67">
        <v>30</v>
      </c>
      <c r="AV67">
        <v>100</v>
      </c>
      <c r="AW67">
        <v>1</v>
      </c>
      <c r="AX67">
        <v>0.86</v>
      </c>
      <c r="AZ67" t="b">
        <v>0</v>
      </c>
      <c r="BA67">
        <v>114</v>
      </c>
      <c r="BB67">
        <v>0.92</v>
      </c>
      <c r="BC67">
        <v>1.4</v>
      </c>
      <c r="BD67">
        <v>5.0000000000000001E-3</v>
      </c>
      <c r="BE67">
        <v>0.98</v>
      </c>
      <c r="BS67">
        <v>6.9</v>
      </c>
      <c r="BX67">
        <v>30</v>
      </c>
    </row>
    <row r="68" spans="1:76" x14ac:dyDescent="0.25">
      <c r="A68" t="s">
        <v>441</v>
      </c>
      <c r="B68" t="s">
        <v>468</v>
      </c>
      <c r="C68" t="s">
        <v>477</v>
      </c>
      <c r="D68">
        <v>0.39</v>
      </c>
      <c r="E68">
        <f>1.994*1.775</f>
        <v>3.5393499999999998</v>
      </c>
      <c r="F68">
        <v>1533.5</v>
      </c>
      <c r="G68">
        <f t="shared" si="8"/>
        <v>0.77210000000000001</v>
      </c>
      <c r="H68">
        <v>0.59</v>
      </c>
      <c r="I68">
        <v>3.02</v>
      </c>
      <c r="J68">
        <v>136</v>
      </c>
      <c r="L68">
        <v>2000</v>
      </c>
      <c r="M68">
        <v>1</v>
      </c>
      <c r="N68">
        <v>562.33330000000001</v>
      </c>
      <c r="O68">
        <v>9.89</v>
      </c>
      <c r="P68">
        <v>167.33330000000001</v>
      </c>
      <c r="Q68" t="s">
        <v>479</v>
      </c>
      <c r="R68" t="s">
        <v>480</v>
      </c>
      <c r="S68">
        <v>6</v>
      </c>
      <c r="T68">
        <v>61</v>
      </c>
      <c r="U68">
        <v>2.13</v>
      </c>
      <c r="V68" t="s">
        <v>481</v>
      </c>
      <c r="W68">
        <v>0</v>
      </c>
      <c r="X68">
        <v>4</v>
      </c>
      <c r="Y68" t="b">
        <v>0</v>
      </c>
      <c r="Z68">
        <v>0.83299999999999996</v>
      </c>
      <c r="AA68">
        <v>21.6</v>
      </c>
      <c r="AB68">
        <v>0</v>
      </c>
      <c r="AC68">
        <v>0</v>
      </c>
      <c r="AD68">
        <v>8</v>
      </c>
      <c r="AE68">
        <v>75</v>
      </c>
      <c r="AF68">
        <v>0.97</v>
      </c>
      <c r="AG68">
        <v>110</v>
      </c>
      <c r="AH68">
        <v>-0.68110000000000004</v>
      </c>
      <c r="AI68">
        <v>0.81499999999999995</v>
      </c>
      <c r="AJ68">
        <v>4</v>
      </c>
      <c r="AK68">
        <v>8.0000000000000002E-3</v>
      </c>
      <c r="AL68">
        <v>0.33600000000000002</v>
      </c>
      <c r="AM68">
        <v>0.7</v>
      </c>
      <c r="AN68">
        <v>0.4</v>
      </c>
      <c r="AO68">
        <v>0.8</v>
      </c>
      <c r="AP68">
        <v>0</v>
      </c>
      <c r="AQ68">
        <v>0</v>
      </c>
      <c r="AR68">
        <v>60</v>
      </c>
      <c r="AS68">
        <v>0.2</v>
      </c>
      <c r="AT68">
        <v>0</v>
      </c>
      <c r="AU68">
        <v>30</v>
      </c>
      <c r="AV68">
        <v>100</v>
      </c>
      <c r="AW68">
        <v>1</v>
      </c>
      <c r="AX68">
        <v>0.86</v>
      </c>
      <c r="AZ68" t="b">
        <v>0</v>
      </c>
      <c r="BA68">
        <v>114</v>
      </c>
      <c r="BB68">
        <v>0.98</v>
      </c>
      <c r="BC68">
        <v>1.4</v>
      </c>
      <c r="BD68">
        <v>5.0000000000000001E-3</v>
      </c>
      <c r="BE68">
        <v>0.98</v>
      </c>
      <c r="BS68">
        <v>6.9</v>
      </c>
      <c r="BX68">
        <v>30</v>
      </c>
    </row>
    <row r="69" spans="1:76" x14ac:dyDescent="0.25">
      <c r="A69" t="s">
        <v>442</v>
      </c>
      <c r="B69" t="s">
        <v>472</v>
      </c>
      <c r="C69" t="s">
        <v>477</v>
      </c>
      <c r="D69">
        <v>0.35</v>
      </c>
      <c r="E69">
        <f>1.775*1.646</f>
        <v>2.9216499999999996</v>
      </c>
      <c r="F69">
        <v>1533.5</v>
      </c>
      <c r="G69">
        <f t="shared" si="8"/>
        <v>0.77210000000000001</v>
      </c>
      <c r="H69">
        <v>0.59</v>
      </c>
      <c r="I69">
        <v>2.5550000000000002</v>
      </c>
      <c r="J69">
        <v>136</v>
      </c>
      <c r="L69">
        <v>2000</v>
      </c>
      <c r="M69">
        <v>1</v>
      </c>
      <c r="N69">
        <v>562.33330000000001</v>
      </c>
      <c r="O69">
        <v>9.89</v>
      </c>
      <c r="P69">
        <v>167.33330000000001</v>
      </c>
      <c r="Q69" t="s">
        <v>479</v>
      </c>
      <c r="R69" t="s">
        <v>480</v>
      </c>
      <c r="S69">
        <v>6</v>
      </c>
      <c r="T69">
        <v>61</v>
      </c>
      <c r="U69">
        <v>2.13</v>
      </c>
      <c r="V69" t="s">
        <v>481</v>
      </c>
      <c r="W69">
        <v>0</v>
      </c>
      <c r="X69">
        <v>4</v>
      </c>
      <c r="Y69" t="b">
        <v>0</v>
      </c>
      <c r="Z69">
        <v>0.83299999999999996</v>
      </c>
      <c r="AA69">
        <v>21.6</v>
      </c>
      <c r="AB69">
        <v>0</v>
      </c>
      <c r="AC69">
        <v>0</v>
      </c>
      <c r="AD69">
        <v>8</v>
      </c>
      <c r="AE69">
        <v>75</v>
      </c>
      <c r="AF69">
        <v>0.97</v>
      </c>
      <c r="AG69">
        <v>110</v>
      </c>
      <c r="AH69">
        <v>-0.68110000000000004</v>
      </c>
      <c r="AI69">
        <v>0.81499999999999995</v>
      </c>
      <c r="AJ69">
        <v>4</v>
      </c>
      <c r="AK69">
        <v>7.4999999999999997E-3</v>
      </c>
      <c r="AL69">
        <v>0.33600000000000002</v>
      </c>
      <c r="AM69">
        <v>0.7</v>
      </c>
      <c r="AN69">
        <v>0.4</v>
      </c>
      <c r="AO69">
        <v>0.8</v>
      </c>
      <c r="AP69">
        <v>0</v>
      </c>
      <c r="AQ69">
        <v>0</v>
      </c>
      <c r="AR69">
        <v>60</v>
      </c>
      <c r="AS69">
        <v>0.2</v>
      </c>
      <c r="AT69">
        <v>0</v>
      </c>
      <c r="AU69">
        <v>30</v>
      </c>
      <c r="AV69">
        <v>100</v>
      </c>
      <c r="AW69">
        <v>1</v>
      </c>
      <c r="AX69">
        <v>0.86</v>
      </c>
      <c r="AZ69" t="b">
        <v>0</v>
      </c>
      <c r="BA69">
        <v>114</v>
      </c>
      <c r="BB69">
        <v>0.92</v>
      </c>
      <c r="BC69">
        <v>1.4</v>
      </c>
      <c r="BD69">
        <v>5.0000000000000001E-3</v>
      </c>
      <c r="BE69">
        <v>0.98</v>
      </c>
      <c r="BS69">
        <v>9.3000000000000007</v>
      </c>
      <c r="BX69">
        <v>30</v>
      </c>
    </row>
    <row r="70" spans="1:76" x14ac:dyDescent="0.25">
      <c r="A70" t="s">
        <v>443</v>
      </c>
      <c r="B70" t="s">
        <v>473</v>
      </c>
      <c r="C70" t="s">
        <v>477</v>
      </c>
      <c r="D70">
        <v>0.35</v>
      </c>
      <c r="E70">
        <f>1.775*1.646</f>
        <v>2.9216499999999996</v>
      </c>
      <c r="F70">
        <v>1533.5</v>
      </c>
      <c r="G70">
        <f t="shared" si="8"/>
        <v>0.77210000000000001</v>
      </c>
      <c r="H70">
        <v>0.59</v>
      </c>
      <c r="I70">
        <v>2.5550000000000002</v>
      </c>
      <c r="J70">
        <v>136</v>
      </c>
      <c r="L70">
        <v>2000</v>
      </c>
      <c r="M70">
        <v>1</v>
      </c>
      <c r="N70">
        <v>562.33330000000001</v>
      </c>
      <c r="O70">
        <v>9.89</v>
      </c>
      <c r="P70">
        <v>167.33330000000001</v>
      </c>
      <c r="Q70" t="s">
        <v>479</v>
      </c>
      <c r="R70" t="s">
        <v>480</v>
      </c>
      <c r="S70">
        <v>6</v>
      </c>
      <c r="T70">
        <v>61</v>
      </c>
      <c r="U70">
        <v>2.13</v>
      </c>
      <c r="V70" t="s">
        <v>481</v>
      </c>
      <c r="W70">
        <v>0</v>
      </c>
      <c r="X70">
        <v>4</v>
      </c>
      <c r="Y70" t="b">
        <v>0</v>
      </c>
      <c r="Z70">
        <v>0.83299999999999996</v>
      </c>
      <c r="AA70">
        <v>21.6</v>
      </c>
      <c r="AB70">
        <v>0</v>
      </c>
      <c r="AC70">
        <v>0</v>
      </c>
      <c r="AD70">
        <v>8</v>
      </c>
      <c r="AE70">
        <v>75</v>
      </c>
      <c r="AF70">
        <v>0.97</v>
      </c>
      <c r="AG70">
        <v>110</v>
      </c>
      <c r="AH70">
        <v>-0.68110000000000004</v>
      </c>
      <c r="AI70">
        <v>0.81499999999999995</v>
      </c>
      <c r="AJ70">
        <v>4</v>
      </c>
      <c r="AK70">
        <v>7.4999999999999997E-3</v>
      </c>
      <c r="AL70">
        <v>0.33600000000000002</v>
      </c>
      <c r="AM70">
        <v>0.7</v>
      </c>
      <c r="AN70">
        <v>0.4</v>
      </c>
      <c r="AO70">
        <v>0.8</v>
      </c>
      <c r="AP70">
        <v>0</v>
      </c>
      <c r="AQ70">
        <v>0</v>
      </c>
      <c r="AR70">
        <v>60</v>
      </c>
      <c r="AS70">
        <v>0.2</v>
      </c>
      <c r="AT70">
        <v>0</v>
      </c>
      <c r="AU70">
        <v>30</v>
      </c>
      <c r="AV70">
        <v>100</v>
      </c>
      <c r="AW70">
        <v>1</v>
      </c>
      <c r="AX70">
        <v>0.86</v>
      </c>
      <c r="AZ70" t="b">
        <v>0</v>
      </c>
      <c r="BA70">
        <v>114</v>
      </c>
      <c r="BB70">
        <v>0.98</v>
      </c>
      <c r="BC70">
        <v>1.4</v>
      </c>
      <c r="BD70">
        <v>5.0000000000000001E-3</v>
      </c>
      <c r="BE70">
        <v>0.98</v>
      </c>
      <c r="BS70">
        <v>9.3000000000000007</v>
      </c>
      <c r="BX70">
        <v>30</v>
      </c>
    </row>
    <row r="71" spans="1:76" x14ac:dyDescent="0.25">
      <c r="A71" t="s">
        <v>444</v>
      </c>
      <c r="B71" t="s">
        <v>467</v>
      </c>
      <c r="C71" t="s">
        <v>477</v>
      </c>
      <c r="D71">
        <v>0.34399999999999997</v>
      </c>
      <c r="E71">
        <f>75*0.0254*67*0.0254</f>
        <v>3.2419289999999998</v>
      </c>
      <c r="F71">
        <v>1533.5</v>
      </c>
      <c r="G71">
        <f t="shared" si="8"/>
        <v>0.77210000000000001</v>
      </c>
      <c r="H71">
        <v>0.59</v>
      </c>
      <c r="I71">
        <f>112.5*0.0254</f>
        <v>2.8574999999999999</v>
      </c>
      <c r="J71">
        <v>136</v>
      </c>
      <c r="L71">
        <v>2000</v>
      </c>
      <c r="M71">
        <v>1</v>
      </c>
      <c r="N71">
        <v>562.33330000000001</v>
      </c>
      <c r="O71">
        <v>9.89</v>
      </c>
      <c r="P71">
        <v>167.33330000000001</v>
      </c>
      <c r="Q71" t="s">
        <v>479</v>
      </c>
      <c r="R71" t="s">
        <v>480</v>
      </c>
      <c r="S71">
        <v>6</v>
      </c>
      <c r="T71">
        <v>61</v>
      </c>
      <c r="U71">
        <v>2.13</v>
      </c>
      <c r="V71" t="s">
        <v>481</v>
      </c>
      <c r="W71">
        <v>0</v>
      </c>
      <c r="X71">
        <v>4</v>
      </c>
      <c r="Y71" t="b">
        <v>0</v>
      </c>
      <c r="Z71">
        <v>0.83299999999999996</v>
      </c>
      <c r="AA71">
        <v>21.6</v>
      </c>
      <c r="AB71">
        <v>0</v>
      </c>
      <c r="AC71">
        <v>0</v>
      </c>
      <c r="AD71">
        <v>8</v>
      </c>
      <c r="AE71">
        <v>75</v>
      </c>
      <c r="AF71">
        <v>0.97</v>
      </c>
      <c r="AG71">
        <v>110</v>
      </c>
      <c r="AH71">
        <v>-0.68110000000000004</v>
      </c>
      <c r="AI71">
        <v>0.81499999999999995</v>
      </c>
      <c r="AJ71">
        <v>4</v>
      </c>
      <c r="AK71">
        <v>8.0000000000000002E-3</v>
      </c>
      <c r="AL71">
        <v>0.33600000000000002</v>
      </c>
      <c r="AM71">
        <v>0.7</v>
      </c>
      <c r="AN71">
        <v>0.4</v>
      </c>
      <c r="AO71">
        <v>0.8</v>
      </c>
      <c r="AP71">
        <v>0</v>
      </c>
      <c r="AQ71">
        <v>0</v>
      </c>
      <c r="AR71">
        <v>60</v>
      </c>
      <c r="AS71">
        <v>0.2</v>
      </c>
      <c r="AT71">
        <v>0</v>
      </c>
      <c r="AU71">
        <v>30</v>
      </c>
      <c r="AV71">
        <v>100</v>
      </c>
      <c r="AW71">
        <v>1</v>
      </c>
      <c r="AX71">
        <v>0.86</v>
      </c>
      <c r="AZ71" t="b">
        <v>0</v>
      </c>
      <c r="BA71">
        <v>114</v>
      </c>
      <c r="BB71">
        <v>0.92</v>
      </c>
      <c r="BC71">
        <v>1.4</v>
      </c>
      <c r="BD71">
        <v>5.0000000000000001E-3</v>
      </c>
      <c r="BE71">
        <v>0.98</v>
      </c>
      <c r="BS71">
        <v>8.6999999999999993</v>
      </c>
      <c r="BX71">
        <v>30</v>
      </c>
    </row>
    <row r="72" spans="1:76" x14ac:dyDescent="0.25">
      <c r="A72" t="s">
        <v>445</v>
      </c>
      <c r="B72" t="s">
        <v>468</v>
      </c>
      <c r="C72" t="s">
        <v>477</v>
      </c>
      <c r="D72">
        <v>0.34399999999999997</v>
      </c>
      <c r="E72">
        <f>75*0.0254*67*0.0254</f>
        <v>3.2419289999999998</v>
      </c>
      <c r="F72">
        <v>1533.5</v>
      </c>
      <c r="G72">
        <f t="shared" si="8"/>
        <v>0.77210000000000001</v>
      </c>
      <c r="H72">
        <v>0.59</v>
      </c>
      <c r="I72">
        <f>112.5*0.0254</f>
        <v>2.8574999999999999</v>
      </c>
      <c r="J72">
        <v>136</v>
      </c>
      <c r="L72">
        <v>2000</v>
      </c>
      <c r="M72">
        <v>1</v>
      </c>
      <c r="N72">
        <v>562.33330000000001</v>
      </c>
      <c r="O72">
        <v>9.89</v>
      </c>
      <c r="P72">
        <v>167.33330000000001</v>
      </c>
      <c r="Q72" t="s">
        <v>479</v>
      </c>
      <c r="R72" t="s">
        <v>480</v>
      </c>
      <c r="S72">
        <v>6</v>
      </c>
      <c r="T72">
        <v>61</v>
      </c>
      <c r="U72">
        <v>2.13</v>
      </c>
      <c r="V72" t="s">
        <v>481</v>
      </c>
      <c r="W72">
        <v>0</v>
      </c>
      <c r="X72">
        <v>4</v>
      </c>
      <c r="Y72" t="b">
        <v>0</v>
      </c>
      <c r="Z72">
        <v>0.83299999999999996</v>
      </c>
      <c r="AA72">
        <v>21.6</v>
      </c>
      <c r="AB72">
        <v>0</v>
      </c>
      <c r="AC72">
        <v>0</v>
      </c>
      <c r="AD72">
        <v>8</v>
      </c>
      <c r="AE72">
        <v>75</v>
      </c>
      <c r="AF72">
        <v>0.97</v>
      </c>
      <c r="AG72">
        <v>110</v>
      </c>
      <c r="AH72">
        <v>-0.68110000000000004</v>
      </c>
      <c r="AI72">
        <v>0.81499999999999995</v>
      </c>
      <c r="AJ72">
        <v>4</v>
      </c>
      <c r="AK72">
        <v>8.0000000000000002E-3</v>
      </c>
      <c r="AL72">
        <v>0.33600000000000002</v>
      </c>
      <c r="AM72">
        <v>0.7</v>
      </c>
      <c r="AN72">
        <v>0.4</v>
      </c>
      <c r="AO72">
        <v>0.8</v>
      </c>
      <c r="AP72">
        <v>0</v>
      </c>
      <c r="AQ72">
        <v>0</v>
      </c>
      <c r="AR72">
        <v>60</v>
      </c>
      <c r="AS72">
        <v>0.2</v>
      </c>
      <c r="AT72">
        <v>0</v>
      </c>
      <c r="AU72">
        <v>30</v>
      </c>
      <c r="AV72">
        <v>100</v>
      </c>
      <c r="AW72">
        <v>1</v>
      </c>
      <c r="AX72">
        <v>0.86</v>
      </c>
      <c r="AZ72" t="b">
        <v>0</v>
      </c>
      <c r="BA72">
        <v>114</v>
      </c>
      <c r="BB72">
        <v>0.98</v>
      </c>
      <c r="BC72">
        <v>1.4</v>
      </c>
      <c r="BD72">
        <v>5.0000000000000001E-3</v>
      </c>
      <c r="BE72">
        <v>0.98</v>
      </c>
      <c r="BS72">
        <v>8.6999999999999993</v>
      </c>
      <c r="BX72">
        <v>30</v>
      </c>
    </row>
    <row r="73" spans="1:76" x14ac:dyDescent="0.25">
      <c r="A73" t="s">
        <v>446</v>
      </c>
      <c r="B73" t="s">
        <v>474</v>
      </c>
      <c r="C73" t="s">
        <v>477</v>
      </c>
      <c r="D73">
        <v>0.55000000000000004</v>
      </c>
      <c r="E73">
        <f>75*82*0.0254*0.0254</f>
        <v>3.9677339999999992</v>
      </c>
      <c r="G73">
        <f>603.8/1000</f>
        <v>0.6038</v>
      </c>
      <c r="H73">
        <v>0.59</v>
      </c>
      <c r="I73">
        <f>131*0.0254</f>
        <v>3.3273999999999999</v>
      </c>
      <c r="J73">
        <v>136</v>
      </c>
      <c r="L73">
        <v>2000</v>
      </c>
      <c r="M73">
        <v>1</v>
      </c>
      <c r="O73">
        <v>9.89</v>
      </c>
      <c r="Q73" t="s">
        <v>479</v>
      </c>
      <c r="R73" t="s">
        <v>480</v>
      </c>
      <c r="S73">
        <v>6</v>
      </c>
      <c r="T73">
        <v>61</v>
      </c>
      <c r="U73">
        <v>2.13</v>
      </c>
      <c r="V73" t="s">
        <v>481</v>
      </c>
      <c r="W73">
        <v>0</v>
      </c>
      <c r="X73">
        <v>4</v>
      </c>
      <c r="Y73" t="b">
        <v>0</v>
      </c>
      <c r="Z73">
        <v>0.83299999999999996</v>
      </c>
      <c r="AA73">
        <v>21.6</v>
      </c>
      <c r="AB73">
        <v>0</v>
      </c>
      <c r="AC73">
        <v>0</v>
      </c>
      <c r="AD73">
        <v>8</v>
      </c>
      <c r="AE73">
        <v>75</v>
      </c>
      <c r="AF73">
        <v>0.97</v>
      </c>
      <c r="AG73">
        <v>110</v>
      </c>
      <c r="AH73">
        <v>-0.68110000000000004</v>
      </c>
      <c r="AI73">
        <v>0.81499999999999995</v>
      </c>
      <c r="AJ73">
        <v>4</v>
      </c>
      <c r="AK73">
        <v>8.0000000000000002E-3</v>
      </c>
      <c r="AL73">
        <v>0.33600000000000002</v>
      </c>
      <c r="AM73">
        <v>0.7</v>
      </c>
      <c r="AN73">
        <v>0.4</v>
      </c>
      <c r="AO73">
        <v>0.8</v>
      </c>
      <c r="AP73">
        <v>0</v>
      </c>
      <c r="AQ73">
        <v>0</v>
      </c>
      <c r="AR73">
        <v>60</v>
      </c>
      <c r="AS73">
        <v>0.2</v>
      </c>
      <c r="AT73">
        <v>0</v>
      </c>
      <c r="AU73">
        <v>30</v>
      </c>
      <c r="AV73">
        <v>100</v>
      </c>
      <c r="AW73">
        <v>1</v>
      </c>
      <c r="AX73">
        <v>0.86</v>
      </c>
      <c r="AZ73" t="b">
        <v>0</v>
      </c>
      <c r="BA73">
        <v>114</v>
      </c>
      <c r="BB73">
        <v>0.92</v>
      </c>
      <c r="BC73">
        <v>1.4</v>
      </c>
      <c r="BD73">
        <v>5.0000000000000001E-3</v>
      </c>
      <c r="BE73">
        <v>0.98</v>
      </c>
      <c r="BS73">
        <v>6.8</v>
      </c>
      <c r="BX73">
        <v>30</v>
      </c>
    </row>
    <row r="74" spans="1:76" x14ac:dyDescent="0.25">
      <c r="A74" t="s">
        <v>447</v>
      </c>
      <c r="B74" t="s">
        <v>475</v>
      </c>
      <c r="C74" t="s">
        <v>477</v>
      </c>
      <c r="D74">
        <v>0.55000000000000004</v>
      </c>
      <c r="E74">
        <f>75*82*0.0254*0.0254</f>
        <v>3.9677339999999992</v>
      </c>
      <c r="G74">
        <f>603.8/1000</f>
        <v>0.6038</v>
      </c>
      <c r="H74">
        <v>0.59</v>
      </c>
      <c r="I74">
        <f>131*0.0254</f>
        <v>3.3273999999999999</v>
      </c>
      <c r="J74">
        <v>136</v>
      </c>
      <c r="L74">
        <v>2000</v>
      </c>
      <c r="M74">
        <v>1</v>
      </c>
      <c r="O74">
        <v>9.89</v>
      </c>
      <c r="Q74" t="s">
        <v>479</v>
      </c>
      <c r="R74" t="s">
        <v>480</v>
      </c>
      <c r="S74">
        <v>6</v>
      </c>
      <c r="T74">
        <v>61</v>
      </c>
      <c r="U74">
        <v>2.13</v>
      </c>
      <c r="V74" t="s">
        <v>481</v>
      </c>
      <c r="W74">
        <v>0</v>
      </c>
      <c r="X74">
        <v>4</v>
      </c>
      <c r="Y74" t="b">
        <v>0</v>
      </c>
      <c r="Z74">
        <v>0.83299999999999996</v>
      </c>
      <c r="AA74">
        <v>21.6</v>
      </c>
      <c r="AB74">
        <v>0</v>
      </c>
      <c r="AC74">
        <v>0</v>
      </c>
      <c r="AD74">
        <v>8</v>
      </c>
      <c r="AE74">
        <v>75</v>
      </c>
      <c r="AF74">
        <v>0.97</v>
      </c>
      <c r="AG74">
        <v>110</v>
      </c>
      <c r="AH74">
        <v>-0.68110000000000004</v>
      </c>
      <c r="AI74">
        <v>0.81499999999999995</v>
      </c>
      <c r="AJ74">
        <v>4</v>
      </c>
      <c r="AK74">
        <v>8.0000000000000002E-3</v>
      </c>
      <c r="AL74">
        <v>0.33600000000000002</v>
      </c>
      <c r="AM74">
        <v>0.7</v>
      </c>
      <c r="AN74">
        <v>0.4</v>
      </c>
      <c r="AO74">
        <v>0.8</v>
      </c>
      <c r="AP74">
        <v>0</v>
      </c>
      <c r="AQ74">
        <v>0</v>
      </c>
      <c r="AR74">
        <v>60</v>
      </c>
      <c r="AS74">
        <v>0.2</v>
      </c>
      <c r="AT74">
        <v>0</v>
      </c>
      <c r="AU74">
        <v>30</v>
      </c>
      <c r="AV74">
        <v>100</v>
      </c>
      <c r="AW74">
        <v>1</v>
      </c>
      <c r="AX74">
        <v>0.86</v>
      </c>
      <c r="AZ74" t="b">
        <v>0</v>
      </c>
      <c r="BA74">
        <v>114</v>
      </c>
      <c r="BB74">
        <v>0.98</v>
      </c>
      <c r="BC74">
        <v>1.4</v>
      </c>
      <c r="BD74">
        <v>5.0000000000000001E-3</v>
      </c>
      <c r="BE74">
        <v>0.98</v>
      </c>
      <c r="BS74">
        <v>6.8</v>
      </c>
      <c r="BX74">
        <v>30</v>
      </c>
    </row>
    <row r="75" spans="1:76" x14ac:dyDescent="0.25">
      <c r="A75" t="s">
        <v>448</v>
      </c>
      <c r="B75" t="s">
        <v>478</v>
      </c>
      <c r="C75" t="s">
        <v>477</v>
      </c>
      <c r="D75">
        <v>0.5</v>
      </c>
      <c r="E75">
        <f>79*85*0.0254*0.0254</f>
        <v>4.3322494000000003</v>
      </c>
      <c r="G75">
        <f>603.8/1000</f>
        <v>0.6038</v>
      </c>
      <c r="H75">
        <v>0.59</v>
      </c>
      <c r="I75">
        <f>135*0.0254</f>
        <v>3.4289999999999998</v>
      </c>
      <c r="J75">
        <v>136</v>
      </c>
      <c r="L75">
        <v>2000</v>
      </c>
      <c r="M75">
        <v>1</v>
      </c>
      <c r="O75">
        <v>9.89</v>
      </c>
      <c r="Q75" t="s">
        <v>479</v>
      </c>
      <c r="R75" t="s">
        <v>480</v>
      </c>
      <c r="S75">
        <v>6</v>
      </c>
      <c r="T75">
        <v>61</v>
      </c>
      <c r="U75">
        <v>2.13</v>
      </c>
      <c r="V75" t="s">
        <v>481</v>
      </c>
      <c r="W75">
        <v>0</v>
      </c>
      <c r="X75">
        <v>4</v>
      </c>
      <c r="Y75" t="b">
        <v>0</v>
      </c>
      <c r="Z75">
        <v>0.83299999999999996</v>
      </c>
      <c r="AA75">
        <v>21.6</v>
      </c>
      <c r="AB75">
        <v>0</v>
      </c>
      <c r="AC75">
        <v>0</v>
      </c>
      <c r="AD75">
        <v>8</v>
      </c>
      <c r="AE75">
        <v>75</v>
      </c>
      <c r="AF75">
        <v>0.97</v>
      </c>
      <c r="AG75">
        <v>110</v>
      </c>
      <c r="AH75">
        <v>-0.68110000000000004</v>
      </c>
      <c r="AI75">
        <v>0.81499999999999995</v>
      </c>
      <c r="AJ75">
        <v>4</v>
      </c>
      <c r="AK75">
        <v>8.0000000000000002E-3</v>
      </c>
      <c r="AL75">
        <v>0.33600000000000002</v>
      </c>
      <c r="AM75">
        <v>0.7</v>
      </c>
      <c r="AN75">
        <v>0.4</v>
      </c>
      <c r="AO75">
        <v>0.8</v>
      </c>
      <c r="AP75">
        <v>0</v>
      </c>
      <c r="AQ75">
        <v>0</v>
      </c>
      <c r="AR75">
        <v>60</v>
      </c>
      <c r="AS75">
        <v>0.2</v>
      </c>
      <c r="AT75">
        <v>0</v>
      </c>
      <c r="AU75">
        <v>30</v>
      </c>
      <c r="AV75">
        <v>100</v>
      </c>
      <c r="AW75">
        <v>1</v>
      </c>
      <c r="AX75">
        <v>0.86</v>
      </c>
      <c r="AZ75" t="b">
        <v>0</v>
      </c>
      <c r="BA75">
        <v>114</v>
      </c>
      <c r="BB75">
        <v>0.95</v>
      </c>
      <c r="BC75">
        <v>1.4</v>
      </c>
      <c r="BD75">
        <v>5.0000000000000001E-3</v>
      </c>
      <c r="BE75">
        <v>0.98</v>
      </c>
      <c r="BS75">
        <v>8.4</v>
      </c>
      <c r="BX75">
        <v>30</v>
      </c>
    </row>
    <row r="76" spans="1:76" x14ac:dyDescent="0.25">
      <c r="A76" t="s">
        <v>449</v>
      </c>
      <c r="B76" t="s">
        <v>469</v>
      </c>
      <c r="C76" t="s">
        <v>477</v>
      </c>
      <c r="D76">
        <v>0.55000000000000004</v>
      </c>
      <c r="E76">
        <f>2.063*1.92</f>
        <v>3.96096</v>
      </c>
      <c r="G76">
        <f t="shared" ref="G76:G84" si="9">744.5/1000</f>
        <v>0.74450000000000005</v>
      </c>
      <c r="H76">
        <v>0.59</v>
      </c>
      <c r="I76">
        <f>147.4*0.0254</f>
        <v>3.74396</v>
      </c>
      <c r="J76">
        <v>136</v>
      </c>
      <c r="L76">
        <v>2000</v>
      </c>
      <c r="M76">
        <v>1</v>
      </c>
      <c r="O76">
        <v>9.89</v>
      </c>
      <c r="Q76" t="s">
        <v>479</v>
      </c>
      <c r="R76" t="s">
        <v>480</v>
      </c>
      <c r="S76">
        <v>6</v>
      </c>
      <c r="T76">
        <v>61</v>
      </c>
      <c r="U76">
        <v>2.13</v>
      </c>
      <c r="V76" t="s">
        <v>481</v>
      </c>
      <c r="W76">
        <v>0</v>
      </c>
      <c r="X76">
        <v>4</v>
      </c>
      <c r="Y76" t="b">
        <v>0</v>
      </c>
      <c r="Z76">
        <v>0.83299999999999996</v>
      </c>
      <c r="AA76">
        <v>21.6</v>
      </c>
      <c r="AB76">
        <v>0</v>
      </c>
      <c r="AC76">
        <v>0</v>
      </c>
      <c r="AD76">
        <v>8</v>
      </c>
      <c r="AE76">
        <v>75</v>
      </c>
      <c r="AF76">
        <v>0.97</v>
      </c>
      <c r="AG76">
        <v>110</v>
      </c>
      <c r="AH76">
        <v>-0.68110000000000004</v>
      </c>
      <c r="AI76">
        <v>0.81499999999999995</v>
      </c>
      <c r="AJ76">
        <v>4</v>
      </c>
      <c r="AK76">
        <v>8.2000000000000007E-3</v>
      </c>
      <c r="AL76">
        <v>0.33600000000000002</v>
      </c>
      <c r="AM76">
        <v>0.7</v>
      </c>
      <c r="AN76">
        <v>0.4</v>
      </c>
      <c r="AO76">
        <v>0.8</v>
      </c>
      <c r="AP76">
        <v>0</v>
      </c>
      <c r="AQ76">
        <v>0</v>
      </c>
      <c r="AR76">
        <v>60</v>
      </c>
      <c r="AS76">
        <v>0.2</v>
      </c>
      <c r="AT76">
        <v>0</v>
      </c>
      <c r="AU76">
        <v>30</v>
      </c>
      <c r="AV76">
        <v>100</v>
      </c>
      <c r="AW76">
        <v>1</v>
      </c>
      <c r="AX76">
        <v>0.86</v>
      </c>
      <c r="AZ76" t="b">
        <v>0</v>
      </c>
      <c r="BA76">
        <v>114</v>
      </c>
      <c r="BB76">
        <v>0.92</v>
      </c>
      <c r="BC76">
        <v>1.4</v>
      </c>
      <c r="BD76">
        <v>5.0000000000000001E-3</v>
      </c>
      <c r="BE76">
        <v>0.98</v>
      </c>
      <c r="BS76">
        <v>5.5</v>
      </c>
      <c r="BX76">
        <v>30</v>
      </c>
    </row>
    <row r="77" spans="1:76" x14ac:dyDescent="0.25">
      <c r="A77" t="s">
        <v>450</v>
      </c>
      <c r="B77" t="s">
        <v>469</v>
      </c>
      <c r="C77" t="s">
        <v>477</v>
      </c>
      <c r="D77">
        <v>0.55000000000000004</v>
      </c>
      <c r="E77">
        <f>2.063*1.92</f>
        <v>3.96096</v>
      </c>
      <c r="G77">
        <f t="shared" si="9"/>
        <v>0.74450000000000005</v>
      </c>
      <c r="H77">
        <v>0.59</v>
      </c>
      <c r="I77">
        <f t="shared" ref="I77:I82" si="10">147.4*0.0254</f>
        <v>3.74396</v>
      </c>
      <c r="J77">
        <v>136</v>
      </c>
      <c r="L77">
        <v>2000</v>
      </c>
      <c r="M77">
        <v>1</v>
      </c>
      <c r="O77">
        <v>9.89</v>
      </c>
      <c r="Q77" t="s">
        <v>479</v>
      </c>
      <c r="R77" t="s">
        <v>480</v>
      </c>
      <c r="S77">
        <v>6</v>
      </c>
      <c r="T77">
        <v>61</v>
      </c>
      <c r="U77">
        <v>2.13</v>
      </c>
      <c r="V77" t="s">
        <v>481</v>
      </c>
      <c r="W77">
        <v>0</v>
      </c>
      <c r="X77">
        <v>4</v>
      </c>
      <c r="Y77" t="b">
        <v>0</v>
      </c>
      <c r="Z77">
        <v>0.83299999999999996</v>
      </c>
      <c r="AA77">
        <v>21.6</v>
      </c>
      <c r="AB77">
        <v>0</v>
      </c>
      <c r="AC77">
        <v>0</v>
      </c>
      <c r="AD77">
        <v>8</v>
      </c>
      <c r="AE77">
        <v>75</v>
      </c>
      <c r="AF77">
        <v>0.97</v>
      </c>
      <c r="AG77">
        <v>110</v>
      </c>
      <c r="AH77">
        <v>-0.68110000000000004</v>
      </c>
      <c r="AI77">
        <v>0.81499999999999995</v>
      </c>
      <c r="AJ77">
        <v>4</v>
      </c>
      <c r="AK77">
        <v>8.2000000000000007E-3</v>
      </c>
      <c r="AL77">
        <v>0.33600000000000002</v>
      </c>
      <c r="AM77">
        <v>0.7</v>
      </c>
      <c r="AN77">
        <v>0.4</v>
      </c>
      <c r="AO77">
        <v>0.8</v>
      </c>
      <c r="AP77">
        <v>0</v>
      </c>
      <c r="AQ77">
        <v>0</v>
      </c>
      <c r="AR77">
        <v>60</v>
      </c>
      <c r="AS77">
        <v>0.2</v>
      </c>
      <c r="AT77">
        <v>0</v>
      </c>
      <c r="AU77">
        <v>30</v>
      </c>
      <c r="AV77">
        <v>100</v>
      </c>
      <c r="AW77">
        <v>1</v>
      </c>
      <c r="AX77">
        <v>0.86</v>
      </c>
      <c r="AZ77" t="b">
        <v>0</v>
      </c>
      <c r="BA77">
        <v>114</v>
      </c>
      <c r="BB77">
        <v>0.92</v>
      </c>
      <c r="BC77">
        <v>1.4</v>
      </c>
      <c r="BD77">
        <v>5.0000000000000001E-3</v>
      </c>
      <c r="BE77">
        <v>0.98</v>
      </c>
      <c r="BS77">
        <v>5.5</v>
      </c>
      <c r="BX77">
        <v>30</v>
      </c>
    </row>
    <row r="78" spans="1:76" x14ac:dyDescent="0.25">
      <c r="A78" t="s">
        <v>451</v>
      </c>
      <c r="B78" t="s">
        <v>470</v>
      </c>
      <c r="C78" t="s">
        <v>477</v>
      </c>
      <c r="D78">
        <v>0.55000000000000004</v>
      </c>
      <c r="E78">
        <f t="shared" ref="E78:E84" si="11">82*83*0.0254*0.0254</f>
        <v>4.3909589599999999</v>
      </c>
      <c r="G78">
        <f t="shared" si="9"/>
        <v>0.74450000000000005</v>
      </c>
      <c r="H78">
        <v>0.59</v>
      </c>
      <c r="I78">
        <f t="shared" si="10"/>
        <v>3.74396</v>
      </c>
      <c r="J78">
        <v>136</v>
      </c>
      <c r="L78">
        <v>2000</v>
      </c>
      <c r="M78">
        <v>1</v>
      </c>
      <c r="O78">
        <v>9.89</v>
      </c>
      <c r="Q78" t="s">
        <v>479</v>
      </c>
      <c r="R78" t="s">
        <v>480</v>
      </c>
      <c r="S78">
        <v>6</v>
      </c>
      <c r="T78">
        <v>61</v>
      </c>
      <c r="U78">
        <v>2.13</v>
      </c>
      <c r="V78" t="s">
        <v>481</v>
      </c>
      <c r="W78">
        <v>0</v>
      </c>
      <c r="X78">
        <v>4</v>
      </c>
      <c r="Y78" t="b">
        <v>0</v>
      </c>
      <c r="Z78">
        <v>0.83299999999999996</v>
      </c>
      <c r="AA78">
        <v>21.6</v>
      </c>
      <c r="AB78">
        <v>0</v>
      </c>
      <c r="AC78">
        <v>0</v>
      </c>
      <c r="AD78">
        <v>8</v>
      </c>
      <c r="AE78">
        <v>75</v>
      </c>
      <c r="AF78">
        <v>0.97</v>
      </c>
      <c r="AG78">
        <v>110</v>
      </c>
      <c r="AH78">
        <v>-0.68110000000000004</v>
      </c>
      <c r="AI78">
        <v>0.81499999999999995</v>
      </c>
      <c r="AJ78">
        <v>4</v>
      </c>
      <c r="AK78">
        <v>8.2000000000000007E-3</v>
      </c>
      <c r="AL78">
        <v>0.33600000000000002</v>
      </c>
      <c r="AM78">
        <v>0.7</v>
      </c>
      <c r="AN78">
        <v>0.4</v>
      </c>
      <c r="AO78">
        <v>0.8</v>
      </c>
      <c r="AP78">
        <v>0</v>
      </c>
      <c r="AQ78">
        <v>0</v>
      </c>
      <c r="AR78">
        <v>60</v>
      </c>
      <c r="AS78">
        <v>0.2</v>
      </c>
      <c r="AT78">
        <v>0</v>
      </c>
      <c r="AU78">
        <v>30</v>
      </c>
      <c r="AV78">
        <v>100</v>
      </c>
      <c r="AW78">
        <v>1</v>
      </c>
      <c r="AX78">
        <v>0.86</v>
      </c>
      <c r="AZ78" t="b">
        <v>0</v>
      </c>
      <c r="BA78">
        <v>114</v>
      </c>
      <c r="BB78">
        <v>0.98</v>
      </c>
      <c r="BC78">
        <v>1.4</v>
      </c>
      <c r="BD78">
        <v>5.0000000000000001E-3</v>
      </c>
      <c r="BE78">
        <v>0.98</v>
      </c>
      <c r="BS78">
        <v>5.5</v>
      </c>
      <c r="BX78">
        <v>30</v>
      </c>
    </row>
    <row r="79" spans="1:76" x14ac:dyDescent="0.25">
      <c r="A79" t="s">
        <v>452</v>
      </c>
      <c r="B79" t="s">
        <v>469</v>
      </c>
      <c r="C79" t="s">
        <v>477</v>
      </c>
      <c r="D79">
        <v>0.55000000000000004</v>
      </c>
      <c r="E79">
        <f t="shared" si="11"/>
        <v>4.3909589599999999</v>
      </c>
      <c r="G79">
        <f t="shared" si="9"/>
        <v>0.74450000000000005</v>
      </c>
      <c r="H79">
        <v>0.59</v>
      </c>
      <c r="I79">
        <f t="shared" si="10"/>
        <v>3.74396</v>
      </c>
      <c r="J79">
        <v>136</v>
      </c>
      <c r="L79">
        <v>2000</v>
      </c>
      <c r="M79">
        <v>1</v>
      </c>
      <c r="O79">
        <v>9.89</v>
      </c>
      <c r="Q79" t="s">
        <v>479</v>
      </c>
      <c r="R79" t="s">
        <v>480</v>
      </c>
      <c r="S79">
        <v>6</v>
      </c>
      <c r="T79">
        <v>61</v>
      </c>
      <c r="U79">
        <v>2.13</v>
      </c>
      <c r="V79" t="s">
        <v>481</v>
      </c>
      <c r="W79">
        <v>0</v>
      </c>
      <c r="X79">
        <v>4</v>
      </c>
      <c r="Y79" t="b">
        <v>0</v>
      </c>
      <c r="Z79">
        <v>0.83299999999999996</v>
      </c>
      <c r="AA79">
        <v>21.6</v>
      </c>
      <c r="AB79">
        <v>0</v>
      </c>
      <c r="AC79">
        <v>0</v>
      </c>
      <c r="AD79">
        <v>8</v>
      </c>
      <c r="AE79">
        <v>75</v>
      </c>
      <c r="AF79">
        <v>0.97</v>
      </c>
      <c r="AG79">
        <v>110</v>
      </c>
      <c r="AH79">
        <v>-0.68110000000000004</v>
      </c>
      <c r="AI79">
        <v>0.81499999999999995</v>
      </c>
      <c r="AJ79">
        <v>4</v>
      </c>
      <c r="AK79">
        <v>8.2000000000000007E-3</v>
      </c>
      <c r="AL79">
        <v>0.33600000000000002</v>
      </c>
      <c r="AM79">
        <v>0.7</v>
      </c>
      <c r="AN79">
        <v>0.4</v>
      </c>
      <c r="AO79">
        <v>0.8</v>
      </c>
      <c r="AP79">
        <v>0</v>
      </c>
      <c r="AQ79">
        <v>0</v>
      </c>
      <c r="AR79">
        <v>60</v>
      </c>
      <c r="AS79">
        <v>0.2</v>
      </c>
      <c r="AT79">
        <v>0</v>
      </c>
      <c r="AU79">
        <v>30</v>
      </c>
      <c r="AV79">
        <v>100</v>
      </c>
      <c r="AW79">
        <v>1</v>
      </c>
      <c r="AX79">
        <v>0.86</v>
      </c>
      <c r="AZ79" t="b">
        <v>0</v>
      </c>
      <c r="BA79">
        <v>114</v>
      </c>
      <c r="BB79">
        <v>0.92</v>
      </c>
      <c r="BC79">
        <v>1.4</v>
      </c>
      <c r="BD79">
        <v>5.0000000000000001E-3</v>
      </c>
      <c r="BE79">
        <v>0.98</v>
      </c>
      <c r="BS79">
        <v>5.5</v>
      </c>
      <c r="BX79">
        <v>30</v>
      </c>
    </row>
    <row r="80" spans="1:76" x14ac:dyDescent="0.25">
      <c r="A80" t="s">
        <v>453</v>
      </c>
      <c r="B80" t="s">
        <v>470</v>
      </c>
      <c r="C80" t="s">
        <v>477</v>
      </c>
      <c r="D80">
        <v>0.55000000000000004</v>
      </c>
      <c r="E80">
        <f t="shared" si="11"/>
        <v>4.3909589599999999</v>
      </c>
      <c r="G80">
        <f t="shared" si="9"/>
        <v>0.74450000000000005</v>
      </c>
      <c r="H80">
        <v>0.59</v>
      </c>
      <c r="I80">
        <f t="shared" si="10"/>
        <v>3.74396</v>
      </c>
      <c r="J80">
        <v>136</v>
      </c>
      <c r="L80">
        <v>2000</v>
      </c>
      <c r="M80">
        <v>1</v>
      </c>
      <c r="O80">
        <v>9.89</v>
      </c>
      <c r="Q80" t="s">
        <v>479</v>
      </c>
      <c r="R80" t="s">
        <v>480</v>
      </c>
      <c r="S80">
        <v>6</v>
      </c>
      <c r="T80">
        <v>61</v>
      </c>
      <c r="U80">
        <v>2.13</v>
      </c>
      <c r="V80" t="s">
        <v>481</v>
      </c>
      <c r="W80">
        <v>0</v>
      </c>
      <c r="X80">
        <v>4</v>
      </c>
      <c r="Y80" t="b">
        <v>0</v>
      </c>
      <c r="Z80">
        <v>0.83299999999999996</v>
      </c>
      <c r="AA80">
        <v>21.6</v>
      </c>
      <c r="AB80">
        <v>0</v>
      </c>
      <c r="AC80">
        <v>0</v>
      </c>
      <c r="AD80">
        <v>8</v>
      </c>
      <c r="AE80">
        <v>75</v>
      </c>
      <c r="AF80">
        <v>0.97</v>
      </c>
      <c r="AG80">
        <v>110</v>
      </c>
      <c r="AH80">
        <v>-0.68110000000000004</v>
      </c>
      <c r="AI80">
        <v>0.81499999999999995</v>
      </c>
      <c r="AJ80">
        <v>4</v>
      </c>
      <c r="AK80">
        <v>8.2000000000000007E-3</v>
      </c>
      <c r="AL80">
        <v>0.33600000000000002</v>
      </c>
      <c r="AM80">
        <v>0.7</v>
      </c>
      <c r="AN80">
        <v>0.4</v>
      </c>
      <c r="AO80">
        <v>0.8</v>
      </c>
      <c r="AP80">
        <v>0</v>
      </c>
      <c r="AQ80">
        <v>0</v>
      </c>
      <c r="AR80">
        <v>60</v>
      </c>
      <c r="AS80">
        <v>0.2</v>
      </c>
      <c r="AT80">
        <v>0</v>
      </c>
      <c r="AU80">
        <v>30</v>
      </c>
      <c r="AV80">
        <v>100</v>
      </c>
      <c r="AW80">
        <v>1</v>
      </c>
      <c r="AX80">
        <v>0.86</v>
      </c>
      <c r="AZ80" t="b">
        <v>0</v>
      </c>
      <c r="BA80">
        <v>114</v>
      </c>
      <c r="BB80">
        <v>0.98</v>
      </c>
      <c r="BC80">
        <v>1.4</v>
      </c>
      <c r="BD80">
        <v>5.0000000000000001E-3</v>
      </c>
      <c r="BE80">
        <v>0.98</v>
      </c>
      <c r="BS80">
        <v>5.5</v>
      </c>
      <c r="BX80">
        <v>30</v>
      </c>
    </row>
    <row r="81" spans="1:77" x14ac:dyDescent="0.25">
      <c r="A81" t="s">
        <v>454</v>
      </c>
      <c r="B81" t="s">
        <v>469</v>
      </c>
      <c r="C81" t="s">
        <v>477</v>
      </c>
      <c r="D81">
        <v>0.55000000000000004</v>
      </c>
      <c r="E81">
        <f t="shared" si="11"/>
        <v>4.3909589599999999</v>
      </c>
      <c r="G81">
        <f t="shared" si="9"/>
        <v>0.74450000000000005</v>
      </c>
      <c r="H81">
        <v>0.59</v>
      </c>
      <c r="I81">
        <f t="shared" si="10"/>
        <v>3.74396</v>
      </c>
      <c r="J81">
        <v>136</v>
      </c>
      <c r="L81">
        <v>2000</v>
      </c>
      <c r="M81">
        <v>1</v>
      </c>
      <c r="O81">
        <v>9.89</v>
      </c>
      <c r="Q81" t="s">
        <v>479</v>
      </c>
      <c r="R81" t="s">
        <v>480</v>
      </c>
      <c r="S81">
        <v>6</v>
      </c>
      <c r="T81">
        <v>61</v>
      </c>
      <c r="U81">
        <v>2.13</v>
      </c>
      <c r="V81" t="s">
        <v>481</v>
      </c>
      <c r="W81">
        <v>0</v>
      </c>
      <c r="X81">
        <v>4</v>
      </c>
      <c r="Y81" t="b">
        <v>0</v>
      </c>
      <c r="Z81">
        <v>0.83299999999999996</v>
      </c>
      <c r="AA81">
        <v>21.6</v>
      </c>
      <c r="AB81">
        <v>0</v>
      </c>
      <c r="AC81">
        <v>0</v>
      </c>
      <c r="AD81">
        <v>8</v>
      </c>
      <c r="AE81">
        <v>75</v>
      </c>
      <c r="AF81">
        <v>0.97</v>
      </c>
      <c r="AG81">
        <v>110</v>
      </c>
      <c r="AH81">
        <v>-0.68110000000000004</v>
      </c>
      <c r="AI81">
        <v>0.81499999999999995</v>
      </c>
      <c r="AJ81">
        <v>4</v>
      </c>
      <c r="AK81">
        <v>8.2000000000000007E-3</v>
      </c>
      <c r="AL81">
        <v>0.33600000000000002</v>
      </c>
      <c r="AM81">
        <v>0.7</v>
      </c>
      <c r="AN81">
        <v>0.4</v>
      </c>
      <c r="AO81">
        <v>0.8</v>
      </c>
      <c r="AP81">
        <v>0</v>
      </c>
      <c r="AQ81">
        <v>0</v>
      </c>
      <c r="AR81">
        <v>60</v>
      </c>
      <c r="AS81">
        <v>0.2</v>
      </c>
      <c r="AT81">
        <v>0</v>
      </c>
      <c r="AU81">
        <v>30</v>
      </c>
      <c r="AV81">
        <v>100</v>
      </c>
      <c r="AW81">
        <v>1</v>
      </c>
      <c r="AX81">
        <v>0.86</v>
      </c>
      <c r="AZ81" t="b">
        <v>0</v>
      </c>
      <c r="BA81">
        <v>114</v>
      </c>
      <c r="BB81">
        <v>0.92</v>
      </c>
      <c r="BC81">
        <v>1.4</v>
      </c>
      <c r="BD81">
        <v>5.0000000000000001E-3</v>
      </c>
      <c r="BE81">
        <v>0.98</v>
      </c>
      <c r="BS81">
        <v>5.5</v>
      </c>
      <c r="BX81">
        <v>30</v>
      </c>
    </row>
    <row r="82" spans="1:77" x14ac:dyDescent="0.25">
      <c r="A82" t="s">
        <v>455</v>
      </c>
      <c r="B82" t="s">
        <v>470</v>
      </c>
      <c r="C82" t="s">
        <v>477</v>
      </c>
      <c r="D82">
        <v>0.55000000000000004</v>
      </c>
      <c r="E82">
        <f t="shared" si="11"/>
        <v>4.3909589599999999</v>
      </c>
      <c r="G82">
        <f t="shared" si="9"/>
        <v>0.74450000000000005</v>
      </c>
      <c r="H82">
        <v>0.59</v>
      </c>
      <c r="I82">
        <f t="shared" si="10"/>
        <v>3.74396</v>
      </c>
      <c r="J82">
        <v>136</v>
      </c>
      <c r="L82">
        <v>2000</v>
      </c>
      <c r="M82">
        <v>1</v>
      </c>
      <c r="O82">
        <v>9.89</v>
      </c>
      <c r="Q82" t="s">
        <v>479</v>
      </c>
      <c r="R82" t="s">
        <v>480</v>
      </c>
      <c r="S82">
        <v>6</v>
      </c>
      <c r="T82">
        <v>61</v>
      </c>
      <c r="U82">
        <v>2.13</v>
      </c>
      <c r="V82" t="s">
        <v>481</v>
      </c>
      <c r="W82">
        <v>0</v>
      </c>
      <c r="X82">
        <v>4</v>
      </c>
      <c r="Y82" t="b">
        <v>0</v>
      </c>
      <c r="Z82">
        <v>0.83299999999999996</v>
      </c>
      <c r="AA82">
        <v>21.6</v>
      </c>
      <c r="AB82">
        <v>0</v>
      </c>
      <c r="AC82">
        <v>0</v>
      </c>
      <c r="AD82">
        <v>8</v>
      </c>
      <c r="AE82">
        <v>75</v>
      </c>
      <c r="AF82">
        <v>0.97</v>
      </c>
      <c r="AG82">
        <v>110</v>
      </c>
      <c r="AH82">
        <v>-0.68110000000000004</v>
      </c>
      <c r="AI82">
        <v>0.81499999999999995</v>
      </c>
      <c r="AJ82">
        <v>4</v>
      </c>
      <c r="AK82">
        <v>8.2000000000000007E-3</v>
      </c>
      <c r="AL82">
        <v>0.33600000000000002</v>
      </c>
      <c r="AM82">
        <v>0.7</v>
      </c>
      <c r="AN82">
        <v>0.4</v>
      </c>
      <c r="AO82">
        <v>0.8</v>
      </c>
      <c r="AP82">
        <v>0</v>
      </c>
      <c r="AQ82">
        <v>0</v>
      </c>
      <c r="AR82">
        <v>60</v>
      </c>
      <c r="AS82">
        <v>0.2</v>
      </c>
      <c r="AT82">
        <v>0</v>
      </c>
      <c r="AU82">
        <v>30</v>
      </c>
      <c r="AV82">
        <v>100</v>
      </c>
      <c r="AW82">
        <v>1</v>
      </c>
      <c r="AX82">
        <v>0.86</v>
      </c>
      <c r="AZ82" t="b">
        <v>0</v>
      </c>
      <c r="BA82">
        <v>114</v>
      </c>
      <c r="BB82">
        <v>0.98</v>
      </c>
      <c r="BC82">
        <v>1.4</v>
      </c>
      <c r="BD82">
        <v>5.0000000000000001E-3</v>
      </c>
      <c r="BE82">
        <v>0.98</v>
      </c>
      <c r="BS82">
        <v>5.5</v>
      </c>
      <c r="BX82">
        <v>30</v>
      </c>
    </row>
    <row r="83" spans="1:77" x14ac:dyDescent="0.25">
      <c r="A83" t="s">
        <v>456</v>
      </c>
      <c r="B83" t="s">
        <v>478</v>
      </c>
      <c r="C83" t="s">
        <v>477</v>
      </c>
      <c r="D83">
        <v>0.55000000000000004</v>
      </c>
      <c r="E83">
        <f t="shared" si="11"/>
        <v>4.3909589599999999</v>
      </c>
      <c r="G83">
        <f t="shared" si="9"/>
        <v>0.74450000000000005</v>
      </c>
      <c r="H83">
        <v>0.59</v>
      </c>
      <c r="I83">
        <f>3.545</f>
        <v>3.5449999999999999</v>
      </c>
      <c r="J83">
        <v>136</v>
      </c>
      <c r="L83">
        <v>2000</v>
      </c>
      <c r="M83">
        <v>1</v>
      </c>
      <c r="O83">
        <v>9.89</v>
      </c>
      <c r="Q83" t="s">
        <v>479</v>
      </c>
      <c r="R83" t="s">
        <v>480</v>
      </c>
      <c r="S83">
        <v>6</v>
      </c>
      <c r="T83">
        <v>61</v>
      </c>
      <c r="U83">
        <v>2.13</v>
      </c>
      <c r="V83" t="s">
        <v>481</v>
      </c>
      <c r="W83">
        <v>0</v>
      </c>
      <c r="X83">
        <v>4</v>
      </c>
      <c r="Y83" t="b">
        <v>0</v>
      </c>
      <c r="Z83">
        <v>0.83299999999999996</v>
      </c>
      <c r="AA83">
        <v>21.6</v>
      </c>
      <c r="AB83">
        <v>0</v>
      </c>
      <c r="AC83">
        <v>0</v>
      </c>
      <c r="AD83">
        <v>8</v>
      </c>
      <c r="AE83">
        <v>75</v>
      </c>
      <c r="AF83">
        <v>0.97</v>
      </c>
      <c r="AG83">
        <v>110</v>
      </c>
      <c r="AH83">
        <v>-0.68110000000000004</v>
      </c>
      <c r="AI83">
        <v>0.81499999999999995</v>
      </c>
      <c r="AJ83">
        <v>4</v>
      </c>
      <c r="AK83">
        <v>8.2000000000000007E-3</v>
      </c>
      <c r="AL83">
        <v>0.33600000000000002</v>
      </c>
      <c r="AM83">
        <v>0.7</v>
      </c>
      <c r="AN83">
        <v>0.4</v>
      </c>
      <c r="AO83">
        <v>0.8</v>
      </c>
      <c r="AP83">
        <v>0</v>
      </c>
      <c r="AQ83">
        <v>0</v>
      </c>
      <c r="AR83">
        <v>60</v>
      </c>
      <c r="AS83">
        <v>0.2</v>
      </c>
      <c r="AT83">
        <v>0</v>
      </c>
      <c r="AU83">
        <v>30</v>
      </c>
      <c r="AV83">
        <v>100</v>
      </c>
      <c r="AW83">
        <v>1</v>
      </c>
      <c r="AX83">
        <v>0.86</v>
      </c>
      <c r="AZ83" t="b">
        <v>0</v>
      </c>
      <c r="BA83">
        <v>114</v>
      </c>
      <c r="BB83">
        <v>0.95</v>
      </c>
      <c r="BC83">
        <v>1.4</v>
      </c>
      <c r="BD83">
        <v>5.0000000000000001E-3</v>
      </c>
      <c r="BE83">
        <v>0.98</v>
      </c>
      <c r="BS83">
        <v>6.4</v>
      </c>
      <c r="BX83">
        <v>30</v>
      </c>
    </row>
    <row r="84" spans="1:77" x14ac:dyDescent="0.25">
      <c r="A84" t="s">
        <v>457</v>
      </c>
      <c r="B84" t="s">
        <v>478</v>
      </c>
      <c r="C84" t="s">
        <v>477</v>
      </c>
      <c r="D84">
        <v>0.55000000000000004</v>
      </c>
      <c r="E84">
        <f t="shared" si="11"/>
        <v>4.3909589599999999</v>
      </c>
      <c r="G84">
        <f t="shared" si="9"/>
        <v>0.74450000000000005</v>
      </c>
      <c r="H84">
        <v>0.59</v>
      </c>
      <c r="I84">
        <f>419.1/100</f>
        <v>4.1909999999999998</v>
      </c>
      <c r="J84">
        <v>136</v>
      </c>
      <c r="L84">
        <v>2000</v>
      </c>
      <c r="M84">
        <v>1</v>
      </c>
      <c r="O84">
        <v>9.89</v>
      </c>
      <c r="Q84" t="s">
        <v>479</v>
      </c>
      <c r="R84" t="s">
        <v>480</v>
      </c>
      <c r="S84">
        <v>6</v>
      </c>
      <c r="T84">
        <v>61</v>
      </c>
      <c r="U84">
        <v>2.13</v>
      </c>
      <c r="V84" t="s">
        <v>481</v>
      </c>
      <c r="W84">
        <v>0</v>
      </c>
      <c r="X84">
        <v>4</v>
      </c>
      <c r="Y84" t="b">
        <v>0</v>
      </c>
      <c r="Z84">
        <v>0.83299999999999996</v>
      </c>
      <c r="AA84">
        <v>21.6</v>
      </c>
      <c r="AB84">
        <v>0</v>
      </c>
      <c r="AC84">
        <v>0</v>
      </c>
      <c r="AD84">
        <v>8</v>
      </c>
      <c r="AE84">
        <v>75</v>
      </c>
      <c r="AF84">
        <v>0.97</v>
      </c>
      <c r="AG84">
        <v>110</v>
      </c>
      <c r="AH84">
        <v>-0.68110000000000004</v>
      </c>
      <c r="AI84">
        <v>0.81499999999999995</v>
      </c>
      <c r="AJ84">
        <v>4</v>
      </c>
      <c r="AK84">
        <v>8.2000000000000007E-3</v>
      </c>
      <c r="AL84">
        <v>0.33600000000000002</v>
      </c>
      <c r="AM84">
        <v>0.7</v>
      </c>
      <c r="AN84">
        <v>0.4</v>
      </c>
      <c r="AO84">
        <v>0.8</v>
      </c>
      <c r="AP84">
        <v>0</v>
      </c>
      <c r="AQ84">
        <v>0</v>
      </c>
      <c r="AR84">
        <v>60</v>
      </c>
      <c r="AS84">
        <v>0.2</v>
      </c>
      <c r="AT84">
        <v>0</v>
      </c>
      <c r="AU84">
        <v>30</v>
      </c>
      <c r="AV84">
        <v>100</v>
      </c>
      <c r="AW84">
        <v>1</v>
      </c>
      <c r="AX84">
        <v>0.86</v>
      </c>
      <c r="AZ84" t="b">
        <v>0</v>
      </c>
      <c r="BA84">
        <v>114</v>
      </c>
      <c r="BB84">
        <v>0.95</v>
      </c>
      <c r="BC84">
        <v>1.4</v>
      </c>
      <c r="BD84">
        <v>5.0000000000000001E-3</v>
      </c>
      <c r="BE84">
        <v>0.98</v>
      </c>
      <c r="BS84">
        <v>6.4</v>
      </c>
      <c r="BX84">
        <v>30</v>
      </c>
    </row>
    <row r="85" spans="1:77" x14ac:dyDescent="0.25">
      <c r="A85" t="s">
        <v>458</v>
      </c>
      <c r="B85" t="s">
        <v>472</v>
      </c>
      <c r="C85" t="s">
        <v>477</v>
      </c>
      <c r="D85">
        <v>0.33</v>
      </c>
      <c r="E85">
        <f>72*65*0.025*0.0254</f>
        <v>2.9718</v>
      </c>
      <c r="F85">
        <v>1533.5</v>
      </c>
      <c r="G85">
        <f>664.7/1000</f>
        <v>0.66470000000000007</v>
      </c>
      <c r="H85">
        <v>0.59</v>
      </c>
      <c r="I85">
        <f>107.3*0.0254</f>
        <v>2.7254199999999997</v>
      </c>
      <c r="J85">
        <v>136</v>
      </c>
      <c r="L85">
        <v>2000</v>
      </c>
      <c r="M85">
        <v>1</v>
      </c>
      <c r="N85">
        <v>562.33330000000001</v>
      </c>
      <c r="O85">
        <v>9.89</v>
      </c>
      <c r="P85">
        <v>167.33330000000001</v>
      </c>
      <c r="Q85" t="s">
        <v>479</v>
      </c>
      <c r="R85" t="s">
        <v>480</v>
      </c>
      <c r="S85">
        <v>6</v>
      </c>
      <c r="T85">
        <v>61</v>
      </c>
      <c r="U85">
        <v>2.13</v>
      </c>
      <c r="V85" t="s">
        <v>481</v>
      </c>
      <c r="W85">
        <v>0</v>
      </c>
      <c r="X85">
        <v>4</v>
      </c>
      <c r="Y85" t="b">
        <v>0</v>
      </c>
      <c r="Z85">
        <v>0.83299999999999996</v>
      </c>
      <c r="AA85">
        <v>21.6</v>
      </c>
      <c r="AB85">
        <v>0</v>
      </c>
      <c r="AC85">
        <v>0</v>
      </c>
      <c r="AD85">
        <v>8</v>
      </c>
      <c r="AE85">
        <v>75</v>
      </c>
      <c r="AF85">
        <v>0.97</v>
      </c>
      <c r="AG85">
        <v>110</v>
      </c>
      <c r="AH85">
        <v>-0.68110000000000004</v>
      </c>
      <c r="AI85">
        <v>0.81499999999999995</v>
      </c>
      <c r="AJ85">
        <v>4</v>
      </c>
      <c r="AK85">
        <v>7.4999999999999997E-3</v>
      </c>
      <c r="AL85">
        <v>0.33600000000000002</v>
      </c>
      <c r="AM85">
        <v>0.7</v>
      </c>
      <c r="AN85">
        <v>0.4</v>
      </c>
      <c r="AO85">
        <v>0.8</v>
      </c>
      <c r="AP85">
        <v>0</v>
      </c>
      <c r="AQ85">
        <v>0</v>
      </c>
      <c r="AR85">
        <v>60</v>
      </c>
      <c r="AS85">
        <v>0.2</v>
      </c>
      <c r="AT85">
        <v>0</v>
      </c>
      <c r="AU85">
        <v>30</v>
      </c>
      <c r="AV85">
        <v>100</v>
      </c>
      <c r="AW85">
        <v>1</v>
      </c>
      <c r="AX85">
        <v>0.86</v>
      </c>
      <c r="AZ85" t="b">
        <v>0</v>
      </c>
      <c r="BA85">
        <v>114</v>
      </c>
      <c r="BB85">
        <v>0.92</v>
      </c>
      <c r="BC85">
        <v>1.4</v>
      </c>
      <c r="BD85">
        <v>5.0000000000000001E-3</v>
      </c>
      <c r="BE85">
        <v>0.98</v>
      </c>
      <c r="BS85">
        <v>9.3000000000000007</v>
      </c>
      <c r="BX85">
        <v>30</v>
      </c>
    </row>
    <row r="86" spans="1:77" x14ac:dyDescent="0.25">
      <c r="A86" t="s">
        <v>459</v>
      </c>
      <c r="B86" t="s">
        <v>473</v>
      </c>
      <c r="C86" t="s">
        <v>477</v>
      </c>
      <c r="D86">
        <v>0.33</v>
      </c>
      <c r="E86">
        <f>72*65*0.025*0.0254</f>
        <v>2.9718</v>
      </c>
      <c r="F86">
        <v>1533.5</v>
      </c>
      <c r="G86">
        <f>664.7/1000</f>
        <v>0.66470000000000007</v>
      </c>
      <c r="H86">
        <v>0.59</v>
      </c>
      <c r="I86">
        <f>107.3*0.0254</f>
        <v>2.7254199999999997</v>
      </c>
      <c r="J86">
        <v>136</v>
      </c>
      <c r="L86">
        <v>2000</v>
      </c>
      <c r="M86">
        <v>1</v>
      </c>
      <c r="N86">
        <v>562.33330000000001</v>
      </c>
      <c r="O86">
        <v>9.89</v>
      </c>
      <c r="P86">
        <v>167.33330000000001</v>
      </c>
      <c r="Q86" t="s">
        <v>479</v>
      </c>
      <c r="R86" t="s">
        <v>480</v>
      </c>
      <c r="S86">
        <v>6</v>
      </c>
      <c r="T86">
        <v>61</v>
      </c>
      <c r="U86">
        <v>2.13</v>
      </c>
      <c r="V86" t="s">
        <v>481</v>
      </c>
      <c r="W86">
        <v>0</v>
      </c>
      <c r="X86">
        <v>4</v>
      </c>
      <c r="Y86" t="b">
        <v>0</v>
      </c>
      <c r="Z86">
        <v>0.83299999999999996</v>
      </c>
      <c r="AA86">
        <v>21.6</v>
      </c>
      <c r="AB86">
        <v>0</v>
      </c>
      <c r="AC86">
        <v>0</v>
      </c>
      <c r="AD86">
        <v>8</v>
      </c>
      <c r="AE86">
        <v>75</v>
      </c>
      <c r="AF86">
        <v>0.97</v>
      </c>
      <c r="AG86">
        <v>110</v>
      </c>
      <c r="AH86">
        <v>-0.68110000000000004</v>
      </c>
      <c r="AI86">
        <v>0.81499999999999995</v>
      </c>
      <c r="AJ86">
        <v>4</v>
      </c>
      <c r="AK86">
        <v>7.4999999999999997E-3</v>
      </c>
      <c r="AL86">
        <v>0.33600000000000002</v>
      </c>
      <c r="AM86">
        <v>0.7</v>
      </c>
      <c r="AN86">
        <v>0.4</v>
      </c>
      <c r="AO86">
        <v>0.8</v>
      </c>
      <c r="AP86">
        <v>0</v>
      </c>
      <c r="AQ86">
        <v>0</v>
      </c>
      <c r="AR86">
        <v>60</v>
      </c>
      <c r="AS86">
        <v>0.2</v>
      </c>
      <c r="AT86">
        <v>0</v>
      </c>
      <c r="AU86">
        <v>30</v>
      </c>
      <c r="AV86">
        <v>100</v>
      </c>
      <c r="AW86">
        <v>1</v>
      </c>
      <c r="AX86">
        <v>0.86</v>
      </c>
      <c r="AZ86" t="b">
        <v>0</v>
      </c>
      <c r="BA86">
        <v>114</v>
      </c>
      <c r="BB86">
        <v>0.98</v>
      </c>
      <c r="BC86">
        <v>1.4</v>
      </c>
      <c r="BD86">
        <v>5.0000000000000001E-3</v>
      </c>
      <c r="BE86">
        <v>0.98</v>
      </c>
      <c r="BS86">
        <v>9.3000000000000007</v>
      </c>
      <c r="BX86">
        <v>30</v>
      </c>
    </row>
    <row r="87" spans="1:77" x14ac:dyDescent="0.25">
      <c r="A87" t="s">
        <v>460</v>
      </c>
      <c r="B87" t="s">
        <v>467</v>
      </c>
      <c r="C87" t="s">
        <v>477</v>
      </c>
      <c r="D87">
        <v>0.36</v>
      </c>
      <c r="E87">
        <f t="shared" ref="E87:E92" si="12">81*77*0.0254*0.0254</f>
        <v>4.0238629199999991</v>
      </c>
      <c r="F87">
        <v>1533.5</v>
      </c>
      <c r="G87">
        <f t="shared" ref="G87:G92" si="13">744.5/1000</f>
        <v>0.74450000000000005</v>
      </c>
      <c r="H87">
        <v>0.59</v>
      </c>
      <c r="I87">
        <f>121*0.0254</f>
        <v>3.0733999999999999</v>
      </c>
      <c r="J87">
        <v>136</v>
      </c>
      <c r="L87">
        <v>2000</v>
      </c>
      <c r="M87">
        <v>1</v>
      </c>
      <c r="N87">
        <v>562.33330000000001</v>
      </c>
      <c r="O87">
        <v>9.89</v>
      </c>
      <c r="P87">
        <v>167.33330000000001</v>
      </c>
      <c r="Q87" t="s">
        <v>479</v>
      </c>
      <c r="R87" t="s">
        <v>480</v>
      </c>
      <c r="S87">
        <v>6</v>
      </c>
      <c r="T87">
        <v>61</v>
      </c>
      <c r="U87">
        <v>2.13</v>
      </c>
      <c r="V87" t="s">
        <v>481</v>
      </c>
      <c r="W87">
        <v>0</v>
      </c>
      <c r="X87">
        <v>4</v>
      </c>
      <c r="Y87" t="b">
        <v>0</v>
      </c>
      <c r="Z87">
        <v>0.83299999999999996</v>
      </c>
      <c r="AA87">
        <v>21.6</v>
      </c>
      <c r="AB87">
        <v>0</v>
      </c>
      <c r="AC87">
        <v>0</v>
      </c>
      <c r="AD87">
        <v>8</v>
      </c>
      <c r="AE87">
        <v>75</v>
      </c>
      <c r="AF87">
        <v>0.97</v>
      </c>
      <c r="AG87">
        <v>110</v>
      </c>
      <c r="AH87">
        <v>-0.68110000000000004</v>
      </c>
      <c r="AI87">
        <v>0.81499999999999995</v>
      </c>
      <c r="AJ87">
        <v>4</v>
      </c>
      <c r="AK87">
        <v>8.0000000000000002E-3</v>
      </c>
      <c r="AL87">
        <v>0.33600000000000002</v>
      </c>
      <c r="AM87">
        <v>0.7</v>
      </c>
      <c r="AN87">
        <v>0.4</v>
      </c>
      <c r="AO87">
        <v>0.8</v>
      </c>
      <c r="AP87">
        <v>0</v>
      </c>
      <c r="AQ87">
        <v>0</v>
      </c>
      <c r="AR87">
        <v>60</v>
      </c>
      <c r="AS87">
        <v>0.2</v>
      </c>
      <c r="AT87">
        <v>0</v>
      </c>
      <c r="AU87">
        <v>30</v>
      </c>
      <c r="AV87">
        <v>100</v>
      </c>
      <c r="AW87">
        <v>1</v>
      </c>
      <c r="AX87">
        <v>0.86</v>
      </c>
      <c r="AZ87" t="b">
        <v>0</v>
      </c>
      <c r="BA87">
        <v>114</v>
      </c>
      <c r="BB87">
        <v>0.92</v>
      </c>
      <c r="BC87">
        <v>1.4</v>
      </c>
      <c r="BD87">
        <v>5.0000000000000001E-3</v>
      </c>
      <c r="BE87">
        <v>0.98</v>
      </c>
      <c r="BS87">
        <v>6</v>
      </c>
      <c r="BX87">
        <v>30</v>
      </c>
    </row>
    <row r="88" spans="1:77" x14ac:dyDescent="0.25">
      <c r="A88" t="s">
        <v>461</v>
      </c>
      <c r="B88" t="s">
        <v>467</v>
      </c>
      <c r="C88" t="s">
        <v>477</v>
      </c>
      <c r="D88">
        <v>0.36</v>
      </c>
      <c r="E88">
        <f t="shared" si="12"/>
        <v>4.0238629199999991</v>
      </c>
      <c r="F88">
        <v>1533.5</v>
      </c>
      <c r="G88">
        <f t="shared" si="13"/>
        <v>0.74450000000000005</v>
      </c>
      <c r="H88">
        <v>0.59</v>
      </c>
      <c r="I88">
        <f t="shared" ref="I88:I92" si="14">121*0.0254</f>
        <v>3.0733999999999999</v>
      </c>
      <c r="J88">
        <v>136</v>
      </c>
      <c r="L88">
        <v>2000</v>
      </c>
      <c r="M88">
        <v>1</v>
      </c>
      <c r="N88">
        <v>562.33330000000001</v>
      </c>
      <c r="O88">
        <v>9.89</v>
      </c>
      <c r="P88">
        <v>167.33330000000001</v>
      </c>
      <c r="Q88" t="s">
        <v>479</v>
      </c>
      <c r="R88" t="s">
        <v>480</v>
      </c>
      <c r="S88">
        <v>6</v>
      </c>
      <c r="T88">
        <v>61</v>
      </c>
      <c r="U88">
        <v>2.13</v>
      </c>
      <c r="V88" t="s">
        <v>481</v>
      </c>
      <c r="W88">
        <v>0</v>
      </c>
      <c r="X88">
        <v>4</v>
      </c>
      <c r="Y88" t="b">
        <v>0</v>
      </c>
      <c r="Z88">
        <v>0.83299999999999996</v>
      </c>
      <c r="AA88">
        <v>21.6</v>
      </c>
      <c r="AB88">
        <v>0</v>
      </c>
      <c r="AC88">
        <v>0</v>
      </c>
      <c r="AD88">
        <v>8</v>
      </c>
      <c r="AE88">
        <v>75</v>
      </c>
      <c r="AF88">
        <v>0.97</v>
      </c>
      <c r="AG88">
        <v>110</v>
      </c>
      <c r="AH88">
        <v>-0.68110000000000004</v>
      </c>
      <c r="AI88">
        <v>0.81499999999999995</v>
      </c>
      <c r="AJ88">
        <v>4</v>
      </c>
      <c r="AK88">
        <v>8.0000000000000002E-3</v>
      </c>
      <c r="AL88">
        <v>0.33600000000000002</v>
      </c>
      <c r="AM88">
        <v>0.7</v>
      </c>
      <c r="AN88">
        <v>0.4</v>
      </c>
      <c r="AO88">
        <v>0.8</v>
      </c>
      <c r="AP88">
        <v>0</v>
      </c>
      <c r="AQ88">
        <v>0</v>
      </c>
      <c r="AR88">
        <v>60</v>
      </c>
      <c r="AS88">
        <v>0.2</v>
      </c>
      <c r="AT88">
        <v>0</v>
      </c>
      <c r="AU88">
        <v>30</v>
      </c>
      <c r="AV88">
        <v>100</v>
      </c>
      <c r="AW88">
        <v>1</v>
      </c>
      <c r="AX88">
        <v>0.86</v>
      </c>
      <c r="AZ88" t="b">
        <v>0</v>
      </c>
      <c r="BA88">
        <v>114</v>
      </c>
      <c r="BB88">
        <v>0.92</v>
      </c>
      <c r="BC88">
        <v>1.4</v>
      </c>
      <c r="BD88">
        <v>5.0000000000000001E-3</v>
      </c>
      <c r="BE88">
        <v>0.98</v>
      </c>
      <c r="BS88">
        <v>6</v>
      </c>
      <c r="BX88">
        <v>30</v>
      </c>
    </row>
    <row r="89" spans="1:77" x14ac:dyDescent="0.25">
      <c r="A89" t="s">
        <v>462</v>
      </c>
      <c r="B89" t="s">
        <v>468</v>
      </c>
      <c r="C89" t="s">
        <v>477</v>
      </c>
      <c r="D89">
        <v>0.36</v>
      </c>
      <c r="E89">
        <f t="shared" si="12"/>
        <v>4.0238629199999991</v>
      </c>
      <c r="F89">
        <v>1533.5</v>
      </c>
      <c r="G89">
        <f t="shared" si="13"/>
        <v>0.74450000000000005</v>
      </c>
      <c r="H89">
        <v>0.59</v>
      </c>
      <c r="I89">
        <f t="shared" si="14"/>
        <v>3.0733999999999999</v>
      </c>
      <c r="J89">
        <v>136</v>
      </c>
      <c r="L89">
        <v>2000</v>
      </c>
      <c r="M89">
        <v>1</v>
      </c>
      <c r="N89">
        <v>562.33330000000001</v>
      </c>
      <c r="O89">
        <v>9.89</v>
      </c>
      <c r="P89">
        <v>167.33330000000001</v>
      </c>
      <c r="Q89" t="s">
        <v>479</v>
      </c>
      <c r="R89" t="s">
        <v>480</v>
      </c>
      <c r="S89">
        <v>6</v>
      </c>
      <c r="T89">
        <v>61</v>
      </c>
      <c r="U89">
        <v>2.13</v>
      </c>
      <c r="V89" t="s">
        <v>481</v>
      </c>
      <c r="W89">
        <v>0</v>
      </c>
      <c r="X89">
        <v>4</v>
      </c>
      <c r="Y89" t="b">
        <v>0</v>
      </c>
      <c r="Z89">
        <v>0.83299999999999996</v>
      </c>
      <c r="AA89">
        <v>21.6</v>
      </c>
      <c r="AB89">
        <v>0</v>
      </c>
      <c r="AC89">
        <v>0</v>
      </c>
      <c r="AD89">
        <v>8</v>
      </c>
      <c r="AE89">
        <v>75</v>
      </c>
      <c r="AF89">
        <v>0.97</v>
      </c>
      <c r="AG89">
        <v>110</v>
      </c>
      <c r="AH89">
        <v>-0.68110000000000004</v>
      </c>
      <c r="AI89">
        <v>0.81499999999999995</v>
      </c>
      <c r="AJ89">
        <v>4</v>
      </c>
      <c r="AK89">
        <v>8.0000000000000002E-3</v>
      </c>
      <c r="AL89">
        <v>0.33600000000000002</v>
      </c>
      <c r="AM89">
        <v>0.7</v>
      </c>
      <c r="AN89">
        <v>0.4</v>
      </c>
      <c r="AO89">
        <v>0.8</v>
      </c>
      <c r="AP89">
        <v>0</v>
      </c>
      <c r="AQ89">
        <v>0</v>
      </c>
      <c r="AR89">
        <v>60</v>
      </c>
      <c r="AS89">
        <v>0.2</v>
      </c>
      <c r="AT89">
        <v>0</v>
      </c>
      <c r="AU89">
        <v>30</v>
      </c>
      <c r="AV89">
        <v>100</v>
      </c>
      <c r="AW89">
        <v>1</v>
      </c>
      <c r="AX89">
        <v>0.86</v>
      </c>
      <c r="AZ89" t="b">
        <v>0</v>
      </c>
      <c r="BA89">
        <v>114</v>
      </c>
      <c r="BB89">
        <v>0.98</v>
      </c>
      <c r="BC89">
        <v>1.4</v>
      </c>
      <c r="BD89">
        <v>5.0000000000000001E-3</v>
      </c>
      <c r="BE89">
        <v>0.98</v>
      </c>
      <c r="BS89">
        <v>6</v>
      </c>
      <c r="BX89">
        <v>30</v>
      </c>
    </row>
    <row r="90" spans="1:77" x14ac:dyDescent="0.25">
      <c r="A90" t="s">
        <v>463</v>
      </c>
      <c r="B90" t="s">
        <v>467</v>
      </c>
      <c r="C90" t="s">
        <v>477</v>
      </c>
      <c r="D90">
        <v>0.36</v>
      </c>
      <c r="E90">
        <f t="shared" si="12"/>
        <v>4.0238629199999991</v>
      </c>
      <c r="F90">
        <v>1533.5</v>
      </c>
      <c r="G90">
        <f t="shared" si="13"/>
        <v>0.74450000000000005</v>
      </c>
      <c r="H90">
        <v>0.59</v>
      </c>
      <c r="I90">
        <f t="shared" si="14"/>
        <v>3.0733999999999999</v>
      </c>
      <c r="J90">
        <v>136</v>
      </c>
      <c r="L90">
        <v>2000</v>
      </c>
      <c r="M90">
        <v>1</v>
      </c>
      <c r="N90">
        <v>562.33330000000001</v>
      </c>
      <c r="O90">
        <v>9.89</v>
      </c>
      <c r="P90">
        <v>167.33330000000001</v>
      </c>
      <c r="Q90" t="s">
        <v>479</v>
      </c>
      <c r="R90" t="s">
        <v>480</v>
      </c>
      <c r="S90">
        <v>6</v>
      </c>
      <c r="T90">
        <v>61</v>
      </c>
      <c r="U90">
        <v>2.13</v>
      </c>
      <c r="V90" t="s">
        <v>481</v>
      </c>
      <c r="W90">
        <v>0</v>
      </c>
      <c r="X90">
        <v>4</v>
      </c>
      <c r="Y90" t="b">
        <v>0</v>
      </c>
      <c r="Z90">
        <v>0.83299999999999996</v>
      </c>
      <c r="AA90">
        <v>21.6</v>
      </c>
      <c r="AB90">
        <v>0</v>
      </c>
      <c r="AC90">
        <v>0</v>
      </c>
      <c r="AD90">
        <v>8</v>
      </c>
      <c r="AE90">
        <v>75</v>
      </c>
      <c r="AF90">
        <v>0.97</v>
      </c>
      <c r="AG90">
        <v>110</v>
      </c>
      <c r="AH90">
        <v>-0.68110000000000004</v>
      </c>
      <c r="AI90">
        <v>0.81499999999999995</v>
      </c>
      <c r="AJ90">
        <v>4</v>
      </c>
      <c r="AK90">
        <v>8.0000000000000002E-3</v>
      </c>
      <c r="AL90">
        <v>0.33600000000000002</v>
      </c>
      <c r="AM90">
        <v>0.7</v>
      </c>
      <c r="AN90">
        <v>0.4</v>
      </c>
      <c r="AO90">
        <v>0.8</v>
      </c>
      <c r="AP90">
        <v>0</v>
      </c>
      <c r="AQ90">
        <v>0</v>
      </c>
      <c r="AR90">
        <v>60</v>
      </c>
      <c r="AS90">
        <v>0.2</v>
      </c>
      <c r="AT90">
        <v>0</v>
      </c>
      <c r="AU90">
        <v>30</v>
      </c>
      <c r="AV90">
        <v>100</v>
      </c>
      <c r="AW90">
        <v>1</v>
      </c>
      <c r="AX90">
        <v>0.86</v>
      </c>
      <c r="AZ90" t="b">
        <v>0</v>
      </c>
      <c r="BA90">
        <v>114</v>
      </c>
      <c r="BB90">
        <v>0.92</v>
      </c>
      <c r="BC90">
        <v>1.4</v>
      </c>
      <c r="BD90">
        <v>5.0000000000000001E-3</v>
      </c>
      <c r="BE90">
        <v>0.98</v>
      </c>
      <c r="BS90">
        <v>6</v>
      </c>
      <c r="BX90">
        <v>30</v>
      </c>
    </row>
    <row r="91" spans="1:77" x14ac:dyDescent="0.25">
      <c r="A91" t="s">
        <v>464</v>
      </c>
      <c r="B91" t="s">
        <v>467</v>
      </c>
      <c r="C91" t="s">
        <v>477</v>
      </c>
      <c r="D91">
        <v>0.36</v>
      </c>
      <c r="E91">
        <f t="shared" si="12"/>
        <v>4.0238629199999991</v>
      </c>
      <c r="F91">
        <v>1533.5</v>
      </c>
      <c r="G91">
        <f t="shared" si="13"/>
        <v>0.74450000000000005</v>
      </c>
      <c r="H91">
        <v>0.59</v>
      </c>
      <c r="I91">
        <f t="shared" si="14"/>
        <v>3.0733999999999999</v>
      </c>
      <c r="J91">
        <v>136</v>
      </c>
      <c r="L91">
        <v>2000</v>
      </c>
      <c r="M91">
        <v>1</v>
      </c>
      <c r="N91">
        <v>562.33330000000001</v>
      </c>
      <c r="O91">
        <v>9.89</v>
      </c>
      <c r="P91">
        <v>167.33330000000001</v>
      </c>
      <c r="Q91" t="s">
        <v>479</v>
      </c>
      <c r="R91" t="s">
        <v>480</v>
      </c>
      <c r="S91">
        <v>6</v>
      </c>
      <c r="T91">
        <v>61</v>
      </c>
      <c r="U91">
        <v>2.13</v>
      </c>
      <c r="V91" t="s">
        <v>481</v>
      </c>
      <c r="W91">
        <v>0</v>
      </c>
      <c r="X91">
        <v>4</v>
      </c>
      <c r="Y91" t="b">
        <v>0</v>
      </c>
      <c r="Z91">
        <v>0.83299999999999996</v>
      </c>
      <c r="AA91">
        <v>21.6</v>
      </c>
      <c r="AB91">
        <v>0</v>
      </c>
      <c r="AC91">
        <v>0</v>
      </c>
      <c r="AD91">
        <v>8</v>
      </c>
      <c r="AE91">
        <v>75</v>
      </c>
      <c r="AF91">
        <v>0.97</v>
      </c>
      <c r="AG91">
        <v>110</v>
      </c>
      <c r="AH91">
        <v>-0.68110000000000004</v>
      </c>
      <c r="AI91">
        <v>0.81499999999999995</v>
      </c>
      <c r="AJ91">
        <v>4</v>
      </c>
      <c r="AK91">
        <v>8.0000000000000002E-3</v>
      </c>
      <c r="AL91">
        <v>0.33600000000000002</v>
      </c>
      <c r="AM91">
        <v>0.7</v>
      </c>
      <c r="AN91">
        <v>0.4</v>
      </c>
      <c r="AO91">
        <v>0.8</v>
      </c>
      <c r="AP91">
        <v>0</v>
      </c>
      <c r="AQ91">
        <v>0</v>
      </c>
      <c r="AR91">
        <v>60</v>
      </c>
      <c r="AS91">
        <v>0.2</v>
      </c>
      <c r="AT91">
        <v>0</v>
      </c>
      <c r="AU91">
        <v>30</v>
      </c>
      <c r="AV91">
        <v>100</v>
      </c>
      <c r="AW91">
        <v>1</v>
      </c>
      <c r="AX91">
        <v>0.86</v>
      </c>
      <c r="AZ91" t="b">
        <v>0</v>
      </c>
      <c r="BA91">
        <v>114</v>
      </c>
      <c r="BB91">
        <v>0.92</v>
      </c>
      <c r="BC91">
        <v>1.4</v>
      </c>
      <c r="BD91">
        <v>5.0000000000000001E-3</v>
      </c>
      <c r="BE91">
        <v>0.98</v>
      </c>
      <c r="BS91">
        <v>6</v>
      </c>
      <c r="BX91">
        <v>30</v>
      </c>
    </row>
    <row r="92" spans="1:77" x14ac:dyDescent="0.25">
      <c r="A92" t="s">
        <v>465</v>
      </c>
      <c r="B92" t="s">
        <v>468</v>
      </c>
      <c r="C92" t="s">
        <v>477</v>
      </c>
      <c r="D92">
        <v>0.36</v>
      </c>
      <c r="E92">
        <f t="shared" si="12"/>
        <v>4.0238629199999991</v>
      </c>
      <c r="F92">
        <v>1533.5</v>
      </c>
      <c r="G92">
        <f t="shared" si="13"/>
        <v>0.74450000000000005</v>
      </c>
      <c r="H92">
        <v>0.59</v>
      </c>
      <c r="I92">
        <f t="shared" si="14"/>
        <v>3.0733999999999999</v>
      </c>
      <c r="J92">
        <v>136</v>
      </c>
      <c r="L92">
        <v>2000</v>
      </c>
      <c r="M92">
        <v>1</v>
      </c>
      <c r="N92">
        <v>562.33330000000001</v>
      </c>
      <c r="O92">
        <v>9.89</v>
      </c>
      <c r="P92">
        <v>167.33330000000001</v>
      </c>
      <c r="Q92" t="s">
        <v>479</v>
      </c>
      <c r="R92" t="s">
        <v>480</v>
      </c>
      <c r="S92">
        <v>6</v>
      </c>
      <c r="T92">
        <v>61</v>
      </c>
      <c r="U92">
        <v>2.13</v>
      </c>
      <c r="V92" t="s">
        <v>481</v>
      </c>
      <c r="W92">
        <v>0</v>
      </c>
      <c r="X92">
        <v>4</v>
      </c>
      <c r="Y92" t="b">
        <v>0</v>
      </c>
      <c r="Z92">
        <v>0.83299999999999996</v>
      </c>
      <c r="AA92">
        <v>21.6</v>
      </c>
      <c r="AB92">
        <v>0</v>
      </c>
      <c r="AC92">
        <v>0</v>
      </c>
      <c r="AD92">
        <v>8</v>
      </c>
      <c r="AE92">
        <v>75</v>
      </c>
      <c r="AF92">
        <v>0.97</v>
      </c>
      <c r="AG92">
        <v>110</v>
      </c>
      <c r="AH92">
        <v>-0.68110000000000004</v>
      </c>
      <c r="AI92">
        <v>0.81499999999999995</v>
      </c>
      <c r="AJ92">
        <v>4</v>
      </c>
      <c r="AK92">
        <v>8.0000000000000002E-3</v>
      </c>
      <c r="AL92">
        <v>0.33600000000000002</v>
      </c>
      <c r="AM92">
        <v>0.7</v>
      </c>
      <c r="AN92">
        <v>0.4</v>
      </c>
      <c r="AO92">
        <v>0.8</v>
      </c>
      <c r="AP92">
        <v>0</v>
      </c>
      <c r="AQ92">
        <v>0</v>
      </c>
      <c r="AR92">
        <v>60</v>
      </c>
      <c r="AS92">
        <v>0.2</v>
      </c>
      <c r="AT92">
        <v>0</v>
      </c>
      <c r="AU92">
        <v>30</v>
      </c>
      <c r="AV92">
        <v>100</v>
      </c>
      <c r="AW92">
        <v>1</v>
      </c>
      <c r="AX92">
        <v>0.86</v>
      </c>
      <c r="AZ92" t="b">
        <v>0</v>
      </c>
      <c r="BA92">
        <v>114</v>
      </c>
      <c r="BB92">
        <v>0.98</v>
      </c>
      <c r="BC92">
        <v>1.4</v>
      </c>
      <c r="BD92">
        <v>5.0000000000000001E-3</v>
      </c>
      <c r="BE92">
        <v>0.98</v>
      </c>
      <c r="BS92">
        <v>6</v>
      </c>
      <c r="BX92">
        <v>30</v>
      </c>
    </row>
    <row r="95" spans="1:77" x14ac:dyDescent="0.25">
      <c r="B95" t="s">
        <v>299</v>
      </c>
      <c r="C95" t="s">
        <v>300</v>
      </c>
      <c r="D95" t="s">
        <v>301</v>
      </c>
      <c r="E95" t="s">
        <v>302</v>
      </c>
      <c r="F95" t="s">
        <v>303</v>
      </c>
      <c r="G95" t="s">
        <v>304</v>
      </c>
      <c r="H95" t="s">
        <v>305</v>
      </c>
      <c r="I95" t="s">
        <v>306</v>
      </c>
      <c r="J95" t="s">
        <v>307</v>
      </c>
      <c r="K95" t="s">
        <v>308</v>
      </c>
      <c r="L95" t="s">
        <v>309</v>
      </c>
      <c r="M95" t="s">
        <v>310</v>
      </c>
      <c r="N95" t="s">
        <v>311</v>
      </c>
      <c r="O95" t="s">
        <v>312</v>
      </c>
      <c r="P95" t="s">
        <v>313</v>
      </c>
      <c r="Q95" t="s">
        <v>314</v>
      </c>
      <c r="R95" t="s">
        <v>315</v>
      </c>
      <c r="S95" t="s">
        <v>316</v>
      </c>
      <c r="T95" t="s">
        <v>317</v>
      </c>
      <c r="U95" t="s">
        <v>318</v>
      </c>
      <c r="V95" t="s">
        <v>319</v>
      </c>
      <c r="W95" t="s">
        <v>320</v>
      </c>
      <c r="X95" t="s">
        <v>321</v>
      </c>
      <c r="Y95" t="s">
        <v>322</v>
      </c>
      <c r="Z95" t="s">
        <v>323</v>
      </c>
      <c r="AA95" t="s">
        <v>324</v>
      </c>
      <c r="AB95" t="s">
        <v>325</v>
      </c>
      <c r="AC95" t="s">
        <v>326</v>
      </c>
      <c r="AD95" t="s">
        <v>327</v>
      </c>
      <c r="AE95" t="s">
        <v>328</v>
      </c>
      <c r="AF95" t="s">
        <v>329</v>
      </c>
      <c r="AG95" t="s">
        <v>330</v>
      </c>
      <c r="AH95" t="s">
        <v>331</v>
      </c>
      <c r="AI95" t="s">
        <v>332</v>
      </c>
      <c r="AJ95" t="s">
        <v>333</v>
      </c>
      <c r="AK95" t="s">
        <v>334</v>
      </c>
      <c r="AL95" t="s">
        <v>335</v>
      </c>
      <c r="AM95" t="s">
        <v>336</v>
      </c>
      <c r="AN95" t="s">
        <v>337</v>
      </c>
      <c r="AO95" t="s">
        <v>338</v>
      </c>
      <c r="AP95" t="s">
        <v>339</v>
      </c>
      <c r="AQ95" t="s">
        <v>340</v>
      </c>
      <c r="AR95" t="s">
        <v>341</v>
      </c>
      <c r="AS95" t="s">
        <v>342</v>
      </c>
      <c r="AT95" t="s">
        <v>343</v>
      </c>
      <c r="AU95" t="s">
        <v>344</v>
      </c>
      <c r="AV95" t="s">
        <v>345</v>
      </c>
      <c r="AW95" t="s">
        <v>346</v>
      </c>
      <c r="AX95" t="s">
        <v>347</v>
      </c>
      <c r="AY95" t="s">
        <v>348</v>
      </c>
      <c r="AZ95" t="s">
        <v>349</v>
      </c>
      <c r="BA95" t="s">
        <v>350</v>
      </c>
      <c r="BB95" s="46" t="s">
        <v>351</v>
      </c>
      <c r="BC95" t="s">
        <v>352</v>
      </c>
      <c r="BD95" t="s">
        <v>353</v>
      </c>
      <c r="BE95" t="s">
        <v>354</v>
      </c>
      <c r="BF95" t="s">
        <v>355</v>
      </c>
      <c r="BG95" t="s">
        <v>356</v>
      </c>
      <c r="BH95" t="s">
        <v>357</v>
      </c>
      <c r="BI95" t="s">
        <v>358</v>
      </c>
      <c r="BJ95" t="s">
        <v>359</v>
      </c>
      <c r="BK95" t="s">
        <v>360</v>
      </c>
      <c r="BL95" t="s">
        <v>361</v>
      </c>
      <c r="BM95" t="s">
        <v>362</v>
      </c>
      <c r="BN95" t="s">
        <v>363</v>
      </c>
      <c r="BO95" t="s">
        <v>364</v>
      </c>
      <c r="BP95" t="s">
        <v>365</v>
      </c>
      <c r="BQ95" t="s">
        <v>366</v>
      </c>
      <c r="BR95" t="s">
        <v>367</v>
      </c>
      <c r="BS95" s="47" t="s">
        <v>368</v>
      </c>
      <c r="BT95" t="s">
        <v>369</v>
      </c>
      <c r="BU95" t="s">
        <v>370</v>
      </c>
      <c r="BV95" t="s">
        <v>371</v>
      </c>
      <c r="BW95" t="s">
        <v>372</v>
      </c>
      <c r="BX95" t="s">
        <v>373</v>
      </c>
      <c r="BY95" t="s">
        <v>374</v>
      </c>
    </row>
    <row r="96" spans="1:77" x14ac:dyDescent="0.25">
      <c r="A96" t="s">
        <v>485</v>
      </c>
      <c r="C96" t="s">
        <v>477</v>
      </c>
      <c r="D96">
        <f>AVERAGE(D22,D37,D38,D38)</f>
        <v>0.3</v>
      </c>
      <c r="E96">
        <f>AVERAGE(E22,E37,E38,E38)</f>
        <v>2.7893317500000006</v>
      </c>
      <c r="F96">
        <f t="shared" ref="F96:BE96" si="15">AVERAGE(F22,F37,F38,F38)</f>
        <v>1123.242</v>
      </c>
      <c r="G96">
        <f t="shared" si="15"/>
        <v>0.63102500000000006</v>
      </c>
      <c r="H96">
        <f t="shared" si="15"/>
        <v>0.59</v>
      </c>
      <c r="I96">
        <f t="shared" si="15"/>
        <v>2.905125</v>
      </c>
      <c r="J96">
        <f t="shared" si="15"/>
        <v>136</v>
      </c>
      <c r="L96">
        <f t="shared" si="15"/>
        <v>2000</v>
      </c>
      <c r="M96">
        <f t="shared" si="15"/>
        <v>1</v>
      </c>
      <c r="N96">
        <f t="shared" si="15"/>
        <v>457.867525</v>
      </c>
      <c r="O96">
        <f t="shared" si="15"/>
        <v>9.89</v>
      </c>
      <c r="P96">
        <f t="shared" si="15"/>
        <v>112.71429999999999</v>
      </c>
      <c r="Q96" t="s">
        <v>479</v>
      </c>
      <c r="R96" t="s">
        <v>480</v>
      </c>
      <c r="S96">
        <f t="shared" si="15"/>
        <v>6</v>
      </c>
      <c r="T96">
        <f t="shared" si="15"/>
        <v>61</v>
      </c>
      <c r="U96">
        <f t="shared" si="15"/>
        <v>2.13</v>
      </c>
      <c r="V96" t="s">
        <v>481</v>
      </c>
      <c r="W96">
        <f t="shared" si="15"/>
        <v>0</v>
      </c>
      <c r="X96">
        <f t="shared" si="15"/>
        <v>4</v>
      </c>
      <c r="Y96" t="b">
        <v>0</v>
      </c>
      <c r="Z96">
        <f t="shared" si="15"/>
        <v>0.83299999999999996</v>
      </c>
      <c r="AA96">
        <f t="shared" si="15"/>
        <v>21.6</v>
      </c>
      <c r="AB96">
        <f t="shared" si="15"/>
        <v>0</v>
      </c>
      <c r="AC96">
        <f t="shared" si="15"/>
        <v>0</v>
      </c>
      <c r="AD96">
        <f t="shared" si="15"/>
        <v>8</v>
      </c>
      <c r="AE96">
        <f t="shared" si="15"/>
        <v>75</v>
      </c>
      <c r="AF96">
        <f t="shared" si="15"/>
        <v>0.97</v>
      </c>
      <c r="AG96">
        <f t="shared" si="15"/>
        <v>110</v>
      </c>
      <c r="AH96">
        <f t="shared" si="15"/>
        <v>-0.68110000000000004</v>
      </c>
      <c r="AI96">
        <f t="shared" si="15"/>
        <v>0.81499999999999995</v>
      </c>
      <c r="AJ96">
        <f t="shared" si="15"/>
        <v>4</v>
      </c>
      <c r="AK96">
        <f t="shared" si="15"/>
        <v>7.4999999999999997E-3</v>
      </c>
      <c r="AL96">
        <f t="shared" si="15"/>
        <v>0.33600000000000002</v>
      </c>
      <c r="AM96">
        <f t="shared" si="15"/>
        <v>0.7</v>
      </c>
      <c r="AN96">
        <f t="shared" si="15"/>
        <v>0.4</v>
      </c>
      <c r="AO96">
        <f t="shared" si="15"/>
        <v>0.8</v>
      </c>
      <c r="AP96">
        <f t="shared" si="15"/>
        <v>0</v>
      </c>
      <c r="AQ96">
        <f t="shared" si="15"/>
        <v>0</v>
      </c>
      <c r="AR96">
        <f t="shared" si="15"/>
        <v>60</v>
      </c>
      <c r="AS96">
        <f t="shared" si="15"/>
        <v>0.2</v>
      </c>
      <c r="AT96">
        <f t="shared" si="15"/>
        <v>0</v>
      </c>
      <c r="AU96">
        <f t="shared" si="15"/>
        <v>30</v>
      </c>
      <c r="AV96">
        <f t="shared" si="15"/>
        <v>100</v>
      </c>
      <c r="AW96">
        <f t="shared" si="15"/>
        <v>1</v>
      </c>
      <c r="AX96">
        <f t="shared" si="15"/>
        <v>0.86</v>
      </c>
      <c r="AZ96" t="b">
        <v>0</v>
      </c>
      <c r="BA96">
        <f t="shared" si="15"/>
        <v>114</v>
      </c>
      <c r="BB96">
        <f t="shared" si="15"/>
        <v>0.95</v>
      </c>
      <c r="BC96">
        <f t="shared" si="15"/>
        <v>1.4</v>
      </c>
      <c r="BD96">
        <f t="shared" si="15"/>
        <v>5.0000000000000001E-3</v>
      </c>
      <c r="BE96">
        <f t="shared" si="15"/>
        <v>0.98</v>
      </c>
      <c r="BS96">
        <f t="shared" ref="BS96:BX96" si="16">AVERAGE(BS22,BS37,BS38,BS38)</f>
        <v>5.375</v>
      </c>
      <c r="BX96">
        <f t="shared" si="16"/>
        <v>30</v>
      </c>
    </row>
    <row r="97" spans="1:76" x14ac:dyDescent="0.25">
      <c r="A97" t="s">
        <v>482</v>
      </c>
      <c r="C97" t="s">
        <v>477</v>
      </c>
      <c r="D97">
        <f>AVERAGE(D59,D41)</f>
        <v>0.32900000000000001</v>
      </c>
      <c r="E97">
        <f t="shared" ref="E97:AX97" si="17">AVERAGE(E59,E41)</f>
        <v>2.4622190000000002</v>
      </c>
      <c r="F97">
        <f t="shared" si="17"/>
        <v>895</v>
      </c>
      <c r="G97">
        <f t="shared" si="17"/>
        <v>0.53</v>
      </c>
      <c r="H97">
        <f t="shared" si="17"/>
        <v>0.59</v>
      </c>
      <c r="I97">
        <f t="shared" si="17"/>
        <v>2.5984999999999996</v>
      </c>
      <c r="J97">
        <f t="shared" si="17"/>
        <v>136</v>
      </c>
      <c r="L97">
        <f t="shared" si="17"/>
        <v>2000</v>
      </c>
      <c r="M97">
        <f t="shared" si="17"/>
        <v>1</v>
      </c>
      <c r="N97">
        <f t="shared" si="17"/>
        <v>492.33330000000001</v>
      </c>
      <c r="O97">
        <f t="shared" si="17"/>
        <v>9.89</v>
      </c>
      <c r="P97">
        <f t="shared" si="17"/>
        <v>114.33329999999999</v>
      </c>
      <c r="Q97" t="s">
        <v>479</v>
      </c>
      <c r="R97" t="s">
        <v>480</v>
      </c>
      <c r="S97">
        <f t="shared" si="17"/>
        <v>6</v>
      </c>
      <c r="T97">
        <f t="shared" si="17"/>
        <v>61</v>
      </c>
      <c r="U97">
        <f t="shared" si="17"/>
        <v>2.13</v>
      </c>
      <c r="V97" t="s">
        <v>481</v>
      </c>
      <c r="W97">
        <f t="shared" si="17"/>
        <v>0</v>
      </c>
      <c r="X97">
        <f t="shared" si="17"/>
        <v>4</v>
      </c>
      <c r="Y97" t="b">
        <v>0</v>
      </c>
      <c r="Z97">
        <f t="shared" si="17"/>
        <v>0.83299999999999996</v>
      </c>
      <c r="AA97">
        <f t="shared" si="17"/>
        <v>21.6</v>
      </c>
      <c r="AB97">
        <f t="shared" si="17"/>
        <v>0</v>
      </c>
      <c r="AC97">
        <f t="shared" si="17"/>
        <v>0</v>
      </c>
      <c r="AD97">
        <f t="shared" si="17"/>
        <v>8</v>
      </c>
      <c r="AE97">
        <f t="shared" si="17"/>
        <v>75</v>
      </c>
      <c r="AF97">
        <f t="shared" si="17"/>
        <v>0.97</v>
      </c>
      <c r="AG97">
        <f t="shared" si="17"/>
        <v>110</v>
      </c>
      <c r="AH97">
        <f t="shared" si="17"/>
        <v>-0.68110000000000004</v>
      </c>
      <c r="AI97">
        <f t="shared" si="17"/>
        <v>0.81499999999999995</v>
      </c>
      <c r="AJ97">
        <f t="shared" si="17"/>
        <v>4</v>
      </c>
      <c r="AK97">
        <f t="shared" si="17"/>
        <v>7.4999999999999997E-3</v>
      </c>
      <c r="AL97">
        <f t="shared" si="17"/>
        <v>0.33600000000000002</v>
      </c>
      <c r="AM97">
        <f t="shared" si="17"/>
        <v>0.7</v>
      </c>
      <c r="AN97">
        <f t="shared" si="17"/>
        <v>0.4</v>
      </c>
      <c r="AO97">
        <f t="shared" si="17"/>
        <v>0.8</v>
      </c>
      <c r="AP97">
        <f t="shared" si="17"/>
        <v>0</v>
      </c>
      <c r="AQ97">
        <f t="shared" si="17"/>
        <v>0</v>
      </c>
      <c r="AR97">
        <f t="shared" si="17"/>
        <v>60</v>
      </c>
      <c r="AS97">
        <f t="shared" si="17"/>
        <v>0.2</v>
      </c>
      <c r="AT97">
        <f t="shared" si="17"/>
        <v>0</v>
      </c>
      <c r="AU97">
        <f t="shared" si="17"/>
        <v>30</v>
      </c>
      <c r="AV97">
        <f t="shared" si="17"/>
        <v>100</v>
      </c>
      <c r="AW97">
        <f t="shared" si="17"/>
        <v>1</v>
      </c>
      <c r="AX97">
        <f t="shared" si="17"/>
        <v>0.86</v>
      </c>
      <c r="AZ97" t="b">
        <v>0</v>
      </c>
      <c r="BA97">
        <f t="shared" ref="BA97:BE97" si="18">AVERAGE(BA23,BA38,BA39,BA39)</f>
        <v>114</v>
      </c>
      <c r="BB97">
        <f t="shared" si="18"/>
        <v>0.93499999999999994</v>
      </c>
      <c r="BC97">
        <f t="shared" si="18"/>
        <v>1.4</v>
      </c>
      <c r="BD97">
        <f t="shared" si="18"/>
        <v>5.0000000000000001E-3</v>
      </c>
      <c r="BE97">
        <f t="shared" si="18"/>
        <v>0.98</v>
      </c>
      <c r="BS97">
        <f t="shared" ref="BS97:BX97" si="19">AVERAGE(BS23,BS38,BS39,BS39)</f>
        <v>5.8500000000000005</v>
      </c>
      <c r="BX97">
        <f t="shared" si="19"/>
        <v>30</v>
      </c>
    </row>
    <row r="98" spans="1:76" x14ac:dyDescent="0.25">
      <c r="A98" t="s">
        <v>483</v>
      </c>
      <c r="C98" t="s">
        <v>477</v>
      </c>
      <c r="D98">
        <f>AVERAGE(D44)</f>
        <v>0.28999999999999998</v>
      </c>
      <c r="E98">
        <f t="shared" ref="E98:AX98" si="20">AVERAGE(E44)</f>
        <v>2.4260440000000001</v>
      </c>
      <c r="F98">
        <f t="shared" si="20"/>
        <v>895</v>
      </c>
      <c r="G98">
        <f t="shared" si="20"/>
        <v>0.53</v>
      </c>
      <c r="H98">
        <f t="shared" si="20"/>
        <v>0.59</v>
      </c>
      <c r="I98">
        <f t="shared" si="20"/>
        <v>2.71</v>
      </c>
      <c r="J98">
        <f t="shared" si="20"/>
        <v>136</v>
      </c>
      <c r="L98">
        <f t="shared" si="20"/>
        <v>2000</v>
      </c>
      <c r="M98">
        <f t="shared" si="20"/>
        <v>1</v>
      </c>
      <c r="N98">
        <f t="shared" si="20"/>
        <v>492.33330000000001</v>
      </c>
      <c r="O98">
        <f t="shared" si="20"/>
        <v>9.89</v>
      </c>
      <c r="P98">
        <f t="shared" si="20"/>
        <v>114.333</v>
      </c>
      <c r="Q98" t="s">
        <v>479</v>
      </c>
      <c r="R98" t="s">
        <v>480</v>
      </c>
      <c r="S98">
        <f t="shared" si="20"/>
        <v>6</v>
      </c>
      <c r="T98">
        <f t="shared" si="20"/>
        <v>61</v>
      </c>
      <c r="U98">
        <f t="shared" si="20"/>
        <v>2.13</v>
      </c>
      <c r="V98" t="s">
        <v>481</v>
      </c>
      <c r="W98">
        <f t="shared" si="20"/>
        <v>0</v>
      </c>
      <c r="X98">
        <f t="shared" si="20"/>
        <v>4</v>
      </c>
      <c r="Y98" t="b">
        <v>0</v>
      </c>
      <c r="Z98">
        <f t="shared" si="20"/>
        <v>0.83299999999999996</v>
      </c>
      <c r="AA98">
        <f t="shared" si="20"/>
        <v>21.6</v>
      </c>
      <c r="AB98">
        <f t="shared" si="20"/>
        <v>0</v>
      </c>
      <c r="AC98">
        <f t="shared" si="20"/>
        <v>0</v>
      </c>
      <c r="AD98">
        <f t="shared" si="20"/>
        <v>8</v>
      </c>
      <c r="AE98">
        <f t="shared" si="20"/>
        <v>75</v>
      </c>
      <c r="AF98">
        <f t="shared" si="20"/>
        <v>0.97</v>
      </c>
      <c r="AG98">
        <f t="shared" si="20"/>
        <v>110</v>
      </c>
      <c r="AH98">
        <f t="shared" si="20"/>
        <v>-0.68110000000000004</v>
      </c>
      <c r="AI98">
        <f t="shared" si="20"/>
        <v>0.81499999999999995</v>
      </c>
      <c r="AJ98">
        <f t="shared" si="20"/>
        <v>4</v>
      </c>
      <c r="AK98">
        <f t="shared" si="20"/>
        <v>7.4999999999999997E-3</v>
      </c>
      <c r="AL98">
        <f t="shared" si="20"/>
        <v>0.33600000000000002</v>
      </c>
      <c r="AM98">
        <f t="shared" si="20"/>
        <v>0.7</v>
      </c>
      <c r="AN98">
        <f t="shared" si="20"/>
        <v>0.4</v>
      </c>
      <c r="AO98">
        <f t="shared" si="20"/>
        <v>0.8</v>
      </c>
      <c r="AP98">
        <f t="shared" si="20"/>
        <v>0</v>
      </c>
      <c r="AQ98">
        <f t="shared" si="20"/>
        <v>0</v>
      </c>
      <c r="AR98">
        <f t="shared" si="20"/>
        <v>60</v>
      </c>
      <c r="AS98">
        <f t="shared" si="20"/>
        <v>0.2</v>
      </c>
      <c r="AT98">
        <f t="shared" si="20"/>
        <v>0</v>
      </c>
      <c r="AU98">
        <f t="shared" si="20"/>
        <v>30</v>
      </c>
      <c r="AV98">
        <f t="shared" si="20"/>
        <v>100</v>
      </c>
      <c r="AW98">
        <f t="shared" si="20"/>
        <v>1</v>
      </c>
      <c r="AX98">
        <f t="shared" si="20"/>
        <v>0.86</v>
      </c>
      <c r="AZ98" t="b">
        <v>0</v>
      </c>
      <c r="BA98">
        <f t="shared" ref="BA98:BE98" si="21">AVERAGE(BA24,BA39,BA40,BA40)</f>
        <v>114</v>
      </c>
      <c r="BB98">
        <f t="shared" si="21"/>
        <v>0.95750000000000002</v>
      </c>
      <c r="BC98">
        <f t="shared" si="21"/>
        <v>1.4</v>
      </c>
      <c r="BD98">
        <f t="shared" si="21"/>
        <v>5.0000000000000001E-3</v>
      </c>
      <c r="BE98">
        <f t="shared" si="21"/>
        <v>0.98</v>
      </c>
      <c r="BS98">
        <f t="shared" ref="BS98:BX98" si="22">AVERAGE(BS24,BS39,BS40,BS40)</f>
        <v>6.125</v>
      </c>
      <c r="BX98">
        <f t="shared" si="22"/>
        <v>30</v>
      </c>
    </row>
    <row r="99" spans="1:76" x14ac:dyDescent="0.25">
      <c r="A99" s="46" t="s">
        <v>470</v>
      </c>
      <c r="C99" t="s">
        <v>477</v>
      </c>
      <c r="D99">
        <f>AVERAGE(D53,D55,D57,D78,D80,D82)</f>
        <v>0.56666666666666654</v>
      </c>
      <c r="E99">
        <f t="shared" ref="E99:AX99" si="23">AVERAGE(E53,E55,E57,E78,E80,E82)</f>
        <v>4.1436396466666663</v>
      </c>
      <c r="F99">
        <f t="shared" si="23"/>
        <v>1533.5</v>
      </c>
      <c r="G99">
        <f t="shared" si="23"/>
        <v>0.74104999999999999</v>
      </c>
      <c r="H99">
        <f>AVERAGE(H53,H55,H57,H78,H80,H82)</f>
        <v>0.58571428571428563</v>
      </c>
      <c r="I99">
        <f t="shared" si="23"/>
        <v>3.69848</v>
      </c>
      <c r="J99">
        <f t="shared" si="23"/>
        <v>136</v>
      </c>
      <c r="L99">
        <f t="shared" si="23"/>
        <v>2000</v>
      </c>
      <c r="M99">
        <f t="shared" si="23"/>
        <v>1</v>
      </c>
      <c r="N99">
        <f t="shared" si="23"/>
        <v>562.33330000000001</v>
      </c>
      <c r="O99">
        <f t="shared" si="23"/>
        <v>9.89</v>
      </c>
      <c r="P99" s="46" t="e">
        <f t="shared" si="23"/>
        <v>#DIV/0!</v>
      </c>
      <c r="Q99" t="s">
        <v>479</v>
      </c>
      <c r="R99" t="s">
        <v>480</v>
      </c>
      <c r="S99">
        <f t="shared" si="23"/>
        <v>6</v>
      </c>
      <c r="T99">
        <f t="shared" si="23"/>
        <v>61</v>
      </c>
      <c r="U99">
        <f t="shared" si="23"/>
        <v>2.1299999999999994</v>
      </c>
      <c r="V99" t="s">
        <v>481</v>
      </c>
      <c r="W99">
        <f t="shared" si="23"/>
        <v>0</v>
      </c>
      <c r="X99">
        <f t="shared" si="23"/>
        <v>4</v>
      </c>
      <c r="Y99" t="b">
        <v>0</v>
      </c>
      <c r="Z99">
        <f t="shared" si="23"/>
        <v>0.83300000000000007</v>
      </c>
      <c r="AA99">
        <f t="shared" si="23"/>
        <v>21.599999999999998</v>
      </c>
      <c r="AB99">
        <f t="shared" si="23"/>
        <v>0</v>
      </c>
      <c r="AC99">
        <f t="shared" si="23"/>
        <v>0</v>
      </c>
      <c r="AD99">
        <f t="shared" si="23"/>
        <v>8</v>
      </c>
      <c r="AE99">
        <f t="shared" si="23"/>
        <v>75</v>
      </c>
      <c r="AF99">
        <f t="shared" si="23"/>
        <v>0.96999999999999986</v>
      </c>
      <c r="AG99">
        <f t="shared" si="23"/>
        <v>110</v>
      </c>
      <c r="AH99">
        <f t="shared" si="23"/>
        <v>-0.68109999999999993</v>
      </c>
      <c r="AI99">
        <f t="shared" si="23"/>
        <v>0.81499999999999984</v>
      </c>
      <c r="AJ99">
        <f t="shared" si="23"/>
        <v>4</v>
      </c>
      <c r="AK99">
        <f t="shared" si="23"/>
        <v>8.2000000000000007E-3</v>
      </c>
      <c r="AL99">
        <f t="shared" si="23"/>
        <v>0.33600000000000002</v>
      </c>
      <c r="AM99">
        <f t="shared" si="23"/>
        <v>0.70000000000000007</v>
      </c>
      <c r="AN99">
        <f t="shared" si="23"/>
        <v>0.39999999999999997</v>
      </c>
      <c r="AO99">
        <f t="shared" si="23"/>
        <v>0.79999999999999993</v>
      </c>
      <c r="AP99">
        <f t="shared" si="23"/>
        <v>0</v>
      </c>
      <c r="AQ99">
        <f t="shared" si="23"/>
        <v>0</v>
      </c>
      <c r="AR99">
        <f t="shared" si="23"/>
        <v>60</v>
      </c>
      <c r="AS99">
        <f t="shared" si="23"/>
        <v>0.19999999999999998</v>
      </c>
      <c r="AT99">
        <f t="shared" si="23"/>
        <v>0</v>
      </c>
      <c r="AU99">
        <f t="shared" si="23"/>
        <v>30</v>
      </c>
      <c r="AV99">
        <f t="shared" si="23"/>
        <v>100</v>
      </c>
      <c r="AW99">
        <f t="shared" si="23"/>
        <v>1</v>
      </c>
      <c r="AX99">
        <f t="shared" si="23"/>
        <v>0.86</v>
      </c>
      <c r="AZ99" t="b">
        <v>0</v>
      </c>
      <c r="BA99">
        <f t="shared" ref="BA99:BE99" si="24">AVERAGE(BA25,BA40,BA41,BA41)</f>
        <v>114</v>
      </c>
      <c r="BB99">
        <f t="shared" si="24"/>
        <v>0.95</v>
      </c>
      <c r="BC99">
        <f t="shared" si="24"/>
        <v>1.4</v>
      </c>
      <c r="BD99">
        <f t="shared" si="24"/>
        <v>5.0000000000000001E-3</v>
      </c>
      <c r="BE99">
        <f t="shared" si="24"/>
        <v>0.98</v>
      </c>
      <c r="BS99">
        <f t="shared" ref="BS99:BX99" si="25">AVERAGE(BS25,BS40,BS41,BS41)</f>
        <v>5.7999999999999989</v>
      </c>
      <c r="BX99">
        <f t="shared" si="25"/>
        <v>30</v>
      </c>
    </row>
    <row r="100" spans="1:76" x14ac:dyDescent="0.25">
      <c r="A100" t="s">
        <v>486</v>
      </c>
      <c r="C100" t="s">
        <v>477</v>
      </c>
      <c r="D100">
        <f>AVERAGE(D75)</f>
        <v>0.5</v>
      </c>
      <c r="E100">
        <f t="shared" ref="E100:AX100" si="26">AVERAGE(E75)</f>
        <v>4.3322494000000003</v>
      </c>
      <c r="F100" s="46">
        <v>1500</v>
      </c>
      <c r="G100">
        <f t="shared" si="26"/>
        <v>0.6038</v>
      </c>
      <c r="H100">
        <f t="shared" si="26"/>
        <v>0.59</v>
      </c>
      <c r="I100">
        <f t="shared" si="26"/>
        <v>3.4289999999999998</v>
      </c>
      <c r="J100">
        <f t="shared" si="26"/>
        <v>136</v>
      </c>
      <c r="L100">
        <f t="shared" si="26"/>
        <v>2000</v>
      </c>
      <c r="M100">
        <f t="shared" si="26"/>
        <v>1</v>
      </c>
      <c r="N100" s="46" t="e">
        <f t="shared" si="26"/>
        <v>#DIV/0!</v>
      </c>
      <c r="O100">
        <f t="shared" si="26"/>
        <v>9.89</v>
      </c>
      <c r="P100" s="46" t="e">
        <f t="shared" si="26"/>
        <v>#DIV/0!</v>
      </c>
      <c r="Q100" t="s">
        <v>479</v>
      </c>
      <c r="R100" t="s">
        <v>480</v>
      </c>
      <c r="S100">
        <f t="shared" si="26"/>
        <v>6</v>
      </c>
      <c r="T100">
        <f t="shared" si="26"/>
        <v>61</v>
      </c>
      <c r="U100">
        <f t="shared" si="26"/>
        <v>2.13</v>
      </c>
      <c r="V100" t="s">
        <v>481</v>
      </c>
      <c r="W100">
        <f t="shared" si="26"/>
        <v>0</v>
      </c>
      <c r="X100">
        <f t="shared" si="26"/>
        <v>4</v>
      </c>
      <c r="Y100" t="b">
        <v>0</v>
      </c>
      <c r="Z100">
        <f t="shared" si="26"/>
        <v>0.83299999999999996</v>
      </c>
      <c r="AA100">
        <f t="shared" si="26"/>
        <v>21.6</v>
      </c>
      <c r="AB100">
        <f t="shared" si="26"/>
        <v>0</v>
      </c>
      <c r="AC100">
        <f t="shared" si="26"/>
        <v>0</v>
      </c>
      <c r="AD100">
        <f t="shared" si="26"/>
        <v>8</v>
      </c>
      <c r="AE100">
        <f t="shared" si="26"/>
        <v>75</v>
      </c>
      <c r="AF100">
        <f t="shared" si="26"/>
        <v>0.97</v>
      </c>
      <c r="AG100">
        <f t="shared" si="26"/>
        <v>110</v>
      </c>
      <c r="AH100">
        <f t="shared" si="26"/>
        <v>-0.68110000000000004</v>
      </c>
      <c r="AI100">
        <f t="shared" si="26"/>
        <v>0.81499999999999995</v>
      </c>
      <c r="AJ100">
        <f t="shared" si="26"/>
        <v>4</v>
      </c>
      <c r="AK100">
        <f t="shared" si="26"/>
        <v>8.0000000000000002E-3</v>
      </c>
      <c r="AL100">
        <f t="shared" si="26"/>
        <v>0.33600000000000002</v>
      </c>
      <c r="AM100">
        <f t="shared" si="26"/>
        <v>0.7</v>
      </c>
      <c r="AN100">
        <f t="shared" si="26"/>
        <v>0.4</v>
      </c>
      <c r="AO100">
        <f t="shared" si="26"/>
        <v>0.8</v>
      </c>
      <c r="AP100">
        <f t="shared" si="26"/>
        <v>0</v>
      </c>
      <c r="AQ100">
        <f t="shared" si="26"/>
        <v>0</v>
      </c>
      <c r="AR100">
        <f t="shared" si="26"/>
        <v>60</v>
      </c>
      <c r="AS100">
        <f t="shared" si="26"/>
        <v>0.2</v>
      </c>
      <c r="AT100">
        <f t="shared" si="26"/>
        <v>0</v>
      </c>
      <c r="AU100">
        <f t="shared" si="26"/>
        <v>30</v>
      </c>
      <c r="AV100">
        <f t="shared" si="26"/>
        <v>100</v>
      </c>
      <c r="AW100">
        <f t="shared" si="26"/>
        <v>1</v>
      </c>
      <c r="AX100">
        <f t="shared" si="26"/>
        <v>0.86</v>
      </c>
      <c r="AZ100" t="b">
        <v>0</v>
      </c>
      <c r="BA100">
        <f t="shared" ref="BA100:BE100" si="27">AVERAGE(BA26,BA41,BA42,BA42)</f>
        <v>114</v>
      </c>
      <c r="BB100">
        <f t="shared" si="27"/>
        <v>0.9425</v>
      </c>
      <c r="BC100">
        <f t="shared" si="27"/>
        <v>1.4</v>
      </c>
      <c r="BD100">
        <f t="shared" si="27"/>
        <v>5.0000000000000001E-3</v>
      </c>
      <c r="BE100">
        <f t="shared" si="27"/>
        <v>0.98</v>
      </c>
      <c r="BS100">
        <f t="shared" ref="BS100:BX100" si="28">AVERAGE(BS26,BS41,BS42,BS42)</f>
        <v>6.625</v>
      </c>
      <c r="BX100">
        <f t="shared" si="28"/>
        <v>30</v>
      </c>
    </row>
    <row r="101" spans="1:76" x14ac:dyDescent="0.25">
      <c r="A101" t="s">
        <v>472</v>
      </c>
      <c r="C101" t="s">
        <v>477</v>
      </c>
      <c r="D101">
        <f>AVERAGE(D4,D6,D8,D2,D31,D33,D35,D46,D65,D69,D85)</f>
        <v>0.3418181818181818</v>
      </c>
      <c r="E101">
        <f t="shared" ref="E101:AX101" si="29">AVERAGE(E4,E6,E8,E2,E31,E33,E35,E46,E65,E69,E85)</f>
        <v>3.1628089127272729</v>
      </c>
      <c r="F101">
        <f t="shared" si="29"/>
        <v>1533.5</v>
      </c>
      <c r="G101">
        <f t="shared" si="29"/>
        <v>0.68574545454545455</v>
      </c>
      <c r="H101">
        <f t="shared" si="29"/>
        <v>0.58181818181818179</v>
      </c>
      <c r="I101">
        <f t="shared" si="29"/>
        <v>2.7457654545454542</v>
      </c>
      <c r="J101">
        <f t="shared" si="29"/>
        <v>136</v>
      </c>
      <c r="L101">
        <f t="shared" si="29"/>
        <v>2000</v>
      </c>
      <c r="M101">
        <f t="shared" si="29"/>
        <v>1</v>
      </c>
      <c r="N101">
        <f t="shared" si="29"/>
        <v>562.33330000000012</v>
      </c>
      <c r="O101">
        <f t="shared" si="29"/>
        <v>9.89</v>
      </c>
      <c r="P101">
        <f t="shared" si="29"/>
        <v>167.33330000000001</v>
      </c>
      <c r="Q101" t="s">
        <v>479</v>
      </c>
      <c r="R101" t="s">
        <v>480</v>
      </c>
      <c r="S101">
        <f t="shared" si="29"/>
        <v>6</v>
      </c>
      <c r="T101">
        <f t="shared" si="29"/>
        <v>61</v>
      </c>
      <c r="U101">
        <f t="shared" si="29"/>
        <v>2.1299999999999994</v>
      </c>
      <c r="V101" t="s">
        <v>481</v>
      </c>
      <c r="W101">
        <f t="shared" si="29"/>
        <v>0</v>
      </c>
      <c r="X101">
        <f t="shared" si="29"/>
        <v>4</v>
      </c>
      <c r="Y101" t="b">
        <v>0</v>
      </c>
      <c r="Z101">
        <f t="shared" si="29"/>
        <v>0.83300000000000007</v>
      </c>
      <c r="AA101">
        <f t="shared" si="29"/>
        <v>21.599999999999998</v>
      </c>
      <c r="AB101">
        <f t="shared" si="29"/>
        <v>0</v>
      </c>
      <c r="AC101">
        <f t="shared" si="29"/>
        <v>0</v>
      </c>
      <c r="AD101">
        <f t="shared" si="29"/>
        <v>8</v>
      </c>
      <c r="AE101">
        <f t="shared" si="29"/>
        <v>75</v>
      </c>
      <c r="AF101">
        <f t="shared" si="29"/>
        <v>0.97</v>
      </c>
      <c r="AG101">
        <f t="shared" si="29"/>
        <v>110</v>
      </c>
      <c r="AH101">
        <f t="shared" si="29"/>
        <v>-0.68109999999999993</v>
      </c>
      <c r="AI101">
        <f t="shared" si="29"/>
        <v>0.81499999999999961</v>
      </c>
      <c r="AJ101">
        <f t="shared" si="29"/>
        <v>4</v>
      </c>
      <c r="AK101">
        <f t="shared" si="29"/>
        <v>7.545454545454547E-3</v>
      </c>
      <c r="AL101">
        <f t="shared" si="29"/>
        <v>0.33599999999999991</v>
      </c>
      <c r="AM101">
        <f t="shared" si="29"/>
        <v>0.70000000000000007</v>
      </c>
      <c r="AN101">
        <f t="shared" si="29"/>
        <v>0.39999999999999997</v>
      </c>
      <c r="AO101">
        <f t="shared" si="29"/>
        <v>0.79999999999999993</v>
      </c>
      <c r="AP101">
        <f t="shared" si="29"/>
        <v>0</v>
      </c>
      <c r="AQ101">
        <f t="shared" si="29"/>
        <v>0</v>
      </c>
      <c r="AR101">
        <f t="shared" si="29"/>
        <v>60</v>
      </c>
      <c r="AS101">
        <f t="shared" si="29"/>
        <v>0.19999999999999998</v>
      </c>
      <c r="AT101">
        <f t="shared" si="29"/>
        <v>0</v>
      </c>
      <c r="AU101">
        <f t="shared" si="29"/>
        <v>30</v>
      </c>
      <c r="AV101">
        <f t="shared" si="29"/>
        <v>100</v>
      </c>
      <c r="AW101">
        <f t="shared" si="29"/>
        <v>1</v>
      </c>
      <c r="AX101">
        <f t="shared" si="29"/>
        <v>0.8600000000000001</v>
      </c>
      <c r="AZ101" t="b">
        <v>0</v>
      </c>
      <c r="BA101">
        <f t="shared" ref="BA101:BE101" si="30">AVERAGE(BA27,BA42,BA43,BA43)</f>
        <v>114</v>
      </c>
      <c r="BB101">
        <f t="shared" si="30"/>
        <v>0.95000000000000007</v>
      </c>
      <c r="BC101">
        <f t="shared" si="30"/>
        <v>1.4</v>
      </c>
      <c r="BD101">
        <f t="shared" si="30"/>
        <v>5.0000000000000001E-3</v>
      </c>
      <c r="BE101">
        <f t="shared" si="30"/>
        <v>0.98</v>
      </c>
      <c r="BS101">
        <f t="shared" ref="BS101:BX101" si="31">AVERAGE(BS27,BS42,BS43,BS43)</f>
        <v>7.15</v>
      </c>
      <c r="BX101">
        <f t="shared" si="31"/>
        <v>30</v>
      </c>
    </row>
    <row r="102" spans="1:76" x14ac:dyDescent="0.25">
      <c r="A102" t="s">
        <v>478</v>
      </c>
      <c r="C102" t="s">
        <v>477</v>
      </c>
      <c r="D102">
        <f>AVERAGE(D83,D84,D75)</f>
        <v>0.53333333333333333</v>
      </c>
      <c r="E102">
        <f t="shared" ref="E102:AX102" si="32">AVERAGE(E83,E84,E75)</f>
        <v>4.3713891066666664</v>
      </c>
      <c r="F102" s="46" t="e">
        <f t="shared" si="32"/>
        <v>#DIV/0!</v>
      </c>
      <c r="G102">
        <f t="shared" si="32"/>
        <v>0.6976</v>
      </c>
      <c r="H102">
        <f t="shared" si="32"/>
        <v>0.59</v>
      </c>
      <c r="I102">
        <f t="shared" si="32"/>
        <v>3.7216666666666662</v>
      </c>
      <c r="J102">
        <f t="shared" si="32"/>
        <v>136</v>
      </c>
      <c r="L102">
        <f t="shared" si="32"/>
        <v>2000</v>
      </c>
      <c r="M102">
        <f t="shared" si="32"/>
        <v>1</v>
      </c>
      <c r="N102" s="46" t="e">
        <f t="shared" si="32"/>
        <v>#DIV/0!</v>
      </c>
      <c r="O102">
        <f t="shared" si="32"/>
        <v>9.89</v>
      </c>
      <c r="P102" s="46" t="e">
        <f t="shared" si="32"/>
        <v>#DIV/0!</v>
      </c>
      <c r="Q102" t="s">
        <v>479</v>
      </c>
      <c r="R102" t="s">
        <v>480</v>
      </c>
      <c r="S102">
        <f t="shared" si="32"/>
        <v>6</v>
      </c>
      <c r="T102">
        <f t="shared" si="32"/>
        <v>61</v>
      </c>
      <c r="U102">
        <f t="shared" si="32"/>
        <v>2.13</v>
      </c>
      <c r="V102" t="s">
        <v>481</v>
      </c>
      <c r="W102">
        <f t="shared" si="32"/>
        <v>0</v>
      </c>
      <c r="X102">
        <f t="shared" si="32"/>
        <v>4</v>
      </c>
      <c r="Y102" t="b">
        <v>0</v>
      </c>
      <c r="Z102">
        <f t="shared" si="32"/>
        <v>0.83299999999999985</v>
      </c>
      <c r="AA102">
        <f t="shared" si="32"/>
        <v>21.600000000000005</v>
      </c>
      <c r="AB102">
        <f t="shared" si="32"/>
        <v>0</v>
      </c>
      <c r="AC102">
        <f t="shared" si="32"/>
        <v>0</v>
      </c>
      <c r="AD102">
        <f t="shared" si="32"/>
        <v>8</v>
      </c>
      <c r="AE102">
        <f t="shared" si="32"/>
        <v>75</v>
      </c>
      <c r="AF102">
        <f t="shared" si="32"/>
        <v>0.97000000000000008</v>
      </c>
      <c r="AG102">
        <f t="shared" si="32"/>
        <v>110</v>
      </c>
      <c r="AH102">
        <f t="shared" si="32"/>
        <v>-0.68110000000000015</v>
      </c>
      <c r="AI102">
        <f t="shared" si="32"/>
        <v>0.81499999999999995</v>
      </c>
      <c r="AJ102">
        <f t="shared" si="32"/>
        <v>4</v>
      </c>
      <c r="AK102">
        <f t="shared" si="32"/>
        <v>8.1333333333333344E-3</v>
      </c>
      <c r="AL102">
        <f t="shared" si="32"/>
        <v>0.33600000000000002</v>
      </c>
      <c r="AM102">
        <f t="shared" si="32"/>
        <v>0.69999999999999984</v>
      </c>
      <c r="AN102">
        <f t="shared" si="32"/>
        <v>0.40000000000000008</v>
      </c>
      <c r="AO102">
        <f t="shared" si="32"/>
        <v>0.80000000000000016</v>
      </c>
      <c r="AP102">
        <f t="shared" si="32"/>
        <v>0</v>
      </c>
      <c r="AQ102">
        <f t="shared" si="32"/>
        <v>0</v>
      </c>
      <c r="AR102">
        <f t="shared" si="32"/>
        <v>60</v>
      </c>
      <c r="AS102">
        <f t="shared" si="32"/>
        <v>0.20000000000000004</v>
      </c>
      <c r="AT102">
        <f t="shared" si="32"/>
        <v>0</v>
      </c>
      <c r="AU102">
        <f t="shared" si="32"/>
        <v>30</v>
      </c>
      <c r="AV102">
        <f t="shared" si="32"/>
        <v>100</v>
      </c>
      <c r="AW102">
        <f t="shared" si="32"/>
        <v>1</v>
      </c>
      <c r="AX102">
        <f t="shared" si="32"/>
        <v>0.86</v>
      </c>
      <c r="AZ102" t="b">
        <v>0</v>
      </c>
      <c r="BA102">
        <f t="shared" ref="BA102:BE102" si="33">AVERAGE(BA28,BA43,BA44,BA44)</f>
        <v>114</v>
      </c>
      <c r="BB102">
        <f t="shared" si="33"/>
        <v>0.96500000000000008</v>
      </c>
      <c r="BC102">
        <f t="shared" si="33"/>
        <v>1.4</v>
      </c>
      <c r="BD102">
        <f t="shared" si="33"/>
        <v>5.0000000000000001E-3</v>
      </c>
      <c r="BE102">
        <f t="shared" si="33"/>
        <v>0.98</v>
      </c>
      <c r="BS102">
        <f t="shared" ref="BS102:BX102" si="34">AVERAGE(BS28,BS43,BS44,BS44)</f>
        <v>4.8499999999999996</v>
      </c>
      <c r="BX102">
        <f t="shared" si="34"/>
        <v>30</v>
      </c>
    </row>
    <row r="103" spans="1:76" x14ac:dyDescent="0.25">
      <c r="A103" s="46" t="s">
        <v>475</v>
      </c>
      <c r="C103" t="s">
        <v>477</v>
      </c>
      <c r="D103">
        <f>AVERAGE(D74,D43)</f>
        <v>0.55000000000000004</v>
      </c>
      <c r="E103">
        <f t="shared" ref="E103:AX103" si="35">AVERAGE(E74,E43)</f>
        <v>3.6783929999999998</v>
      </c>
      <c r="F103" s="46">
        <v>1500</v>
      </c>
      <c r="G103">
        <f t="shared" si="35"/>
        <v>0.61509999999999998</v>
      </c>
      <c r="H103">
        <f t="shared" si="35"/>
        <v>0.55471698113207546</v>
      </c>
      <c r="I103">
        <f t="shared" si="35"/>
        <v>3.2637</v>
      </c>
      <c r="J103">
        <f t="shared" si="35"/>
        <v>136</v>
      </c>
      <c r="L103">
        <f t="shared" si="35"/>
        <v>2000</v>
      </c>
      <c r="M103">
        <f t="shared" si="35"/>
        <v>1</v>
      </c>
      <c r="N103" s="46" t="e">
        <f t="shared" si="35"/>
        <v>#DIV/0!</v>
      </c>
      <c r="O103">
        <f t="shared" si="35"/>
        <v>9.89</v>
      </c>
      <c r="P103" s="46" t="e">
        <f t="shared" si="35"/>
        <v>#DIV/0!</v>
      </c>
      <c r="Q103" t="s">
        <v>479</v>
      </c>
      <c r="R103" t="s">
        <v>480</v>
      </c>
      <c r="S103">
        <f t="shared" si="35"/>
        <v>6</v>
      </c>
      <c r="T103">
        <f t="shared" si="35"/>
        <v>61</v>
      </c>
      <c r="U103">
        <f t="shared" si="35"/>
        <v>2.13</v>
      </c>
      <c r="V103" t="s">
        <v>481</v>
      </c>
      <c r="W103">
        <f t="shared" si="35"/>
        <v>0</v>
      </c>
      <c r="X103">
        <f t="shared" si="35"/>
        <v>4</v>
      </c>
      <c r="Y103" t="b">
        <v>0</v>
      </c>
      <c r="Z103">
        <f t="shared" si="35"/>
        <v>0.83299999999999996</v>
      </c>
      <c r="AA103">
        <f t="shared" si="35"/>
        <v>21.6</v>
      </c>
      <c r="AB103">
        <f t="shared" si="35"/>
        <v>0</v>
      </c>
      <c r="AC103">
        <f t="shared" si="35"/>
        <v>0</v>
      </c>
      <c r="AD103">
        <f t="shared" si="35"/>
        <v>8</v>
      </c>
      <c r="AE103">
        <f t="shared" si="35"/>
        <v>75</v>
      </c>
      <c r="AF103">
        <f t="shared" si="35"/>
        <v>0.97</v>
      </c>
      <c r="AG103">
        <f t="shared" si="35"/>
        <v>110</v>
      </c>
      <c r="AH103">
        <f t="shared" si="35"/>
        <v>-0.68110000000000004</v>
      </c>
      <c r="AI103">
        <f t="shared" si="35"/>
        <v>0.81499999999999995</v>
      </c>
      <c r="AJ103">
        <f t="shared" si="35"/>
        <v>4</v>
      </c>
      <c r="AK103">
        <f t="shared" si="35"/>
        <v>8.0999999999999996E-3</v>
      </c>
      <c r="AL103">
        <f t="shared" si="35"/>
        <v>0.33600000000000002</v>
      </c>
      <c r="AM103">
        <f t="shared" si="35"/>
        <v>0.7</v>
      </c>
      <c r="AN103">
        <f t="shared" si="35"/>
        <v>0.4</v>
      </c>
      <c r="AO103">
        <f t="shared" si="35"/>
        <v>0.8</v>
      </c>
      <c r="AP103">
        <f t="shared" si="35"/>
        <v>0</v>
      </c>
      <c r="AQ103">
        <f t="shared" si="35"/>
        <v>0</v>
      </c>
      <c r="AR103">
        <f t="shared" si="35"/>
        <v>60</v>
      </c>
      <c r="AS103">
        <f t="shared" si="35"/>
        <v>0.2</v>
      </c>
      <c r="AT103">
        <f t="shared" si="35"/>
        <v>0</v>
      </c>
      <c r="AU103">
        <f t="shared" si="35"/>
        <v>30</v>
      </c>
      <c r="AV103">
        <f t="shared" si="35"/>
        <v>100</v>
      </c>
      <c r="AW103">
        <f t="shared" si="35"/>
        <v>1</v>
      </c>
      <c r="AX103">
        <f t="shared" si="35"/>
        <v>0.86</v>
      </c>
      <c r="AZ103" t="b">
        <v>0</v>
      </c>
      <c r="BA103">
        <f t="shared" ref="BA103:BE103" si="36">AVERAGE(BA29,BA44,BA45,BA45)</f>
        <v>114</v>
      </c>
      <c r="BB103">
        <f t="shared" si="36"/>
        <v>0.94250000000000012</v>
      </c>
      <c r="BC103">
        <f t="shared" si="36"/>
        <v>1.4</v>
      </c>
      <c r="BD103">
        <f t="shared" si="36"/>
        <v>5.0000000000000001E-3</v>
      </c>
      <c r="BE103">
        <f t="shared" si="36"/>
        <v>0.98</v>
      </c>
      <c r="BS103">
        <f t="shared" ref="BS103:BX103" si="37">AVERAGE(BS29,BS44,BS45,BS45)</f>
        <v>6.4499999999999993</v>
      </c>
      <c r="BX103">
        <f t="shared" si="37"/>
        <v>30</v>
      </c>
    </row>
    <row r="104" spans="1:76" x14ac:dyDescent="0.25">
      <c r="A104" t="s">
        <v>476</v>
      </c>
      <c r="C104" t="s">
        <v>477</v>
      </c>
      <c r="D104">
        <f>AVERAGE(D15,D16,D17,D18,D19,D23,D24,D45,D58)</f>
        <v>0.30522222222222223</v>
      </c>
      <c r="E104">
        <f t="shared" ref="E104:AX104" si="38">AVERAGE(E15,E16,E17,E18,E19,E23,E24,E45,E58)</f>
        <v>2.6534264444444444</v>
      </c>
      <c r="F104">
        <f t="shared" si="38"/>
        <v>895</v>
      </c>
      <c r="G104">
        <f t="shared" si="38"/>
        <v>0.53615555555555572</v>
      </c>
      <c r="H104">
        <f t="shared" si="38"/>
        <v>0.5655435925421205</v>
      </c>
      <c r="I104">
        <f t="shared" si="38"/>
        <v>2.7615666666666661</v>
      </c>
      <c r="J104">
        <f t="shared" si="38"/>
        <v>136</v>
      </c>
      <c r="L104">
        <f t="shared" si="38"/>
        <v>2000</v>
      </c>
      <c r="M104">
        <f t="shared" si="38"/>
        <v>1</v>
      </c>
      <c r="N104">
        <f t="shared" si="38"/>
        <v>492.33330000000012</v>
      </c>
      <c r="O104">
        <f t="shared" si="38"/>
        <v>9.89</v>
      </c>
      <c r="P104">
        <f t="shared" si="38"/>
        <v>114.33329999999998</v>
      </c>
      <c r="Q104" t="s">
        <v>479</v>
      </c>
      <c r="R104" t="s">
        <v>480</v>
      </c>
      <c r="S104">
        <f t="shared" si="38"/>
        <v>6</v>
      </c>
      <c r="T104">
        <f t="shared" si="38"/>
        <v>61</v>
      </c>
      <c r="U104">
        <f t="shared" si="38"/>
        <v>2.1299999999999994</v>
      </c>
      <c r="V104" t="s">
        <v>481</v>
      </c>
      <c r="W104">
        <f t="shared" si="38"/>
        <v>0</v>
      </c>
      <c r="X104">
        <f t="shared" si="38"/>
        <v>4</v>
      </c>
      <c r="Y104" t="b">
        <v>0</v>
      </c>
      <c r="Z104">
        <f t="shared" si="38"/>
        <v>0.83300000000000007</v>
      </c>
      <c r="AA104">
        <f t="shared" si="38"/>
        <v>21.599999999999998</v>
      </c>
      <c r="AB104">
        <f t="shared" si="38"/>
        <v>0</v>
      </c>
      <c r="AC104">
        <f t="shared" si="38"/>
        <v>0</v>
      </c>
      <c r="AD104">
        <f t="shared" si="38"/>
        <v>8</v>
      </c>
      <c r="AE104">
        <f t="shared" si="38"/>
        <v>75</v>
      </c>
      <c r="AF104">
        <f t="shared" si="38"/>
        <v>0.96999999999999986</v>
      </c>
      <c r="AG104">
        <f t="shared" si="38"/>
        <v>110</v>
      </c>
      <c r="AH104">
        <f t="shared" si="38"/>
        <v>-0.68109999999999993</v>
      </c>
      <c r="AI104">
        <f t="shared" si="38"/>
        <v>0.81499999999999972</v>
      </c>
      <c r="AJ104">
        <f t="shared" si="38"/>
        <v>4</v>
      </c>
      <c r="AK104">
        <f t="shared" si="38"/>
        <v>7.5000000000000006E-3</v>
      </c>
      <c r="AL104">
        <f t="shared" si="38"/>
        <v>0.33599999999999997</v>
      </c>
      <c r="AM104">
        <f t="shared" si="38"/>
        <v>0.70000000000000007</v>
      </c>
      <c r="AN104">
        <f t="shared" si="38"/>
        <v>0.39999999999999997</v>
      </c>
      <c r="AO104">
        <f t="shared" si="38"/>
        <v>0.79999999999999993</v>
      </c>
      <c r="AP104">
        <f t="shared" si="38"/>
        <v>0</v>
      </c>
      <c r="AQ104">
        <f t="shared" si="38"/>
        <v>0</v>
      </c>
      <c r="AR104">
        <f t="shared" si="38"/>
        <v>60</v>
      </c>
      <c r="AS104">
        <f t="shared" si="38"/>
        <v>0.19999999999999998</v>
      </c>
      <c r="AT104">
        <f t="shared" si="38"/>
        <v>0</v>
      </c>
      <c r="AU104">
        <f t="shared" si="38"/>
        <v>30</v>
      </c>
      <c r="AV104">
        <f t="shared" si="38"/>
        <v>100</v>
      </c>
      <c r="AW104">
        <f t="shared" si="38"/>
        <v>1</v>
      </c>
      <c r="AX104">
        <f t="shared" si="38"/>
        <v>0.8600000000000001</v>
      </c>
      <c r="AZ104" t="b">
        <v>0</v>
      </c>
      <c r="BA104">
        <f t="shared" ref="BA104:BE104" si="39">AVERAGE(BA30,BA45,BA46,BA46)</f>
        <v>114</v>
      </c>
      <c r="BB104">
        <f t="shared" si="39"/>
        <v>0.9425</v>
      </c>
      <c r="BC104">
        <f t="shared" si="39"/>
        <v>1.4</v>
      </c>
      <c r="BD104">
        <f t="shared" si="39"/>
        <v>5.0000000000000001E-3</v>
      </c>
      <c r="BE104">
        <f t="shared" si="39"/>
        <v>0.98</v>
      </c>
      <c r="BS104">
        <f t="shared" ref="BS104:BX104" si="40">AVERAGE(BS30,BS45,BS46,BS46)</f>
        <v>8.15</v>
      </c>
      <c r="BX104">
        <f t="shared" si="40"/>
        <v>30</v>
      </c>
    </row>
    <row r="105" spans="1:76" x14ac:dyDescent="0.25">
      <c r="A105" s="46" t="s">
        <v>474</v>
      </c>
      <c r="C105" t="s">
        <v>477</v>
      </c>
      <c r="D105">
        <f>AVERAGE(D73)</f>
        <v>0.55000000000000004</v>
      </c>
      <c r="E105">
        <f t="shared" ref="E105:AX105" si="41">AVERAGE(E73)</f>
        <v>3.9677339999999992</v>
      </c>
      <c r="F105" s="46">
        <v>1500</v>
      </c>
      <c r="G105">
        <f t="shared" si="41"/>
        <v>0.6038</v>
      </c>
      <c r="H105">
        <f t="shared" si="41"/>
        <v>0.59</v>
      </c>
      <c r="I105">
        <f t="shared" si="41"/>
        <v>3.3273999999999999</v>
      </c>
      <c r="J105">
        <f t="shared" si="41"/>
        <v>136</v>
      </c>
      <c r="L105">
        <f t="shared" si="41"/>
        <v>2000</v>
      </c>
      <c r="M105">
        <f t="shared" si="41"/>
        <v>1</v>
      </c>
      <c r="N105" s="46" t="e">
        <f t="shared" si="41"/>
        <v>#DIV/0!</v>
      </c>
      <c r="O105">
        <f t="shared" si="41"/>
        <v>9.89</v>
      </c>
      <c r="P105" s="46" t="e">
        <f t="shared" si="41"/>
        <v>#DIV/0!</v>
      </c>
      <c r="Q105" t="s">
        <v>479</v>
      </c>
      <c r="R105" t="s">
        <v>480</v>
      </c>
      <c r="S105">
        <f t="shared" si="41"/>
        <v>6</v>
      </c>
      <c r="T105">
        <f t="shared" si="41"/>
        <v>61</v>
      </c>
      <c r="U105">
        <f t="shared" si="41"/>
        <v>2.13</v>
      </c>
      <c r="V105" t="s">
        <v>481</v>
      </c>
      <c r="W105">
        <f t="shared" si="41"/>
        <v>0</v>
      </c>
      <c r="X105">
        <f t="shared" si="41"/>
        <v>4</v>
      </c>
      <c r="Y105" t="b">
        <v>0</v>
      </c>
      <c r="Z105">
        <f t="shared" si="41"/>
        <v>0.83299999999999996</v>
      </c>
      <c r="AA105">
        <f t="shared" si="41"/>
        <v>21.6</v>
      </c>
      <c r="AB105">
        <f t="shared" si="41"/>
        <v>0</v>
      </c>
      <c r="AC105">
        <f t="shared" si="41"/>
        <v>0</v>
      </c>
      <c r="AD105">
        <f t="shared" si="41"/>
        <v>8</v>
      </c>
      <c r="AE105">
        <f t="shared" si="41"/>
        <v>75</v>
      </c>
      <c r="AF105">
        <f t="shared" si="41"/>
        <v>0.97</v>
      </c>
      <c r="AG105">
        <f t="shared" si="41"/>
        <v>110</v>
      </c>
      <c r="AH105">
        <f t="shared" si="41"/>
        <v>-0.68110000000000004</v>
      </c>
      <c r="AI105">
        <f t="shared" si="41"/>
        <v>0.81499999999999995</v>
      </c>
      <c r="AJ105">
        <f t="shared" si="41"/>
        <v>4</v>
      </c>
      <c r="AK105">
        <f t="shared" si="41"/>
        <v>8.0000000000000002E-3</v>
      </c>
      <c r="AL105">
        <f t="shared" si="41"/>
        <v>0.33600000000000002</v>
      </c>
      <c r="AM105">
        <f t="shared" si="41"/>
        <v>0.7</v>
      </c>
      <c r="AN105">
        <f t="shared" si="41"/>
        <v>0.4</v>
      </c>
      <c r="AO105">
        <f t="shared" si="41"/>
        <v>0.8</v>
      </c>
      <c r="AP105">
        <f t="shared" si="41"/>
        <v>0</v>
      </c>
      <c r="AQ105">
        <f t="shared" si="41"/>
        <v>0</v>
      </c>
      <c r="AR105">
        <f t="shared" si="41"/>
        <v>60</v>
      </c>
      <c r="AS105">
        <f t="shared" si="41"/>
        <v>0.2</v>
      </c>
      <c r="AT105">
        <f t="shared" si="41"/>
        <v>0</v>
      </c>
      <c r="AU105">
        <f t="shared" si="41"/>
        <v>30</v>
      </c>
      <c r="AV105">
        <f t="shared" si="41"/>
        <v>100</v>
      </c>
      <c r="AW105">
        <f t="shared" si="41"/>
        <v>1</v>
      </c>
      <c r="AX105">
        <f t="shared" si="41"/>
        <v>0.86</v>
      </c>
      <c r="AZ105" t="b">
        <v>0</v>
      </c>
      <c r="BA105">
        <f t="shared" ref="BA105:BE105" si="42">AVERAGE(BA31,BA46,BA47,BA47)</f>
        <v>114</v>
      </c>
      <c r="BB105">
        <f t="shared" si="42"/>
        <v>0.95000000000000007</v>
      </c>
      <c r="BC105">
        <f t="shared" si="42"/>
        <v>1.4</v>
      </c>
      <c r="BD105">
        <f t="shared" si="42"/>
        <v>5.0000000000000001E-3</v>
      </c>
      <c r="BE105">
        <f t="shared" si="42"/>
        <v>0.98</v>
      </c>
      <c r="BS105">
        <f t="shared" ref="BS105:BX105" si="43">AVERAGE(BS31,BS46,BS47,BS47)</f>
        <v>8.5499999999999989</v>
      </c>
      <c r="BX105">
        <f t="shared" si="43"/>
        <v>30</v>
      </c>
    </row>
    <row r="106" spans="1:76" x14ac:dyDescent="0.25">
      <c r="A106" t="s">
        <v>484</v>
      </c>
      <c r="C106" t="s">
        <v>477</v>
      </c>
      <c r="D106">
        <f>AVERAGE(D14)</f>
        <v>0.34</v>
      </c>
      <c r="E106">
        <f t="shared" ref="E106:AX106" si="44">AVERAGE(E14)</f>
        <v>2.7613460000000005</v>
      </c>
      <c r="F106" s="46" t="e">
        <f>AVERAGE(F14)</f>
        <v>#DIV/0!</v>
      </c>
      <c r="G106">
        <f t="shared" si="44"/>
        <v>0.53</v>
      </c>
      <c r="H106">
        <f t="shared" si="44"/>
        <v>0.59</v>
      </c>
      <c r="I106">
        <f t="shared" si="44"/>
        <v>2.8295599999999999</v>
      </c>
      <c r="J106">
        <f t="shared" si="44"/>
        <v>136</v>
      </c>
      <c r="L106">
        <f t="shared" si="44"/>
        <v>2000</v>
      </c>
      <c r="M106">
        <f t="shared" si="44"/>
        <v>1</v>
      </c>
      <c r="N106" s="46" t="e">
        <f t="shared" si="44"/>
        <v>#DIV/0!</v>
      </c>
      <c r="O106">
        <f t="shared" si="44"/>
        <v>9.89</v>
      </c>
      <c r="P106" s="46" t="e">
        <f t="shared" si="44"/>
        <v>#DIV/0!</v>
      </c>
      <c r="Q106" t="s">
        <v>479</v>
      </c>
      <c r="R106" t="s">
        <v>480</v>
      </c>
      <c r="S106">
        <f t="shared" si="44"/>
        <v>6</v>
      </c>
      <c r="T106">
        <f t="shared" si="44"/>
        <v>61</v>
      </c>
      <c r="U106">
        <f t="shared" si="44"/>
        <v>2.13</v>
      </c>
      <c r="V106" t="s">
        <v>481</v>
      </c>
      <c r="W106">
        <f t="shared" si="44"/>
        <v>0</v>
      </c>
      <c r="X106">
        <f t="shared" si="44"/>
        <v>4</v>
      </c>
      <c r="Y106" t="b">
        <v>0</v>
      </c>
      <c r="Z106">
        <f t="shared" si="44"/>
        <v>0.83299999999999996</v>
      </c>
      <c r="AA106">
        <f t="shared" si="44"/>
        <v>21.6</v>
      </c>
      <c r="AB106">
        <f t="shared" si="44"/>
        <v>0</v>
      </c>
      <c r="AC106">
        <f t="shared" si="44"/>
        <v>0</v>
      </c>
      <c r="AD106">
        <f t="shared" si="44"/>
        <v>8</v>
      </c>
      <c r="AE106">
        <f t="shared" si="44"/>
        <v>75</v>
      </c>
      <c r="AF106">
        <f t="shared" si="44"/>
        <v>0.97</v>
      </c>
      <c r="AG106">
        <f t="shared" si="44"/>
        <v>110</v>
      </c>
      <c r="AH106">
        <f t="shared" si="44"/>
        <v>-0.68110000000000004</v>
      </c>
      <c r="AI106">
        <f t="shared" si="44"/>
        <v>0.81499999999999995</v>
      </c>
      <c r="AJ106">
        <f t="shared" si="44"/>
        <v>4</v>
      </c>
      <c r="AK106">
        <f t="shared" si="44"/>
        <v>7.4999999999999997E-3</v>
      </c>
      <c r="AL106">
        <f t="shared" si="44"/>
        <v>0.33600000000000002</v>
      </c>
      <c r="AM106">
        <f t="shared" si="44"/>
        <v>0.7</v>
      </c>
      <c r="AN106">
        <f t="shared" si="44"/>
        <v>0.4</v>
      </c>
      <c r="AO106">
        <f t="shared" si="44"/>
        <v>0.8</v>
      </c>
      <c r="AP106">
        <f t="shared" si="44"/>
        <v>0</v>
      </c>
      <c r="AQ106">
        <f t="shared" si="44"/>
        <v>0</v>
      </c>
      <c r="AR106">
        <f t="shared" si="44"/>
        <v>60</v>
      </c>
      <c r="AS106">
        <f t="shared" si="44"/>
        <v>0.2</v>
      </c>
      <c r="AT106">
        <f t="shared" si="44"/>
        <v>0</v>
      </c>
      <c r="AU106">
        <f t="shared" si="44"/>
        <v>30</v>
      </c>
      <c r="AV106">
        <f t="shared" si="44"/>
        <v>100</v>
      </c>
      <c r="AW106">
        <f t="shared" si="44"/>
        <v>1</v>
      </c>
      <c r="AX106">
        <f t="shared" si="44"/>
        <v>0.86</v>
      </c>
      <c r="AZ106" t="b">
        <v>0</v>
      </c>
      <c r="BA106">
        <f t="shared" ref="BA106:BE106" si="45">AVERAGE(BA32,BA47,BA48,BA48)</f>
        <v>114</v>
      </c>
      <c r="BB106">
        <f t="shared" si="45"/>
        <v>0.95</v>
      </c>
      <c r="BC106">
        <f t="shared" si="45"/>
        <v>1.4</v>
      </c>
      <c r="BD106">
        <f t="shared" si="45"/>
        <v>5.0000000000000001E-3</v>
      </c>
      <c r="BE106">
        <f t="shared" si="45"/>
        <v>0.98</v>
      </c>
      <c r="BS106">
        <f t="shared" ref="BS106:BX106" si="46">AVERAGE(BS32,BS47,BS48,BS48)</f>
        <v>8.2999999999999989</v>
      </c>
      <c r="BX106">
        <f t="shared" si="46"/>
        <v>30</v>
      </c>
    </row>
    <row r="107" spans="1:76" x14ac:dyDescent="0.25">
      <c r="A107" s="46" t="s">
        <v>469</v>
      </c>
      <c r="C107" t="s">
        <v>477</v>
      </c>
      <c r="D107">
        <f>AVERAGE(D51,D52,D54,D56,D76,D77,D79,D81)</f>
        <v>0.5625</v>
      </c>
      <c r="E107">
        <f t="shared" ref="E107:AX107" si="47">AVERAGE(E51,E52,E54,E56,E76,E77,E79,E81)</f>
        <v>4.0434462399999997</v>
      </c>
      <c r="F107">
        <f t="shared" si="47"/>
        <v>1533.5</v>
      </c>
      <c r="G107">
        <f t="shared" si="47"/>
        <v>0.74277500000000019</v>
      </c>
      <c r="H107">
        <f t="shared" si="47"/>
        <v>0.57669117647058821</v>
      </c>
      <c r="I107">
        <f t="shared" si="47"/>
        <v>3.6984800000000004</v>
      </c>
      <c r="J107">
        <f t="shared" si="47"/>
        <v>136</v>
      </c>
      <c r="L107">
        <f t="shared" si="47"/>
        <v>2000</v>
      </c>
      <c r="M107">
        <f t="shared" si="47"/>
        <v>1</v>
      </c>
      <c r="N107">
        <f t="shared" si="47"/>
        <v>562.33330000000001</v>
      </c>
      <c r="O107">
        <f t="shared" si="47"/>
        <v>9.89</v>
      </c>
      <c r="P107" s="46" t="e">
        <f t="shared" si="47"/>
        <v>#DIV/0!</v>
      </c>
      <c r="Q107" t="s">
        <v>479</v>
      </c>
      <c r="R107" t="s">
        <v>480</v>
      </c>
      <c r="S107">
        <f t="shared" si="47"/>
        <v>6</v>
      </c>
      <c r="T107">
        <f t="shared" si="47"/>
        <v>61</v>
      </c>
      <c r="U107">
        <f t="shared" si="47"/>
        <v>2.1299999999999994</v>
      </c>
      <c r="V107" t="s">
        <v>481</v>
      </c>
      <c r="W107">
        <f t="shared" si="47"/>
        <v>0</v>
      </c>
      <c r="X107">
        <f t="shared" si="47"/>
        <v>4</v>
      </c>
      <c r="Y107" t="b">
        <v>0</v>
      </c>
      <c r="Z107">
        <f t="shared" si="47"/>
        <v>0.83300000000000007</v>
      </c>
      <c r="AA107">
        <f t="shared" si="47"/>
        <v>21.599999999999998</v>
      </c>
      <c r="AB107">
        <f t="shared" si="47"/>
        <v>0</v>
      </c>
      <c r="AC107">
        <f t="shared" si="47"/>
        <v>0</v>
      </c>
      <c r="AD107">
        <f t="shared" si="47"/>
        <v>8</v>
      </c>
      <c r="AE107">
        <f t="shared" si="47"/>
        <v>75</v>
      </c>
      <c r="AF107">
        <f t="shared" si="47"/>
        <v>0.96999999999999986</v>
      </c>
      <c r="AG107">
        <f t="shared" si="47"/>
        <v>110</v>
      </c>
      <c r="AH107">
        <f t="shared" si="47"/>
        <v>-0.68109999999999993</v>
      </c>
      <c r="AI107">
        <f t="shared" si="47"/>
        <v>0.81499999999999972</v>
      </c>
      <c r="AJ107">
        <f t="shared" si="47"/>
        <v>4</v>
      </c>
      <c r="AK107">
        <f t="shared" si="47"/>
        <v>8.2000000000000007E-3</v>
      </c>
      <c r="AL107">
        <f t="shared" si="47"/>
        <v>0.33599999999999997</v>
      </c>
      <c r="AM107">
        <f t="shared" si="47"/>
        <v>0.70000000000000007</v>
      </c>
      <c r="AN107">
        <f t="shared" si="47"/>
        <v>0.39999999999999997</v>
      </c>
      <c r="AO107">
        <f t="shared" si="47"/>
        <v>0.79999999999999993</v>
      </c>
      <c r="AP107">
        <f t="shared" si="47"/>
        <v>0</v>
      </c>
      <c r="AQ107">
        <f t="shared" si="47"/>
        <v>0</v>
      </c>
      <c r="AR107">
        <f t="shared" si="47"/>
        <v>60</v>
      </c>
      <c r="AS107">
        <f t="shared" si="47"/>
        <v>0.19999999999999998</v>
      </c>
      <c r="AT107">
        <f t="shared" si="47"/>
        <v>0</v>
      </c>
      <c r="AU107">
        <f t="shared" si="47"/>
        <v>30</v>
      </c>
      <c r="AV107">
        <f t="shared" si="47"/>
        <v>100</v>
      </c>
      <c r="AW107">
        <f t="shared" si="47"/>
        <v>1</v>
      </c>
      <c r="AX107">
        <f t="shared" si="47"/>
        <v>0.8600000000000001</v>
      </c>
      <c r="AZ107" t="b">
        <v>0</v>
      </c>
      <c r="BA107">
        <f t="shared" ref="BA107:BE107" si="48">AVERAGE(BA33,BA48,BA49,BA49)</f>
        <v>114</v>
      </c>
      <c r="BB107">
        <f t="shared" si="48"/>
        <v>0.93500000000000005</v>
      </c>
      <c r="BC107">
        <f t="shared" si="48"/>
        <v>1.4</v>
      </c>
      <c r="BD107">
        <f t="shared" si="48"/>
        <v>5.0000000000000001E-3</v>
      </c>
      <c r="BE107">
        <f t="shared" si="48"/>
        <v>0.98</v>
      </c>
      <c r="BS107">
        <f t="shared" ref="BS107:BX107" si="49">AVERAGE(BS33,BS48,BS49,BS49)</f>
        <v>6.8250000000000011</v>
      </c>
      <c r="BX107">
        <f t="shared" si="49"/>
        <v>30</v>
      </c>
    </row>
    <row r="108" spans="1:76" x14ac:dyDescent="0.25">
      <c r="A108" t="s">
        <v>467</v>
      </c>
      <c r="C108" t="s">
        <v>477</v>
      </c>
      <c r="D108">
        <f>AVERAGE(D2,D25,D27,D29,D60,D61,D63,D67,D71,D87,D88,D90,D91)</f>
        <v>0.36976923076923085</v>
      </c>
      <c r="E108">
        <f t="shared" ref="E108:AX108" si="50">AVERAGE(E2,E25,E27,E29,E60,E61,E63,E67,E71,E87,E88,E90,E91)</f>
        <v>3.7624762061538459</v>
      </c>
      <c r="F108">
        <f t="shared" si="50"/>
        <v>1533.5</v>
      </c>
      <c r="G108">
        <f t="shared" si="50"/>
        <v>0.73403846153846175</v>
      </c>
      <c r="H108">
        <f t="shared" si="50"/>
        <v>0.56445926959625581</v>
      </c>
      <c r="I108">
        <f t="shared" si="50"/>
        <v>3.0575076923076923</v>
      </c>
      <c r="J108">
        <f t="shared" si="50"/>
        <v>136</v>
      </c>
      <c r="L108">
        <f t="shared" si="50"/>
        <v>2000</v>
      </c>
      <c r="M108">
        <f t="shared" si="50"/>
        <v>1</v>
      </c>
      <c r="N108">
        <f t="shared" si="50"/>
        <v>556.94868461538476</v>
      </c>
      <c r="O108">
        <f t="shared" si="50"/>
        <v>9.8899999999999988</v>
      </c>
      <c r="P108">
        <f t="shared" si="50"/>
        <v>167.33330000000004</v>
      </c>
      <c r="Q108" t="s">
        <v>479</v>
      </c>
      <c r="R108" t="s">
        <v>480</v>
      </c>
      <c r="S108">
        <f t="shared" si="50"/>
        <v>6</v>
      </c>
      <c r="T108">
        <f t="shared" si="50"/>
        <v>61</v>
      </c>
      <c r="U108">
        <f t="shared" si="50"/>
        <v>2.1299999999999994</v>
      </c>
      <c r="V108" t="s">
        <v>481</v>
      </c>
      <c r="W108">
        <f t="shared" si="50"/>
        <v>0</v>
      </c>
      <c r="X108">
        <f t="shared" si="50"/>
        <v>4</v>
      </c>
      <c r="Y108" t="b">
        <v>0</v>
      </c>
      <c r="Z108">
        <f t="shared" si="50"/>
        <v>0.83300000000000007</v>
      </c>
      <c r="AA108">
        <f t="shared" si="50"/>
        <v>21.6</v>
      </c>
      <c r="AB108">
        <f t="shared" si="50"/>
        <v>0</v>
      </c>
      <c r="AC108">
        <f t="shared" si="50"/>
        <v>0</v>
      </c>
      <c r="AD108">
        <f t="shared" si="50"/>
        <v>8</v>
      </c>
      <c r="AE108">
        <f t="shared" si="50"/>
        <v>75</v>
      </c>
      <c r="AF108">
        <f t="shared" si="50"/>
        <v>0.97000000000000008</v>
      </c>
      <c r="AG108">
        <f t="shared" si="50"/>
        <v>110</v>
      </c>
      <c r="AH108">
        <f t="shared" si="50"/>
        <v>-0.68110000000000004</v>
      </c>
      <c r="AI108">
        <f t="shared" si="50"/>
        <v>0.81499999999999961</v>
      </c>
      <c r="AJ108">
        <f t="shared" si="50"/>
        <v>4</v>
      </c>
      <c r="AK108">
        <f t="shared" si="50"/>
        <v>8.0000000000000036E-3</v>
      </c>
      <c r="AL108">
        <f t="shared" si="50"/>
        <v>0.33599999999999997</v>
      </c>
      <c r="AM108">
        <f t="shared" si="50"/>
        <v>0.7</v>
      </c>
      <c r="AN108">
        <f t="shared" si="50"/>
        <v>0.4</v>
      </c>
      <c r="AO108">
        <f t="shared" si="50"/>
        <v>0.8</v>
      </c>
      <c r="AP108">
        <f t="shared" si="50"/>
        <v>0</v>
      </c>
      <c r="AQ108">
        <f t="shared" si="50"/>
        <v>0</v>
      </c>
      <c r="AR108">
        <f t="shared" si="50"/>
        <v>60</v>
      </c>
      <c r="AS108">
        <f t="shared" si="50"/>
        <v>0.2</v>
      </c>
      <c r="AT108">
        <f t="shared" si="50"/>
        <v>0</v>
      </c>
      <c r="AU108">
        <f t="shared" si="50"/>
        <v>30</v>
      </c>
      <c r="AV108">
        <f t="shared" si="50"/>
        <v>100</v>
      </c>
      <c r="AW108">
        <f t="shared" si="50"/>
        <v>1</v>
      </c>
      <c r="AX108">
        <f t="shared" si="50"/>
        <v>0.86</v>
      </c>
      <c r="AZ108" t="b">
        <v>0</v>
      </c>
      <c r="BA108">
        <f t="shared" ref="BA108:BE108" si="51">AVERAGE(BA34,BA49,BA50,BA50)</f>
        <v>114</v>
      </c>
      <c r="BB108">
        <f t="shared" si="51"/>
        <v>0.95750000000000002</v>
      </c>
      <c r="BC108">
        <f t="shared" si="51"/>
        <v>1.4</v>
      </c>
      <c r="BD108">
        <f t="shared" si="51"/>
        <v>5.0000000000000001E-3</v>
      </c>
      <c r="BE108">
        <f t="shared" si="51"/>
        <v>0.98</v>
      </c>
      <c r="BS108">
        <f t="shared" ref="BS108:BX108" si="52">AVERAGE(BS34,BS49,BS50,BS50)</f>
        <v>7.3</v>
      </c>
      <c r="BX108">
        <f t="shared" si="52"/>
        <v>30</v>
      </c>
    </row>
    <row r="109" spans="1:76" x14ac:dyDescent="0.25">
      <c r="A109" s="46" t="s">
        <v>471</v>
      </c>
      <c r="C109" t="s">
        <v>477</v>
      </c>
      <c r="D109">
        <f>AVERAGE(D48)</f>
        <v>0.52</v>
      </c>
      <c r="E109">
        <f t="shared" ref="E109:AX109" si="53">AVERAGE(E48)</f>
        <v>4.1771520000000004</v>
      </c>
      <c r="F109" s="46" t="e">
        <f t="shared" si="53"/>
        <v>#DIV/0!</v>
      </c>
      <c r="G109">
        <f t="shared" si="53"/>
        <v>0.81520000000000004</v>
      </c>
      <c r="H109">
        <f t="shared" si="53"/>
        <v>0.5</v>
      </c>
      <c r="I109">
        <f t="shared" si="53"/>
        <v>3.5</v>
      </c>
      <c r="J109">
        <f t="shared" si="53"/>
        <v>136</v>
      </c>
      <c r="L109">
        <f t="shared" si="53"/>
        <v>2000</v>
      </c>
      <c r="M109">
        <f t="shared" si="53"/>
        <v>1</v>
      </c>
      <c r="N109" s="46" t="e">
        <f t="shared" si="53"/>
        <v>#DIV/0!</v>
      </c>
      <c r="O109">
        <f t="shared" si="53"/>
        <v>9.89</v>
      </c>
      <c r="P109" s="46" t="e">
        <f t="shared" si="53"/>
        <v>#DIV/0!</v>
      </c>
      <c r="Q109" t="s">
        <v>479</v>
      </c>
      <c r="R109" t="s">
        <v>480</v>
      </c>
      <c r="S109">
        <f t="shared" si="53"/>
        <v>6</v>
      </c>
      <c r="T109">
        <f t="shared" si="53"/>
        <v>61</v>
      </c>
      <c r="U109">
        <f t="shared" si="53"/>
        <v>2.13</v>
      </c>
      <c r="V109" t="s">
        <v>481</v>
      </c>
      <c r="W109">
        <f t="shared" si="53"/>
        <v>0</v>
      </c>
      <c r="X109">
        <f t="shared" si="53"/>
        <v>4</v>
      </c>
      <c r="Y109" t="b">
        <v>0</v>
      </c>
      <c r="Z109">
        <f t="shared" si="53"/>
        <v>0.83299999999999996</v>
      </c>
      <c r="AA109">
        <f t="shared" si="53"/>
        <v>21.6</v>
      </c>
      <c r="AB109">
        <f t="shared" si="53"/>
        <v>0</v>
      </c>
      <c r="AC109">
        <f t="shared" si="53"/>
        <v>0</v>
      </c>
      <c r="AD109">
        <f t="shared" si="53"/>
        <v>8</v>
      </c>
      <c r="AE109">
        <f t="shared" si="53"/>
        <v>75</v>
      </c>
      <c r="AF109">
        <f t="shared" si="53"/>
        <v>0.97</v>
      </c>
      <c r="AG109">
        <f t="shared" si="53"/>
        <v>110</v>
      </c>
      <c r="AH109">
        <f t="shared" si="53"/>
        <v>-0.68110000000000004</v>
      </c>
      <c r="AI109">
        <f t="shared" si="53"/>
        <v>0.81499999999999995</v>
      </c>
      <c r="AJ109">
        <f t="shared" si="53"/>
        <v>4</v>
      </c>
      <c r="AK109">
        <f t="shared" si="53"/>
        <v>8.2000000000000007E-3</v>
      </c>
      <c r="AL109">
        <f t="shared" si="53"/>
        <v>0.33600000000000002</v>
      </c>
      <c r="AM109">
        <f t="shared" si="53"/>
        <v>0.7</v>
      </c>
      <c r="AN109">
        <f t="shared" si="53"/>
        <v>0.4</v>
      </c>
      <c r="AO109">
        <f t="shared" si="53"/>
        <v>0.8</v>
      </c>
      <c r="AP109">
        <f t="shared" si="53"/>
        <v>0</v>
      </c>
      <c r="AQ109">
        <f t="shared" si="53"/>
        <v>0</v>
      </c>
      <c r="AR109">
        <f t="shared" si="53"/>
        <v>60</v>
      </c>
      <c r="AS109">
        <f t="shared" si="53"/>
        <v>0.2</v>
      </c>
      <c r="AT109">
        <f t="shared" si="53"/>
        <v>0</v>
      </c>
      <c r="AU109">
        <f t="shared" si="53"/>
        <v>30</v>
      </c>
      <c r="AV109">
        <f t="shared" si="53"/>
        <v>100</v>
      </c>
      <c r="AW109">
        <f t="shared" si="53"/>
        <v>1</v>
      </c>
      <c r="AX109">
        <f t="shared" si="53"/>
        <v>0.86</v>
      </c>
      <c r="AZ109" t="b">
        <v>0</v>
      </c>
      <c r="BA109">
        <f t="shared" ref="BA109:BE109" si="54">AVERAGE(BA35,BA50,BA51,BA51)</f>
        <v>114</v>
      </c>
      <c r="BB109">
        <f t="shared" si="54"/>
        <v>0.92749999999999999</v>
      </c>
      <c r="BC109">
        <f t="shared" si="54"/>
        <v>1.4</v>
      </c>
      <c r="BD109">
        <f t="shared" si="54"/>
        <v>5.0000000000000001E-3</v>
      </c>
      <c r="BE109">
        <f t="shared" si="54"/>
        <v>0.98</v>
      </c>
      <c r="BS109">
        <f t="shared" ref="BS109:BX109" si="55">AVERAGE(BS35,BS50,BS51,BS51)</f>
        <v>7.3000000000000007</v>
      </c>
      <c r="BX109">
        <f t="shared" si="55"/>
        <v>30</v>
      </c>
    </row>
    <row r="110" spans="1:76" x14ac:dyDescent="0.25">
      <c r="A110" t="s">
        <v>466</v>
      </c>
      <c r="C110" t="s">
        <v>477</v>
      </c>
      <c r="D110">
        <f>AVERAGE(D10,D11,D12,D13,D20,D21,D49,D50)</f>
        <v>0.29949999999999999</v>
      </c>
      <c r="E110">
        <f t="shared" ref="E110:AX110" si="56">AVERAGE(E10,E11,E12,E13,E20,E21,E49,E50)</f>
        <v>2.7931072500000003</v>
      </c>
      <c r="F110">
        <f t="shared" si="56"/>
        <v>1123.242</v>
      </c>
      <c r="G110">
        <f t="shared" si="56"/>
        <v>0.54201250000000012</v>
      </c>
      <c r="H110">
        <f t="shared" si="56"/>
        <v>0.55642837065793094</v>
      </c>
      <c r="I110">
        <f t="shared" si="56"/>
        <v>2.8537249999999998</v>
      </c>
      <c r="J110">
        <f t="shared" si="56"/>
        <v>136</v>
      </c>
      <c r="L110">
        <f t="shared" si="56"/>
        <v>2000</v>
      </c>
      <c r="M110">
        <f t="shared" si="56"/>
        <v>1</v>
      </c>
      <c r="N110">
        <f t="shared" si="56"/>
        <v>466.47615000000008</v>
      </c>
      <c r="O110">
        <f t="shared" si="56"/>
        <v>9.89</v>
      </c>
      <c r="P110">
        <f t="shared" si="56"/>
        <v>112.71424999999999</v>
      </c>
      <c r="Q110" t="s">
        <v>479</v>
      </c>
      <c r="R110" t="s">
        <v>480</v>
      </c>
      <c r="S110">
        <f t="shared" si="56"/>
        <v>6</v>
      </c>
      <c r="T110">
        <f t="shared" si="56"/>
        <v>61</v>
      </c>
      <c r="U110">
        <f t="shared" si="56"/>
        <v>2.1299999999999994</v>
      </c>
      <c r="V110" t="s">
        <v>481</v>
      </c>
      <c r="W110">
        <f t="shared" si="56"/>
        <v>0</v>
      </c>
      <c r="X110">
        <f t="shared" si="56"/>
        <v>4</v>
      </c>
      <c r="Y110" t="b">
        <v>0</v>
      </c>
      <c r="Z110">
        <f t="shared" si="56"/>
        <v>0.83300000000000007</v>
      </c>
      <c r="AA110">
        <f t="shared" si="56"/>
        <v>21.599999999999998</v>
      </c>
      <c r="AB110">
        <f t="shared" si="56"/>
        <v>0</v>
      </c>
      <c r="AC110">
        <f t="shared" si="56"/>
        <v>0</v>
      </c>
      <c r="AD110">
        <f t="shared" si="56"/>
        <v>8</v>
      </c>
      <c r="AE110">
        <f t="shared" si="56"/>
        <v>75</v>
      </c>
      <c r="AF110">
        <f t="shared" si="56"/>
        <v>0.96999999999999986</v>
      </c>
      <c r="AG110">
        <f t="shared" si="56"/>
        <v>110</v>
      </c>
      <c r="AH110">
        <f t="shared" si="56"/>
        <v>-0.68109999999999993</v>
      </c>
      <c r="AI110">
        <f t="shared" si="56"/>
        <v>0.81499999999999972</v>
      </c>
      <c r="AJ110">
        <f t="shared" si="56"/>
        <v>4</v>
      </c>
      <c r="AK110">
        <f t="shared" si="56"/>
        <v>5.8125E-3</v>
      </c>
      <c r="AL110">
        <f t="shared" si="56"/>
        <v>0.33599999999999997</v>
      </c>
      <c r="AM110">
        <f t="shared" si="56"/>
        <v>0.70000000000000007</v>
      </c>
      <c r="AN110">
        <f t="shared" si="56"/>
        <v>0.39999999999999997</v>
      </c>
      <c r="AO110">
        <f t="shared" si="56"/>
        <v>0.79999999999999993</v>
      </c>
      <c r="AP110">
        <f t="shared" si="56"/>
        <v>0</v>
      </c>
      <c r="AQ110">
        <f t="shared" si="56"/>
        <v>0</v>
      </c>
      <c r="AR110">
        <f t="shared" si="56"/>
        <v>60</v>
      </c>
      <c r="AS110">
        <f t="shared" si="56"/>
        <v>0.19999999999999998</v>
      </c>
      <c r="AT110">
        <f t="shared" si="56"/>
        <v>0</v>
      </c>
      <c r="AU110">
        <f t="shared" si="56"/>
        <v>30</v>
      </c>
      <c r="AV110">
        <f t="shared" si="56"/>
        <v>100</v>
      </c>
      <c r="AW110">
        <f t="shared" si="56"/>
        <v>1</v>
      </c>
      <c r="AX110">
        <f t="shared" si="56"/>
        <v>0.8600000000000001</v>
      </c>
      <c r="AZ110" t="b">
        <v>0</v>
      </c>
      <c r="BA110">
        <f t="shared" ref="BA110:BE110" si="57">AVERAGE(BA36,BA51,BA52,BA52)</f>
        <v>114</v>
      </c>
      <c r="BB110">
        <f t="shared" si="57"/>
        <v>0.93499999999999994</v>
      </c>
      <c r="BC110">
        <f t="shared" si="57"/>
        <v>1.4</v>
      </c>
      <c r="BD110">
        <f t="shared" si="57"/>
        <v>5.0000000000000001E-3</v>
      </c>
      <c r="BE110">
        <f t="shared" si="57"/>
        <v>0.98</v>
      </c>
      <c r="BS110">
        <f t="shared" ref="BS110:BX110" si="58">AVERAGE(BS36,BS51,BS52,BS52)</f>
        <v>7.0250000000000004</v>
      </c>
      <c r="BX110">
        <f t="shared" si="58"/>
        <v>30</v>
      </c>
    </row>
    <row r="111" spans="1:76" x14ac:dyDescent="0.25">
      <c r="A111" t="s">
        <v>473</v>
      </c>
      <c r="C111" t="s">
        <v>477</v>
      </c>
      <c r="D111">
        <f>AVERAGE(D5,D7,D9,D32,D34,D36,D40,D66,D70,D86)</f>
        <v>0.34399999999999997</v>
      </c>
      <c r="E111">
        <f t="shared" ref="E111:AX111" si="59">AVERAGE(E5,E7,E9,E32,E34,E36,E40,E66,E70,E86)</f>
        <v>3.1450916039999997</v>
      </c>
      <c r="F111">
        <f t="shared" si="59"/>
        <v>1533.5</v>
      </c>
      <c r="G111">
        <f t="shared" si="59"/>
        <v>0.67759999999999998</v>
      </c>
      <c r="H111">
        <f t="shared" si="59"/>
        <v>0.57564079642421773</v>
      </c>
      <c r="I111">
        <f t="shared" si="59"/>
        <v>2.7221420000000003</v>
      </c>
      <c r="J111">
        <f t="shared" si="59"/>
        <v>136</v>
      </c>
      <c r="L111">
        <f t="shared" si="59"/>
        <v>2000</v>
      </c>
      <c r="M111">
        <f t="shared" si="59"/>
        <v>1</v>
      </c>
      <c r="N111">
        <f t="shared" si="59"/>
        <v>562.33330000000012</v>
      </c>
      <c r="O111">
        <f t="shared" si="59"/>
        <v>9.89</v>
      </c>
      <c r="P111">
        <f t="shared" si="59"/>
        <v>167.33330000000001</v>
      </c>
      <c r="Q111" t="s">
        <v>479</v>
      </c>
      <c r="R111" t="s">
        <v>480</v>
      </c>
      <c r="S111">
        <f t="shared" si="59"/>
        <v>6</v>
      </c>
      <c r="T111">
        <f t="shared" si="59"/>
        <v>61</v>
      </c>
      <c r="U111">
        <f t="shared" si="59"/>
        <v>2.1299999999999994</v>
      </c>
      <c r="V111" t="s">
        <v>481</v>
      </c>
      <c r="W111">
        <f t="shared" si="59"/>
        <v>0</v>
      </c>
      <c r="X111">
        <f t="shared" si="59"/>
        <v>4</v>
      </c>
      <c r="Y111" t="b">
        <v>0</v>
      </c>
      <c r="Z111">
        <f t="shared" si="59"/>
        <v>0.83299999999999996</v>
      </c>
      <c r="AA111">
        <f t="shared" si="59"/>
        <v>21.599999999999998</v>
      </c>
      <c r="AB111">
        <f t="shared" si="59"/>
        <v>0</v>
      </c>
      <c r="AC111">
        <f t="shared" si="59"/>
        <v>0</v>
      </c>
      <c r="AD111">
        <f t="shared" si="59"/>
        <v>8</v>
      </c>
      <c r="AE111">
        <f t="shared" si="59"/>
        <v>75</v>
      </c>
      <c r="AF111">
        <f t="shared" si="59"/>
        <v>0.97</v>
      </c>
      <c r="AG111">
        <f t="shared" si="59"/>
        <v>110</v>
      </c>
      <c r="AH111">
        <f t="shared" si="59"/>
        <v>-0.68109999999999993</v>
      </c>
      <c r="AI111">
        <f t="shared" si="59"/>
        <v>0.81499999999999972</v>
      </c>
      <c r="AJ111">
        <f t="shared" si="59"/>
        <v>4</v>
      </c>
      <c r="AK111">
        <f t="shared" si="59"/>
        <v>7.5000000000000015E-3</v>
      </c>
      <c r="AL111">
        <f t="shared" si="59"/>
        <v>0.33599999999999997</v>
      </c>
      <c r="AM111">
        <f t="shared" si="59"/>
        <v>0.70000000000000007</v>
      </c>
      <c r="AN111">
        <f t="shared" si="59"/>
        <v>0.39999999999999997</v>
      </c>
      <c r="AO111">
        <f t="shared" si="59"/>
        <v>0.79999999999999993</v>
      </c>
      <c r="AP111">
        <f t="shared" si="59"/>
        <v>0</v>
      </c>
      <c r="AQ111">
        <f t="shared" si="59"/>
        <v>0</v>
      </c>
      <c r="AR111">
        <f t="shared" si="59"/>
        <v>60</v>
      </c>
      <c r="AS111">
        <f t="shared" si="59"/>
        <v>0.19999999999999998</v>
      </c>
      <c r="AT111">
        <f t="shared" si="59"/>
        <v>0</v>
      </c>
      <c r="AU111">
        <f t="shared" si="59"/>
        <v>30</v>
      </c>
      <c r="AV111">
        <f t="shared" si="59"/>
        <v>100</v>
      </c>
      <c r="AW111">
        <f t="shared" si="59"/>
        <v>1</v>
      </c>
      <c r="AX111">
        <f t="shared" si="59"/>
        <v>0.8600000000000001</v>
      </c>
      <c r="AZ111" t="b">
        <v>0</v>
      </c>
      <c r="BA111">
        <f t="shared" ref="BA111:BE111" si="60">AVERAGE(BA37,BA52,BA53,BA53)</f>
        <v>114</v>
      </c>
      <c r="BB111">
        <f t="shared" si="60"/>
        <v>0.95750000000000002</v>
      </c>
      <c r="BC111">
        <f t="shared" si="60"/>
        <v>1.4</v>
      </c>
      <c r="BD111">
        <f t="shared" si="60"/>
        <v>5.0000000000000001E-3</v>
      </c>
      <c r="BE111">
        <f t="shared" si="60"/>
        <v>0.98</v>
      </c>
      <c r="BS111">
        <f t="shared" ref="BS111:BX111" si="61">AVERAGE(BS37,BS52,BS53,BS53)</f>
        <v>6.625</v>
      </c>
      <c r="BX111">
        <f t="shared" si="61"/>
        <v>30</v>
      </c>
    </row>
    <row r="112" spans="1:76" x14ac:dyDescent="0.25">
      <c r="A112" t="s">
        <v>468</v>
      </c>
      <c r="C112" t="s">
        <v>477</v>
      </c>
      <c r="D112">
        <f>AVERAGE(D3,D26,D28,D30,D62,D64,D68,D72,D89,D92)</f>
        <v>0.36970000000000003</v>
      </c>
      <c r="E112">
        <f t="shared" ref="E112:AX112" si="62">AVERAGE(E3,E26,E28,E30,E62,E64,E68,E72,E89,E92)</f>
        <v>3.7003348839999992</v>
      </c>
      <c r="F112">
        <f t="shared" si="62"/>
        <v>1533.5</v>
      </c>
      <c r="G112">
        <f t="shared" si="62"/>
        <v>0.72604000000000002</v>
      </c>
      <c r="H112">
        <f t="shared" si="62"/>
        <v>0.56466095909679104</v>
      </c>
      <c r="I112">
        <f t="shared" si="62"/>
        <v>3.0095100000000001</v>
      </c>
      <c r="J112">
        <f t="shared" si="62"/>
        <v>136</v>
      </c>
      <c r="L112">
        <f t="shared" si="62"/>
        <v>2000</v>
      </c>
      <c r="M112">
        <f t="shared" si="62"/>
        <v>1</v>
      </c>
      <c r="N112">
        <f t="shared" si="62"/>
        <v>562.33330000000012</v>
      </c>
      <c r="O112">
        <f t="shared" si="62"/>
        <v>9.89</v>
      </c>
      <c r="P112">
        <f t="shared" si="62"/>
        <v>167.33330000000001</v>
      </c>
      <c r="Q112" s="48" t="s">
        <v>479</v>
      </c>
      <c r="R112" t="s">
        <v>480</v>
      </c>
      <c r="S112">
        <f t="shared" si="62"/>
        <v>6</v>
      </c>
      <c r="T112">
        <f t="shared" si="62"/>
        <v>61</v>
      </c>
      <c r="U112">
        <f t="shared" si="62"/>
        <v>2.1299999999999994</v>
      </c>
      <c r="V112" t="s">
        <v>481</v>
      </c>
      <c r="W112">
        <f t="shared" si="62"/>
        <v>0</v>
      </c>
      <c r="X112">
        <f t="shared" si="62"/>
        <v>4</v>
      </c>
      <c r="Y112" t="b">
        <v>0</v>
      </c>
      <c r="Z112">
        <f t="shared" si="62"/>
        <v>0.83299999999999996</v>
      </c>
      <c r="AA112">
        <f t="shared" si="62"/>
        <v>21.599999999999998</v>
      </c>
      <c r="AB112">
        <f t="shared" si="62"/>
        <v>0</v>
      </c>
      <c r="AC112">
        <f t="shared" si="62"/>
        <v>0</v>
      </c>
      <c r="AD112">
        <f t="shared" si="62"/>
        <v>8</v>
      </c>
      <c r="AE112">
        <f t="shared" si="62"/>
        <v>75</v>
      </c>
      <c r="AF112">
        <f t="shared" si="62"/>
        <v>0.97</v>
      </c>
      <c r="AG112">
        <f t="shared" si="62"/>
        <v>110</v>
      </c>
      <c r="AH112">
        <f t="shared" si="62"/>
        <v>-0.68109999999999993</v>
      </c>
      <c r="AI112">
        <f t="shared" si="62"/>
        <v>0.81499999999999972</v>
      </c>
      <c r="AJ112">
        <f t="shared" si="62"/>
        <v>4</v>
      </c>
      <c r="AK112">
        <f t="shared" si="62"/>
        <v>8.0000000000000019E-3</v>
      </c>
      <c r="AL112">
        <f t="shared" si="62"/>
        <v>0.33599999999999997</v>
      </c>
      <c r="AM112">
        <f t="shared" si="62"/>
        <v>0.70000000000000007</v>
      </c>
      <c r="AN112">
        <f t="shared" si="62"/>
        <v>0.39999999999999997</v>
      </c>
      <c r="AO112">
        <f t="shared" si="62"/>
        <v>0.79999999999999993</v>
      </c>
      <c r="AP112">
        <f t="shared" si="62"/>
        <v>0</v>
      </c>
      <c r="AQ112">
        <f t="shared" si="62"/>
        <v>0</v>
      </c>
      <c r="AR112">
        <f t="shared" si="62"/>
        <v>60</v>
      </c>
      <c r="AS112">
        <f t="shared" si="62"/>
        <v>0.19999999999999998</v>
      </c>
      <c r="AT112">
        <f t="shared" si="62"/>
        <v>0</v>
      </c>
      <c r="AU112">
        <f t="shared" si="62"/>
        <v>30</v>
      </c>
      <c r="AV112">
        <f t="shared" si="62"/>
        <v>100</v>
      </c>
      <c r="AW112">
        <f t="shared" si="62"/>
        <v>1</v>
      </c>
      <c r="AX112">
        <f t="shared" si="62"/>
        <v>0.8600000000000001</v>
      </c>
      <c r="AZ112" t="b">
        <v>0</v>
      </c>
      <c r="BA112">
        <f t="shared" ref="BA112:BE112" si="63">AVERAGE(BA38,BA53,BA54,BA54)</f>
        <v>114</v>
      </c>
      <c r="BB112">
        <f t="shared" si="63"/>
        <v>0.9425</v>
      </c>
      <c r="BC112">
        <f t="shared" si="63"/>
        <v>1.4</v>
      </c>
      <c r="BD112">
        <f t="shared" si="63"/>
        <v>5.0000000000000001E-3</v>
      </c>
      <c r="BE112">
        <f t="shared" si="63"/>
        <v>0.98</v>
      </c>
      <c r="BS112">
        <f t="shared" ref="BS112:BX112" si="64">AVERAGE(BS38,BS53,BS54,BS54)</f>
        <v>6.625</v>
      </c>
      <c r="BX112">
        <f t="shared" si="64"/>
        <v>30</v>
      </c>
    </row>
    <row r="127" spans="1:1" x14ac:dyDescent="0.25">
      <c r="A127" t="s">
        <v>485</v>
      </c>
    </row>
    <row r="128" spans="1:1" x14ac:dyDescent="0.25">
      <c r="A128" t="s">
        <v>482</v>
      </c>
    </row>
    <row r="129" spans="1:2" x14ac:dyDescent="0.25">
      <c r="A129" t="s">
        <v>483</v>
      </c>
    </row>
    <row r="130" spans="1:2" x14ac:dyDescent="0.25">
      <c r="A130" s="46" t="s">
        <v>470</v>
      </c>
      <c r="B130" t="s">
        <v>487</v>
      </c>
    </row>
    <row r="131" spans="1:2" x14ac:dyDescent="0.25">
      <c r="A131" t="s">
        <v>486</v>
      </c>
      <c r="B131" t="s">
        <v>489</v>
      </c>
    </row>
    <row r="132" spans="1:2" x14ac:dyDescent="0.25">
      <c r="A132" t="s">
        <v>472</v>
      </c>
      <c r="B132" t="s">
        <v>487</v>
      </c>
    </row>
    <row r="133" spans="1:2" x14ac:dyDescent="0.25">
      <c r="A133" t="s">
        <v>478</v>
      </c>
      <c r="B133" t="s">
        <v>488</v>
      </c>
    </row>
    <row r="134" spans="1:2" x14ac:dyDescent="0.25">
      <c r="A134" s="46" t="s">
        <v>475</v>
      </c>
      <c r="B134" t="s">
        <v>487</v>
      </c>
    </row>
    <row r="135" spans="1:2" x14ac:dyDescent="0.25">
      <c r="A135" t="s">
        <v>476</v>
      </c>
      <c r="B135" t="s">
        <v>487</v>
      </c>
    </row>
    <row r="136" spans="1:2" x14ac:dyDescent="0.25">
      <c r="A136" s="46" t="s">
        <v>474</v>
      </c>
      <c r="B136" t="s">
        <v>487</v>
      </c>
    </row>
    <row r="137" spans="1:2" x14ac:dyDescent="0.25">
      <c r="A137" t="s">
        <v>484</v>
      </c>
      <c r="B137" t="s">
        <v>489</v>
      </c>
    </row>
    <row r="138" spans="1:2" x14ac:dyDescent="0.25">
      <c r="A138" s="46" t="s">
        <v>469</v>
      </c>
      <c r="B138" t="s">
        <v>487</v>
      </c>
    </row>
    <row r="139" spans="1:2" x14ac:dyDescent="0.25">
      <c r="A139" t="s">
        <v>467</v>
      </c>
      <c r="B139" t="s">
        <v>487</v>
      </c>
    </row>
    <row r="140" spans="1:2" x14ac:dyDescent="0.25">
      <c r="A140" s="46" t="s">
        <v>471</v>
      </c>
      <c r="B140" t="s">
        <v>489</v>
      </c>
    </row>
    <row r="141" spans="1:2" x14ac:dyDescent="0.25">
      <c r="A141" t="s">
        <v>466</v>
      </c>
      <c r="B141" t="s">
        <v>489</v>
      </c>
    </row>
    <row r="142" spans="1:2" x14ac:dyDescent="0.25">
      <c r="A142" t="s">
        <v>473</v>
      </c>
      <c r="B142" t="s">
        <v>487</v>
      </c>
    </row>
    <row r="143" spans="1:2" x14ac:dyDescent="0.25">
      <c r="A143" t="s">
        <v>468</v>
      </c>
      <c r="B143" t="s">
        <v>487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 Model Parameters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Eagon</dc:creator>
  <cp:lastModifiedBy>Aylar Aghaalizadeh Kalkhoran</cp:lastModifiedBy>
  <dcterms:created xsi:type="dcterms:W3CDTF">2020-04-07T15:34:28Z</dcterms:created>
  <dcterms:modified xsi:type="dcterms:W3CDTF">2023-10-10T20:23:26Z</dcterms:modified>
</cp:coreProperties>
</file>